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Users/Ryan/Projects/RNASeq-230324-3way-merge/analysis/deseq/specific-pathways/"/>
    </mc:Choice>
  </mc:AlternateContent>
  <xr:revisionPtr revIDLastSave="0" documentId="13_ncr:1_{E829FE51-C43A-3049-B834-8057290A7644}" xr6:coauthVersionLast="47" xr6:coauthVersionMax="47" xr10:uidLastSave="{00000000-0000-0000-0000-000000000000}"/>
  <bookViews>
    <workbookView xWindow="32660" yWindow="-7180" windowWidth="29040" windowHeight="15840" xr2:uid="{ACA5CC0B-2DCC-43CF-B4C1-292A42B81B24}"/>
  </bookViews>
  <sheets>
    <sheet name="Supplemental Table S1" sheetId="1" r:id="rId1"/>
  </sheets>
  <definedNames>
    <definedName name="_xlnm._FilterDatabase" localSheetId="0" hidden="1">'Supplemental Table S1'!$A$1:$Q$938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38" i="1" l="1"/>
  <c r="B938" i="1"/>
  <c r="C937" i="1"/>
  <c r="B937" i="1"/>
  <c r="C936" i="1"/>
  <c r="B936" i="1"/>
  <c r="C935" i="1"/>
  <c r="B935" i="1"/>
  <c r="C934" i="1"/>
  <c r="B934" i="1"/>
  <c r="C933" i="1"/>
  <c r="B933" i="1"/>
  <c r="C932" i="1"/>
  <c r="B932" i="1"/>
  <c r="C931" i="1"/>
  <c r="B931" i="1"/>
  <c r="C930" i="1"/>
  <c r="B930" i="1"/>
  <c r="C929" i="1"/>
  <c r="B929" i="1"/>
  <c r="C928" i="1"/>
  <c r="B928" i="1"/>
  <c r="C927" i="1"/>
  <c r="B927" i="1"/>
  <c r="C926" i="1"/>
  <c r="B926" i="1"/>
  <c r="C925" i="1"/>
  <c r="B925" i="1"/>
  <c r="C924" i="1"/>
  <c r="B924" i="1"/>
  <c r="C923" i="1"/>
  <c r="B923" i="1"/>
  <c r="C922" i="1"/>
  <c r="B922" i="1"/>
  <c r="C921" i="1"/>
  <c r="B921" i="1"/>
  <c r="C920" i="1"/>
  <c r="B920" i="1"/>
  <c r="C919" i="1"/>
  <c r="B919" i="1"/>
  <c r="C918" i="1"/>
  <c r="B918" i="1"/>
  <c r="C917" i="1"/>
  <c r="B917" i="1"/>
  <c r="C916" i="1"/>
  <c r="B916" i="1"/>
  <c r="C915" i="1"/>
  <c r="B915" i="1"/>
  <c r="C914" i="1"/>
  <c r="B914" i="1"/>
  <c r="C913" i="1"/>
  <c r="B913" i="1"/>
  <c r="C912" i="1"/>
  <c r="B912" i="1"/>
  <c r="C911" i="1"/>
  <c r="B911" i="1"/>
  <c r="C910" i="1"/>
  <c r="B910" i="1"/>
  <c r="C909" i="1"/>
  <c r="B909" i="1"/>
  <c r="C908" i="1"/>
  <c r="B908" i="1"/>
  <c r="C907" i="1"/>
  <c r="B907" i="1"/>
  <c r="C906" i="1"/>
  <c r="B906" i="1"/>
  <c r="C905" i="1"/>
  <c r="B905" i="1"/>
  <c r="C904" i="1"/>
  <c r="B904" i="1"/>
  <c r="C903" i="1"/>
  <c r="B903" i="1"/>
  <c r="C902" i="1"/>
  <c r="B902" i="1"/>
  <c r="C901" i="1"/>
  <c r="B901" i="1"/>
  <c r="C900" i="1"/>
  <c r="B900" i="1"/>
  <c r="C899" i="1"/>
  <c r="B899" i="1"/>
  <c r="C898" i="1"/>
  <c r="B898" i="1"/>
  <c r="C897" i="1"/>
  <c r="B897" i="1"/>
  <c r="C896" i="1"/>
  <c r="B896" i="1"/>
  <c r="C895" i="1"/>
  <c r="B895" i="1"/>
  <c r="C894" i="1"/>
  <c r="B894" i="1"/>
  <c r="C893" i="1"/>
  <c r="B893" i="1"/>
  <c r="C892" i="1"/>
  <c r="B892" i="1"/>
  <c r="C891" i="1"/>
  <c r="B891" i="1"/>
  <c r="C890" i="1"/>
  <c r="B890" i="1"/>
  <c r="C889" i="1"/>
  <c r="B889" i="1"/>
  <c r="C888" i="1"/>
  <c r="B888" i="1"/>
  <c r="C887" i="1"/>
  <c r="B887" i="1"/>
  <c r="C886" i="1"/>
  <c r="B886" i="1"/>
  <c r="C885" i="1"/>
  <c r="B885" i="1"/>
  <c r="C884" i="1"/>
  <c r="B884" i="1"/>
  <c r="C883" i="1"/>
  <c r="B883" i="1"/>
  <c r="C882" i="1"/>
  <c r="B882" i="1"/>
  <c r="C881" i="1"/>
  <c r="B881" i="1"/>
  <c r="C880" i="1"/>
  <c r="B880" i="1"/>
  <c r="C879" i="1"/>
  <c r="B879" i="1"/>
  <c r="C878" i="1"/>
  <c r="B878" i="1"/>
  <c r="C877" i="1"/>
  <c r="B877" i="1"/>
  <c r="C876" i="1"/>
  <c r="B876" i="1"/>
  <c r="C875" i="1"/>
  <c r="B875" i="1"/>
  <c r="C874" i="1"/>
  <c r="B874" i="1"/>
  <c r="C873" i="1"/>
  <c r="B873" i="1"/>
  <c r="C872" i="1"/>
  <c r="B872" i="1"/>
  <c r="C871" i="1"/>
  <c r="B871" i="1"/>
  <c r="C870" i="1"/>
  <c r="B870" i="1"/>
  <c r="C869" i="1"/>
  <c r="B869" i="1"/>
  <c r="C868" i="1"/>
  <c r="B868" i="1"/>
  <c r="C867" i="1"/>
  <c r="B867" i="1"/>
  <c r="C866" i="1"/>
  <c r="B866" i="1"/>
  <c r="C865" i="1"/>
  <c r="B865" i="1"/>
  <c r="C864" i="1"/>
  <c r="B864" i="1"/>
  <c r="C863" i="1"/>
  <c r="B863" i="1"/>
  <c r="C862" i="1"/>
  <c r="B862" i="1"/>
  <c r="C861" i="1"/>
  <c r="B861" i="1"/>
  <c r="C860" i="1"/>
  <c r="B860" i="1"/>
  <c r="C859" i="1"/>
  <c r="B859" i="1"/>
  <c r="B858" i="1"/>
  <c r="C857" i="1"/>
  <c r="B857" i="1"/>
  <c r="C856" i="1"/>
  <c r="B856" i="1"/>
  <c r="C855" i="1"/>
  <c r="B855" i="1"/>
  <c r="C854" i="1"/>
  <c r="B854" i="1"/>
  <c r="C853" i="1"/>
  <c r="B853" i="1"/>
  <c r="C852" i="1"/>
  <c r="B852" i="1"/>
  <c r="C851" i="1"/>
  <c r="B851" i="1"/>
  <c r="C850" i="1"/>
  <c r="B850" i="1"/>
  <c r="C849" i="1"/>
  <c r="B849" i="1"/>
  <c r="C848" i="1"/>
  <c r="B848" i="1"/>
  <c r="C847" i="1"/>
  <c r="B847" i="1"/>
  <c r="C846" i="1"/>
  <c r="B846" i="1"/>
  <c r="C845" i="1"/>
  <c r="B845" i="1"/>
  <c r="C844" i="1"/>
  <c r="B844" i="1"/>
  <c r="C843" i="1"/>
  <c r="B843" i="1"/>
  <c r="C842" i="1"/>
  <c r="B842" i="1"/>
  <c r="C841" i="1"/>
  <c r="B841" i="1"/>
  <c r="C840" i="1"/>
  <c r="B840" i="1"/>
  <c r="C839" i="1"/>
  <c r="B839" i="1"/>
  <c r="C838" i="1"/>
  <c r="B838" i="1"/>
  <c r="C837" i="1"/>
  <c r="B837" i="1"/>
  <c r="C836" i="1"/>
  <c r="B836" i="1"/>
  <c r="C835" i="1"/>
  <c r="B835" i="1"/>
  <c r="C834" i="1"/>
  <c r="B834" i="1"/>
  <c r="C833" i="1"/>
  <c r="B833" i="1"/>
  <c r="C832" i="1"/>
  <c r="B832" i="1"/>
  <c r="C831" i="1"/>
  <c r="B831" i="1"/>
  <c r="C830" i="1"/>
  <c r="B830" i="1"/>
  <c r="C829" i="1"/>
  <c r="B829" i="1"/>
  <c r="B828" i="1"/>
  <c r="C827" i="1"/>
  <c r="B827" i="1"/>
  <c r="C826" i="1"/>
  <c r="B826" i="1"/>
  <c r="C825" i="1"/>
  <c r="B825" i="1"/>
  <c r="C824" i="1"/>
  <c r="B824" i="1"/>
  <c r="C823" i="1"/>
  <c r="B823" i="1"/>
  <c r="C822" i="1"/>
  <c r="B822" i="1"/>
  <c r="C821" i="1"/>
  <c r="B821" i="1"/>
  <c r="B820" i="1"/>
  <c r="C819" i="1"/>
  <c r="B819" i="1"/>
  <c r="C818" i="1"/>
  <c r="B818" i="1"/>
  <c r="C817" i="1"/>
  <c r="B817" i="1"/>
  <c r="C816" i="1"/>
  <c r="B816" i="1"/>
  <c r="C815" i="1"/>
  <c r="B815" i="1"/>
  <c r="C814" i="1"/>
  <c r="B814" i="1"/>
  <c r="C813" i="1"/>
  <c r="B813" i="1"/>
  <c r="C812" i="1"/>
  <c r="B812" i="1"/>
  <c r="C811" i="1"/>
  <c r="B811" i="1"/>
  <c r="C810" i="1"/>
  <c r="B810" i="1"/>
  <c r="C809" i="1"/>
  <c r="B809" i="1"/>
  <c r="C808" i="1"/>
  <c r="B808" i="1"/>
  <c r="C807" i="1"/>
  <c r="B807" i="1"/>
  <c r="C806" i="1"/>
  <c r="B806" i="1"/>
  <c r="C805" i="1"/>
  <c r="B805" i="1"/>
  <c r="C804" i="1"/>
  <c r="B804" i="1"/>
  <c r="C803" i="1"/>
  <c r="B803" i="1"/>
  <c r="C802" i="1"/>
  <c r="B802" i="1"/>
  <c r="C801" i="1"/>
  <c r="B801" i="1"/>
  <c r="C800" i="1"/>
  <c r="B800" i="1"/>
  <c r="C799" i="1"/>
  <c r="B799" i="1"/>
  <c r="C798" i="1"/>
  <c r="B798" i="1"/>
  <c r="C797" i="1"/>
  <c r="B797" i="1"/>
  <c r="C796" i="1"/>
  <c r="B796" i="1"/>
  <c r="C795" i="1"/>
  <c r="B795" i="1"/>
  <c r="C794" i="1"/>
  <c r="B794" i="1"/>
  <c r="C793" i="1"/>
  <c r="B793" i="1"/>
  <c r="C792" i="1"/>
  <c r="B792" i="1"/>
  <c r="C791" i="1"/>
  <c r="B791" i="1"/>
  <c r="C790" i="1"/>
  <c r="B790" i="1"/>
  <c r="C789" i="1"/>
  <c r="B789" i="1"/>
  <c r="C788" i="1"/>
  <c r="B788" i="1"/>
  <c r="C787" i="1"/>
  <c r="B787" i="1"/>
  <c r="C786" i="1"/>
  <c r="B786" i="1"/>
  <c r="C785" i="1"/>
  <c r="B785" i="1"/>
  <c r="C784" i="1"/>
  <c r="B784" i="1"/>
  <c r="C783" i="1"/>
  <c r="B783" i="1"/>
  <c r="C782" i="1"/>
  <c r="B782" i="1"/>
  <c r="C781" i="1"/>
  <c r="B781" i="1"/>
  <c r="C780" i="1"/>
  <c r="B780" i="1"/>
  <c r="C779" i="1"/>
  <c r="B779" i="1"/>
  <c r="C778" i="1"/>
  <c r="B778" i="1"/>
  <c r="C777" i="1"/>
  <c r="B777" i="1"/>
  <c r="C776" i="1"/>
  <c r="B776" i="1"/>
  <c r="C775" i="1"/>
  <c r="B775" i="1"/>
  <c r="C774" i="1"/>
  <c r="B774" i="1"/>
  <c r="C773" i="1"/>
  <c r="B773" i="1"/>
  <c r="C772" i="1"/>
  <c r="B772" i="1"/>
  <c r="C771" i="1"/>
  <c r="B771" i="1"/>
  <c r="C770" i="1"/>
  <c r="B770" i="1"/>
  <c r="C769" i="1"/>
  <c r="B769" i="1"/>
  <c r="C768" i="1"/>
  <c r="B768" i="1"/>
  <c r="C767" i="1"/>
  <c r="B767" i="1"/>
  <c r="C766" i="1"/>
  <c r="B766" i="1"/>
  <c r="C765" i="1"/>
  <c r="B765" i="1"/>
  <c r="C764" i="1"/>
  <c r="B764" i="1"/>
  <c r="C763" i="1"/>
  <c r="B763" i="1"/>
  <c r="C762" i="1"/>
  <c r="B762" i="1"/>
  <c r="C761" i="1"/>
  <c r="B761" i="1"/>
  <c r="C760" i="1"/>
  <c r="B760" i="1"/>
  <c r="C759" i="1"/>
  <c r="B759" i="1"/>
  <c r="C758" i="1"/>
  <c r="B758" i="1"/>
  <c r="C757" i="1"/>
  <c r="B757" i="1"/>
  <c r="C756" i="1"/>
  <c r="B756" i="1"/>
  <c r="C755" i="1"/>
  <c r="B755" i="1"/>
  <c r="C754" i="1"/>
  <c r="B754" i="1"/>
  <c r="C753" i="1"/>
  <c r="B753" i="1"/>
  <c r="C752" i="1"/>
  <c r="B752" i="1"/>
  <c r="C751" i="1"/>
  <c r="B751" i="1"/>
  <c r="C750" i="1"/>
  <c r="B750" i="1"/>
  <c r="C749" i="1"/>
  <c r="B749" i="1"/>
  <c r="C748" i="1"/>
  <c r="B748" i="1"/>
  <c r="C747" i="1"/>
  <c r="B747" i="1"/>
  <c r="C746" i="1"/>
  <c r="B746" i="1"/>
  <c r="C745" i="1"/>
  <c r="B745" i="1"/>
  <c r="C744" i="1"/>
  <c r="B744" i="1"/>
  <c r="C743" i="1"/>
  <c r="B743" i="1"/>
  <c r="C742" i="1"/>
  <c r="B742" i="1"/>
  <c r="C741" i="1"/>
  <c r="B741" i="1"/>
  <c r="C740" i="1"/>
  <c r="B740" i="1"/>
  <c r="C739" i="1"/>
  <c r="B739" i="1"/>
  <c r="C738" i="1"/>
  <c r="B738" i="1"/>
  <c r="B737" i="1"/>
  <c r="C736" i="1"/>
  <c r="B736" i="1"/>
  <c r="C735" i="1"/>
  <c r="B735" i="1"/>
  <c r="C734" i="1"/>
  <c r="B734" i="1"/>
  <c r="C733" i="1"/>
  <c r="B733" i="1"/>
  <c r="C732" i="1"/>
  <c r="B732" i="1"/>
  <c r="C731" i="1"/>
  <c r="B731" i="1"/>
  <c r="C730" i="1"/>
  <c r="B730" i="1"/>
  <c r="C729" i="1"/>
  <c r="B729" i="1"/>
  <c r="C728" i="1"/>
  <c r="B728" i="1"/>
  <c r="C727" i="1"/>
  <c r="B727" i="1"/>
  <c r="C726" i="1"/>
  <c r="B726" i="1"/>
  <c r="C725" i="1"/>
  <c r="B725" i="1"/>
  <c r="C724" i="1"/>
  <c r="B724" i="1"/>
  <c r="C723" i="1"/>
  <c r="B723" i="1"/>
  <c r="C722" i="1"/>
  <c r="B722" i="1"/>
  <c r="C721" i="1"/>
  <c r="B721" i="1"/>
  <c r="C720" i="1"/>
  <c r="B720" i="1"/>
  <c r="C719" i="1"/>
  <c r="B719" i="1"/>
  <c r="C718" i="1"/>
  <c r="B718" i="1"/>
  <c r="C717" i="1"/>
  <c r="B717" i="1"/>
  <c r="C716" i="1"/>
  <c r="B716" i="1"/>
  <c r="C715" i="1"/>
  <c r="B715" i="1"/>
  <c r="C714" i="1"/>
  <c r="B714" i="1"/>
  <c r="C713" i="1"/>
  <c r="B713" i="1"/>
  <c r="C712" i="1"/>
  <c r="B712" i="1"/>
  <c r="C711" i="1"/>
  <c r="B711" i="1"/>
  <c r="C710" i="1"/>
  <c r="B710" i="1"/>
  <c r="C709" i="1"/>
  <c r="B709" i="1"/>
  <c r="C708" i="1"/>
  <c r="B708" i="1"/>
  <c r="C707" i="1"/>
  <c r="B707" i="1"/>
  <c r="C706" i="1"/>
  <c r="B706" i="1"/>
  <c r="C705" i="1"/>
  <c r="B705" i="1"/>
  <c r="C704" i="1"/>
  <c r="B704" i="1"/>
  <c r="C703" i="1"/>
  <c r="B703" i="1"/>
  <c r="C702" i="1"/>
  <c r="B702" i="1"/>
  <c r="C701" i="1"/>
  <c r="B701" i="1"/>
  <c r="C700" i="1"/>
  <c r="B700" i="1"/>
  <c r="C699" i="1"/>
  <c r="B699" i="1"/>
  <c r="C698" i="1"/>
  <c r="B698" i="1"/>
  <c r="C697" i="1"/>
  <c r="B697" i="1"/>
  <c r="C696" i="1"/>
  <c r="B696" i="1"/>
  <c r="C695" i="1"/>
  <c r="B695" i="1"/>
  <c r="C694" i="1"/>
  <c r="B694" i="1"/>
  <c r="C693" i="1"/>
  <c r="B693" i="1"/>
  <c r="C692" i="1"/>
  <c r="B692" i="1"/>
  <c r="C691" i="1"/>
  <c r="B691" i="1"/>
  <c r="C690" i="1"/>
  <c r="B690" i="1"/>
  <c r="C689" i="1"/>
  <c r="B689" i="1"/>
  <c r="C688" i="1"/>
  <c r="B688" i="1"/>
  <c r="C687" i="1"/>
  <c r="B687" i="1"/>
  <c r="C686" i="1"/>
  <c r="B686" i="1"/>
  <c r="C685" i="1"/>
  <c r="B685" i="1"/>
  <c r="C684" i="1"/>
  <c r="B684" i="1"/>
  <c r="C683" i="1"/>
  <c r="B683" i="1"/>
  <c r="C682" i="1"/>
  <c r="B682" i="1"/>
  <c r="C681" i="1"/>
  <c r="B681" i="1"/>
  <c r="C680" i="1"/>
  <c r="B680" i="1"/>
  <c r="C679" i="1"/>
  <c r="B679" i="1"/>
  <c r="C678" i="1"/>
  <c r="B678" i="1"/>
  <c r="C677" i="1"/>
  <c r="B677" i="1"/>
  <c r="C676" i="1"/>
  <c r="B676" i="1"/>
  <c r="C675" i="1"/>
  <c r="B675" i="1"/>
  <c r="C674" i="1"/>
  <c r="B674" i="1"/>
  <c r="C673" i="1"/>
  <c r="B673" i="1"/>
  <c r="C672" i="1"/>
  <c r="B672" i="1"/>
  <c r="C671" i="1"/>
  <c r="B671" i="1"/>
  <c r="C670" i="1"/>
  <c r="B670" i="1"/>
  <c r="C669" i="1"/>
  <c r="B669" i="1"/>
  <c r="C668" i="1"/>
  <c r="B668" i="1"/>
  <c r="C667" i="1"/>
  <c r="B667" i="1"/>
  <c r="C666" i="1"/>
  <c r="B666" i="1"/>
  <c r="C665" i="1"/>
  <c r="B665" i="1"/>
  <c r="C664" i="1"/>
  <c r="B664" i="1"/>
  <c r="C663" i="1"/>
  <c r="B663" i="1"/>
  <c r="C662" i="1"/>
  <c r="B662" i="1"/>
  <c r="C661" i="1"/>
  <c r="B661" i="1"/>
  <c r="C660" i="1"/>
  <c r="B660" i="1"/>
  <c r="C659" i="1"/>
  <c r="B659" i="1"/>
  <c r="C658" i="1"/>
  <c r="B658" i="1"/>
  <c r="C657" i="1"/>
  <c r="B657" i="1"/>
  <c r="C656" i="1"/>
  <c r="B656" i="1"/>
  <c r="C655" i="1"/>
  <c r="B655" i="1"/>
  <c r="C654" i="1"/>
  <c r="B654" i="1"/>
  <c r="C653" i="1"/>
  <c r="B653" i="1"/>
  <c r="C652" i="1"/>
  <c r="B652" i="1"/>
  <c r="C651" i="1"/>
  <c r="B651" i="1"/>
  <c r="C650" i="1"/>
  <c r="B650" i="1"/>
  <c r="C649" i="1"/>
  <c r="B649" i="1"/>
  <c r="C648" i="1"/>
  <c r="B648" i="1"/>
  <c r="C647" i="1"/>
  <c r="B647" i="1"/>
  <c r="C646" i="1"/>
  <c r="B646" i="1"/>
  <c r="C645" i="1"/>
  <c r="B645" i="1"/>
  <c r="C644" i="1"/>
  <c r="B644" i="1"/>
  <c r="C643" i="1"/>
  <c r="B643" i="1"/>
  <c r="C642" i="1"/>
  <c r="B642" i="1"/>
  <c r="C641" i="1"/>
  <c r="B641" i="1"/>
  <c r="C640" i="1"/>
  <c r="B640" i="1"/>
  <c r="C639" i="1"/>
  <c r="B639" i="1"/>
  <c r="C638" i="1"/>
  <c r="B638" i="1"/>
  <c r="C637" i="1"/>
  <c r="B637" i="1"/>
  <c r="C636" i="1"/>
  <c r="B636" i="1"/>
  <c r="C635" i="1"/>
  <c r="B635" i="1"/>
  <c r="C634" i="1"/>
  <c r="B634" i="1"/>
  <c r="C633" i="1"/>
  <c r="B633" i="1"/>
  <c r="C632" i="1"/>
  <c r="B632" i="1"/>
  <c r="C631" i="1"/>
  <c r="B631" i="1"/>
  <c r="C630" i="1"/>
  <c r="B630" i="1"/>
  <c r="C629" i="1"/>
  <c r="B629" i="1"/>
  <c r="C628" i="1"/>
  <c r="B628" i="1"/>
  <c r="C627" i="1"/>
  <c r="B627" i="1"/>
  <c r="C626" i="1"/>
  <c r="B626" i="1"/>
  <c r="C625" i="1"/>
  <c r="B625" i="1"/>
  <c r="C624" i="1"/>
  <c r="B624" i="1"/>
  <c r="C623" i="1"/>
  <c r="B623" i="1"/>
  <c r="C622" i="1"/>
  <c r="B622" i="1"/>
  <c r="C621" i="1"/>
  <c r="B621" i="1"/>
  <c r="C620" i="1"/>
  <c r="B620" i="1"/>
  <c r="C619" i="1"/>
  <c r="B619" i="1"/>
  <c r="C618" i="1"/>
  <c r="B618" i="1"/>
  <c r="C617" i="1"/>
  <c r="B617" i="1"/>
  <c r="C616" i="1"/>
  <c r="B616" i="1"/>
  <c r="C615" i="1"/>
  <c r="B615" i="1"/>
  <c r="C614" i="1"/>
  <c r="B614" i="1"/>
  <c r="C613" i="1"/>
  <c r="B613" i="1"/>
  <c r="C612" i="1"/>
  <c r="B612" i="1"/>
  <c r="C611" i="1"/>
  <c r="B611" i="1"/>
  <c r="C610" i="1"/>
  <c r="B610" i="1"/>
  <c r="C609" i="1"/>
  <c r="B609" i="1"/>
  <c r="C608" i="1"/>
  <c r="B608" i="1"/>
  <c r="C607" i="1"/>
  <c r="B607" i="1"/>
  <c r="C606" i="1"/>
  <c r="B606" i="1"/>
  <c r="C605" i="1"/>
  <c r="B605" i="1"/>
  <c r="C604" i="1"/>
  <c r="B604" i="1"/>
  <c r="C603" i="1"/>
  <c r="B603" i="1"/>
  <c r="C602" i="1"/>
  <c r="B602" i="1"/>
  <c r="C601" i="1"/>
  <c r="B601" i="1"/>
  <c r="C600" i="1"/>
  <c r="B600" i="1"/>
  <c r="C599" i="1"/>
  <c r="B599" i="1"/>
  <c r="C598" i="1"/>
  <c r="B598" i="1"/>
  <c r="C597" i="1"/>
  <c r="B597" i="1"/>
  <c r="C596" i="1"/>
  <c r="B596" i="1"/>
  <c r="C595" i="1"/>
  <c r="B595" i="1"/>
  <c r="C594" i="1"/>
  <c r="B594" i="1"/>
  <c r="C593" i="1"/>
  <c r="B593" i="1"/>
  <c r="C592" i="1"/>
  <c r="B592" i="1"/>
  <c r="C591" i="1"/>
  <c r="B591" i="1"/>
  <c r="C590" i="1"/>
  <c r="B590" i="1"/>
  <c r="C589" i="1"/>
  <c r="B589" i="1"/>
  <c r="C588" i="1"/>
  <c r="B588" i="1"/>
  <c r="C587" i="1"/>
  <c r="B587" i="1"/>
  <c r="C586" i="1"/>
  <c r="B586" i="1"/>
  <c r="C585" i="1"/>
  <c r="B585" i="1"/>
  <c r="C584" i="1"/>
  <c r="B584" i="1"/>
  <c r="C583" i="1"/>
  <c r="B583" i="1"/>
  <c r="C582" i="1"/>
  <c r="B582" i="1"/>
  <c r="C581" i="1"/>
  <c r="B581" i="1"/>
  <c r="C580" i="1"/>
  <c r="B580" i="1"/>
  <c r="C579" i="1"/>
  <c r="B579" i="1"/>
  <c r="C578" i="1"/>
  <c r="B578" i="1"/>
  <c r="C577" i="1"/>
  <c r="B577" i="1"/>
  <c r="C576" i="1"/>
  <c r="B576" i="1"/>
  <c r="C575" i="1"/>
  <c r="B575" i="1"/>
  <c r="C574" i="1"/>
  <c r="B574" i="1"/>
  <c r="C573" i="1"/>
  <c r="B573" i="1"/>
  <c r="C572" i="1"/>
  <c r="B572" i="1"/>
  <c r="C571" i="1"/>
  <c r="B571" i="1"/>
  <c r="C570" i="1"/>
  <c r="B570" i="1"/>
  <c r="C569" i="1"/>
  <c r="B569" i="1"/>
  <c r="C568" i="1"/>
  <c r="B568" i="1"/>
  <c r="C567" i="1"/>
  <c r="B567" i="1"/>
  <c r="C566" i="1"/>
  <c r="B566" i="1"/>
  <c r="C565" i="1"/>
  <c r="B565" i="1"/>
  <c r="C564" i="1"/>
  <c r="B564" i="1"/>
  <c r="C563" i="1"/>
  <c r="B563" i="1"/>
  <c r="C562" i="1"/>
  <c r="B562" i="1"/>
  <c r="B561" i="1"/>
  <c r="C560" i="1"/>
  <c r="B560" i="1"/>
  <c r="C559" i="1"/>
  <c r="B559" i="1"/>
  <c r="C558" i="1"/>
  <c r="B558" i="1"/>
  <c r="C557" i="1"/>
  <c r="B557" i="1"/>
  <c r="C556" i="1"/>
  <c r="B556" i="1"/>
  <c r="C555" i="1"/>
  <c r="B555" i="1"/>
  <c r="C554" i="1"/>
  <c r="B554" i="1"/>
  <c r="C553" i="1"/>
  <c r="B553" i="1"/>
  <c r="C552" i="1"/>
  <c r="B552" i="1"/>
  <c r="C551" i="1"/>
  <c r="B551" i="1"/>
  <c r="C550" i="1"/>
  <c r="B550" i="1"/>
  <c r="C549" i="1"/>
  <c r="B549" i="1"/>
  <c r="C548" i="1"/>
  <c r="B548" i="1"/>
  <c r="C547" i="1"/>
  <c r="B547" i="1"/>
  <c r="C546" i="1"/>
  <c r="B546" i="1"/>
  <c r="C545" i="1"/>
  <c r="B545" i="1"/>
  <c r="C544" i="1"/>
  <c r="B544" i="1"/>
  <c r="C543" i="1"/>
  <c r="B543" i="1"/>
  <c r="C542" i="1"/>
  <c r="B542" i="1"/>
  <c r="C541" i="1"/>
  <c r="B541" i="1"/>
  <c r="C540" i="1"/>
  <c r="B540" i="1"/>
  <c r="C539" i="1"/>
  <c r="B539" i="1"/>
  <c r="C538" i="1"/>
  <c r="B538" i="1"/>
  <c r="C537" i="1"/>
  <c r="B537" i="1"/>
  <c r="C536" i="1"/>
  <c r="B536" i="1"/>
  <c r="C535" i="1"/>
  <c r="B535" i="1"/>
  <c r="C534" i="1"/>
  <c r="B534" i="1"/>
  <c r="C533" i="1"/>
  <c r="B533" i="1"/>
  <c r="C532" i="1"/>
  <c r="B532" i="1"/>
  <c r="C531" i="1"/>
  <c r="B531" i="1"/>
  <c r="C530" i="1"/>
  <c r="B530" i="1"/>
  <c r="C529" i="1"/>
  <c r="B529" i="1"/>
  <c r="C528" i="1"/>
  <c r="B528" i="1"/>
  <c r="C527" i="1"/>
  <c r="B527" i="1"/>
  <c r="C526" i="1"/>
  <c r="B526" i="1"/>
  <c r="C525" i="1"/>
  <c r="B525" i="1"/>
  <c r="C524" i="1"/>
  <c r="B524" i="1"/>
  <c r="C523" i="1"/>
  <c r="B523" i="1"/>
  <c r="C522" i="1"/>
  <c r="B522" i="1"/>
  <c r="C521" i="1"/>
  <c r="B521" i="1"/>
  <c r="C520" i="1"/>
  <c r="B520" i="1"/>
  <c r="C519" i="1"/>
  <c r="B519" i="1"/>
  <c r="C518" i="1"/>
  <c r="B518" i="1"/>
  <c r="C517" i="1"/>
  <c r="B517" i="1"/>
  <c r="C516" i="1"/>
  <c r="B516" i="1"/>
  <c r="C515" i="1"/>
  <c r="B515" i="1"/>
  <c r="C514" i="1"/>
  <c r="B514" i="1"/>
  <c r="C513" i="1"/>
  <c r="B513" i="1"/>
  <c r="C512" i="1"/>
  <c r="B512" i="1"/>
  <c r="C511" i="1"/>
  <c r="B511" i="1"/>
  <c r="C510" i="1"/>
  <c r="B510" i="1"/>
  <c r="C509" i="1"/>
  <c r="B509" i="1"/>
  <c r="C508" i="1"/>
  <c r="B508" i="1"/>
  <c r="C507" i="1"/>
  <c r="B507" i="1"/>
  <c r="C506" i="1"/>
  <c r="B506" i="1"/>
  <c r="C505" i="1"/>
  <c r="B505" i="1"/>
  <c r="C504" i="1"/>
  <c r="B504" i="1"/>
  <c r="C503" i="1"/>
  <c r="B503" i="1"/>
  <c r="C502" i="1"/>
  <c r="B502" i="1"/>
  <c r="C501" i="1"/>
  <c r="B501" i="1"/>
  <c r="C500" i="1"/>
  <c r="B500" i="1"/>
  <c r="C499" i="1"/>
  <c r="B499" i="1"/>
  <c r="C498" i="1"/>
  <c r="B498" i="1"/>
  <c r="C497" i="1"/>
  <c r="B497" i="1"/>
  <c r="C496" i="1"/>
  <c r="B496" i="1"/>
  <c r="C495" i="1"/>
  <c r="B495" i="1"/>
  <c r="C494" i="1"/>
  <c r="B494" i="1"/>
  <c r="C493" i="1"/>
  <c r="B493" i="1"/>
  <c r="C492" i="1"/>
  <c r="B492" i="1"/>
  <c r="C491" i="1"/>
  <c r="B491" i="1"/>
  <c r="C490" i="1"/>
  <c r="B490" i="1"/>
  <c r="C489" i="1"/>
  <c r="B489" i="1"/>
  <c r="C488" i="1"/>
  <c r="B488" i="1"/>
  <c r="C487" i="1"/>
  <c r="B487" i="1"/>
  <c r="C486" i="1"/>
  <c r="B486" i="1"/>
  <c r="C485" i="1"/>
  <c r="B485" i="1"/>
  <c r="C484" i="1"/>
  <c r="B484" i="1"/>
  <c r="C483" i="1"/>
  <c r="B483" i="1"/>
  <c r="C482" i="1"/>
  <c r="B482" i="1"/>
  <c r="C481" i="1"/>
  <c r="B481" i="1"/>
  <c r="C480" i="1"/>
  <c r="B480" i="1"/>
  <c r="C479" i="1"/>
  <c r="B479" i="1"/>
  <c r="C478" i="1"/>
  <c r="B478" i="1"/>
  <c r="C477" i="1"/>
  <c r="B477" i="1"/>
  <c r="C476" i="1"/>
  <c r="B476" i="1"/>
  <c r="C475" i="1"/>
  <c r="B475" i="1"/>
  <c r="C474" i="1"/>
  <c r="B474" i="1"/>
  <c r="C473" i="1"/>
  <c r="B473" i="1"/>
  <c r="C472" i="1"/>
  <c r="B472" i="1"/>
  <c r="C471" i="1"/>
  <c r="B471" i="1"/>
  <c r="C470" i="1"/>
  <c r="B470" i="1"/>
  <c r="C469" i="1"/>
  <c r="B469" i="1"/>
  <c r="C468" i="1"/>
  <c r="B468" i="1"/>
  <c r="C467" i="1"/>
  <c r="B467" i="1"/>
  <c r="C466" i="1"/>
  <c r="B466" i="1"/>
  <c r="C465" i="1"/>
  <c r="B465" i="1"/>
  <c r="C464" i="1"/>
  <c r="B464" i="1"/>
  <c r="C463" i="1"/>
  <c r="B463" i="1"/>
  <c r="C462" i="1"/>
  <c r="B462" i="1"/>
  <c r="C461" i="1"/>
  <c r="B461" i="1"/>
  <c r="C460" i="1"/>
  <c r="B460" i="1"/>
  <c r="C459" i="1"/>
  <c r="B459" i="1"/>
  <c r="C458" i="1"/>
  <c r="B458" i="1"/>
  <c r="C457" i="1"/>
  <c r="B457" i="1"/>
  <c r="C456" i="1"/>
  <c r="B456" i="1"/>
  <c r="C455" i="1"/>
  <c r="B455" i="1"/>
  <c r="C454" i="1"/>
  <c r="B454" i="1"/>
  <c r="C453" i="1"/>
  <c r="B453" i="1"/>
  <c r="C452" i="1"/>
  <c r="B452" i="1"/>
  <c r="C451" i="1"/>
  <c r="B451" i="1"/>
  <c r="C450" i="1"/>
  <c r="B450" i="1"/>
  <c r="C449" i="1"/>
  <c r="B449" i="1"/>
  <c r="C448" i="1"/>
  <c r="B448" i="1"/>
  <c r="C447" i="1"/>
  <c r="B447" i="1"/>
  <c r="C446" i="1"/>
  <c r="B446" i="1"/>
  <c r="C445" i="1"/>
  <c r="B445" i="1"/>
  <c r="C444" i="1"/>
  <c r="B444" i="1"/>
  <c r="C443" i="1"/>
  <c r="B443" i="1"/>
  <c r="C442" i="1"/>
  <c r="B442" i="1"/>
  <c r="C441" i="1"/>
  <c r="B441" i="1"/>
  <c r="C440" i="1"/>
  <c r="B440" i="1"/>
  <c r="C439" i="1"/>
  <c r="B439" i="1"/>
  <c r="C438" i="1"/>
  <c r="B438" i="1"/>
  <c r="C437" i="1"/>
  <c r="B437" i="1"/>
  <c r="C436" i="1"/>
  <c r="B436" i="1"/>
  <c r="C435" i="1"/>
  <c r="B435" i="1"/>
  <c r="C434" i="1"/>
  <c r="B434" i="1"/>
  <c r="C433" i="1"/>
  <c r="B433" i="1"/>
  <c r="C432" i="1"/>
  <c r="B432" i="1"/>
  <c r="C431" i="1"/>
  <c r="B431" i="1"/>
  <c r="C430" i="1"/>
  <c r="B430" i="1"/>
  <c r="C429" i="1"/>
  <c r="B429" i="1"/>
  <c r="C428" i="1"/>
  <c r="B428" i="1"/>
  <c r="C427" i="1"/>
  <c r="B427" i="1"/>
  <c r="C426" i="1"/>
  <c r="B426" i="1"/>
  <c r="C425" i="1"/>
  <c r="B425" i="1"/>
  <c r="C424" i="1"/>
  <c r="B424" i="1"/>
  <c r="C423" i="1"/>
  <c r="B423" i="1"/>
  <c r="C422" i="1"/>
  <c r="B422" i="1"/>
  <c r="C421" i="1"/>
  <c r="B421" i="1"/>
  <c r="C420" i="1"/>
  <c r="B420" i="1"/>
  <c r="C419" i="1"/>
  <c r="B419" i="1"/>
  <c r="C418" i="1"/>
  <c r="B418" i="1"/>
  <c r="C417" i="1"/>
  <c r="B417" i="1"/>
  <c r="C416" i="1"/>
  <c r="B416" i="1"/>
  <c r="C415" i="1"/>
  <c r="B415" i="1"/>
  <c r="C414" i="1"/>
  <c r="B414" i="1"/>
  <c r="C413" i="1"/>
  <c r="B413" i="1"/>
  <c r="C412" i="1"/>
  <c r="B412" i="1"/>
  <c r="C411" i="1"/>
  <c r="B411" i="1"/>
  <c r="C410" i="1"/>
  <c r="B410" i="1"/>
  <c r="C409" i="1"/>
  <c r="B409" i="1"/>
  <c r="C408" i="1"/>
  <c r="B408" i="1"/>
  <c r="C407" i="1"/>
  <c r="B407" i="1"/>
  <c r="C406" i="1"/>
  <c r="B406" i="1"/>
  <c r="C405" i="1"/>
  <c r="B405" i="1"/>
  <c r="C404" i="1"/>
  <c r="B404" i="1"/>
  <c r="C403" i="1"/>
  <c r="B403" i="1"/>
  <c r="C402" i="1"/>
  <c r="B402" i="1"/>
  <c r="C401" i="1"/>
  <c r="B401" i="1"/>
  <c r="C400" i="1"/>
  <c r="B400" i="1"/>
  <c r="C399" i="1"/>
  <c r="B399" i="1"/>
  <c r="C398" i="1"/>
  <c r="B398" i="1"/>
  <c r="C397" i="1"/>
  <c r="B397" i="1"/>
  <c r="C396" i="1"/>
  <c r="B396" i="1"/>
  <c r="C395" i="1"/>
  <c r="B395" i="1"/>
  <c r="C394" i="1"/>
  <c r="B394" i="1"/>
  <c r="C393" i="1"/>
  <c r="B393" i="1"/>
  <c r="C392" i="1"/>
  <c r="B392" i="1"/>
  <c r="C391" i="1"/>
  <c r="B391" i="1"/>
  <c r="C390" i="1"/>
  <c r="B390" i="1"/>
  <c r="C389" i="1"/>
  <c r="B389" i="1"/>
  <c r="C388" i="1"/>
  <c r="B388" i="1"/>
  <c r="C387" i="1"/>
  <c r="B387" i="1"/>
  <c r="C386" i="1"/>
  <c r="B386" i="1"/>
  <c r="C385" i="1"/>
  <c r="B385" i="1"/>
  <c r="C384" i="1"/>
  <c r="B384" i="1"/>
  <c r="C383" i="1"/>
  <c r="B383" i="1"/>
  <c r="C382" i="1"/>
  <c r="B382" i="1"/>
  <c r="C381" i="1"/>
  <c r="B381" i="1"/>
  <c r="C380" i="1"/>
  <c r="B380" i="1"/>
  <c r="C379" i="1"/>
  <c r="B379" i="1"/>
  <c r="C378" i="1"/>
  <c r="B378" i="1"/>
  <c r="C377" i="1"/>
  <c r="B377" i="1"/>
  <c r="C376" i="1"/>
  <c r="B376" i="1"/>
  <c r="C375" i="1"/>
  <c r="B375" i="1"/>
  <c r="C374" i="1"/>
  <c r="B374" i="1"/>
  <c r="C373" i="1"/>
  <c r="B373" i="1"/>
  <c r="C372" i="1"/>
  <c r="B372" i="1"/>
  <c r="C371" i="1"/>
  <c r="B371" i="1"/>
  <c r="C370" i="1"/>
  <c r="B370" i="1"/>
  <c r="C369" i="1"/>
  <c r="B369" i="1"/>
  <c r="C368" i="1"/>
  <c r="B368" i="1"/>
  <c r="C367" i="1"/>
  <c r="B367" i="1"/>
  <c r="C366" i="1"/>
  <c r="B366" i="1"/>
  <c r="C365" i="1"/>
  <c r="B365" i="1"/>
  <c r="C364" i="1"/>
  <c r="B364" i="1"/>
  <c r="C363" i="1"/>
  <c r="B363" i="1"/>
  <c r="C362" i="1"/>
  <c r="B362" i="1"/>
  <c r="C361" i="1"/>
  <c r="B361" i="1"/>
  <c r="C360" i="1"/>
  <c r="B360" i="1"/>
  <c r="C359" i="1"/>
  <c r="B359" i="1"/>
  <c r="C358" i="1"/>
  <c r="B358" i="1"/>
  <c r="C357" i="1"/>
  <c r="B357" i="1"/>
  <c r="C356" i="1"/>
  <c r="B356" i="1"/>
  <c r="C355" i="1"/>
  <c r="B355" i="1"/>
  <c r="C354" i="1"/>
  <c r="B354" i="1"/>
  <c r="C353" i="1"/>
  <c r="B353" i="1"/>
  <c r="C352" i="1"/>
  <c r="B352" i="1"/>
  <c r="C351" i="1"/>
  <c r="B351" i="1"/>
  <c r="C350" i="1"/>
  <c r="B350" i="1"/>
  <c r="C349" i="1"/>
  <c r="B349" i="1"/>
  <c r="C348" i="1"/>
  <c r="B348" i="1"/>
  <c r="C347" i="1"/>
  <c r="B347" i="1"/>
  <c r="C346" i="1"/>
  <c r="B346" i="1"/>
  <c r="C345" i="1"/>
  <c r="B345" i="1"/>
  <c r="C344" i="1"/>
  <c r="B344" i="1"/>
  <c r="C343" i="1"/>
  <c r="B343" i="1"/>
  <c r="C342" i="1"/>
  <c r="B342" i="1"/>
  <c r="C341" i="1"/>
  <c r="B341" i="1"/>
  <c r="C340" i="1"/>
  <c r="B340" i="1"/>
  <c r="C339" i="1"/>
  <c r="B339" i="1"/>
  <c r="C338" i="1"/>
  <c r="B338" i="1"/>
  <c r="C337" i="1"/>
  <c r="B337" i="1"/>
  <c r="C336" i="1"/>
  <c r="B336" i="1"/>
  <c r="C335" i="1"/>
  <c r="B335" i="1"/>
  <c r="C334" i="1"/>
  <c r="B334" i="1"/>
  <c r="C333" i="1"/>
  <c r="B333" i="1"/>
  <c r="C332" i="1"/>
  <c r="B332" i="1"/>
  <c r="C331" i="1"/>
  <c r="B331" i="1"/>
  <c r="C330" i="1"/>
  <c r="B330" i="1"/>
  <c r="C329" i="1"/>
  <c r="B329" i="1"/>
  <c r="C328" i="1"/>
  <c r="B328" i="1"/>
  <c r="C327" i="1"/>
  <c r="B327" i="1"/>
  <c r="C326" i="1"/>
  <c r="B326" i="1"/>
  <c r="C325" i="1"/>
  <c r="B325" i="1"/>
  <c r="C324" i="1"/>
  <c r="B324" i="1"/>
  <c r="C323" i="1"/>
  <c r="B323" i="1"/>
  <c r="C322" i="1"/>
  <c r="B322" i="1"/>
  <c r="C321" i="1"/>
  <c r="B321" i="1"/>
  <c r="C320" i="1"/>
  <c r="B320" i="1"/>
  <c r="C319" i="1"/>
  <c r="B319" i="1"/>
  <c r="C318" i="1"/>
  <c r="B318" i="1"/>
  <c r="C317" i="1"/>
  <c r="B317" i="1"/>
  <c r="C316" i="1"/>
  <c r="B316" i="1"/>
  <c r="C315" i="1"/>
  <c r="B315" i="1"/>
  <c r="C314" i="1"/>
  <c r="B314" i="1"/>
  <c r="C313" i="1"/>
  <c r="B313" i="1"/>
  <c r="C312" i="1"/>
  <c r="B312" i="1"/>
  <c r="C311" i="1"/>
  <c r="B311" i="1"/>
  <c r="C310" i="1"/>
  <c r="B310" i="1"/>
  <c r="C309" i="1"/>
  <c r="B309" i="1"/>
  <c r="C308" i="1"/>
  <c r="B308" i="1"/>
  <c r="C307" i="1"/>
  <c r="B307" i="1"/>
  <c r="C306" i="1"/>
  <c r="B306" i="1"/>
  <c r="C305" i="1"/>
  <c r="B305" i="1"/>
  <c r="C304" i="1"/>
  <c r="B304" i="1"/>
  <c r="C303" i="1"/>
  <c r="B303" i="1"/>
  <c r="C302" i="1"/>
  <c r="B302" i="1"/>
  <c r="C301" i="1"/>
  <c r="B301" i="1"/>
  <c r="C300" i="1"/>
  <c r="B300" i="1"/>
  <c r="C299" i="1"/>
  <c r="B299" i="1"/>
  <c r="C298" i="1"/>
  <c r="B298" i="1"/>
  <c r="C297" i="1"/>
  <c r="B297" i="1"/>
  <c r="C296" i="1"/>
  <c r="B296" i="1"/>
  <c r="C295" i="1"/>
  <c r="B295" i="1"/>
  <c r="C294" i="1"/>
  <c r="B294" i="1"/>
  <c r="C293" i="1"/>
  <c r="B293" i="1"/>
  <c r="C292" i="1"/>
  <c r="B292" i="1"/>
  <c r="C291" i="1"/>
  <c r="B291" i="1"/>
  <c r="C290" i="1"/>
  <c r="B290" i="1"/>
  <c r="C289" i="1"/>
  <c r="B289" i="1"/>
  <c r="C288" i="1"/>
  <c r="B288" i="1"/>
  <c r="C287" i="1"/>
  <c r="B287" i="1"/>
  <c r="C286" i="1"/>
  <c r="B286" i="1"/>
  <c r="C285" i="1"/>
  <c r="B285" i="1"/>
  <c r="C284" i="1"/>
  <c r="B284" i="1"/>
  <c r="C283" i="1"/>
  <c r="B283" i="1"/>
  <c r="C282" i="1"/>
  <c r="B282" i="1"/>
  <c r="C281" i="1"/>
  <c r="B281" i="1"/>
  <c r="C280" i="1"/>
  <c r="B280" i="1"/>
  <c r="C279" i="1"/>
  <c r="B279" i="1"/>
  <c r="C278" i="1"/>
  <c r="B278" i="1"/>
  <c r="C277" i="1"/>
  <c r="B277" i="1"/>
  <c r="C276" i="1"/>
  <c r="B276" i="1"/>
  <c r="C275" i="1"/>
  <c r="B275" i="1"/>
  <c r="C274" i="1"/>
  <c r="B274" i="1"/>
  <c r="C273" i="1"/>
  <c r="B273" i="1"/>
  <c r="C272" i="1"/>
  <c r="B272" i="1"/>
  <c r="C271" i="1"/>
  <c r="B271" i="1"/>
  <c r="C270" i="1"/>
  <c r="B270" i="1"/>
  <c r="C269" i="1"/>
  <c r="B269" i="1"/>
  <c r="C268" i="1"/>
  <c r="B268" i="1"/>
  <c r="C267" i="1"/>
  <c r="B267" i="1"/>
  <c r="C266" i="1"/>
  <c r="B266" i="1"/>
  <c r="C265" i="1"/>
  <c r="B265" i="1"/>
  <c r="C264" i="1"/>
  <c r="B264" i="1"/>
  <c r="C263" i="1"/>
  <c r="B263" i="1"/>
  <c r="C262" i="1"/>
  <c r="B262" i="1"/>
  <c r="C261" i="1"/>
  <c r="B261" i="1"/>
  <c r="C260" i="1"/>
  <c r="B260" i="1"/>
  <c r="C259" i="1"/>
  <c r="B259" i="1"/>
  <c r="C258" i="1"/>
  <c r="B258" i="1"/>
  <c r="C257" i="1"/>
  <c r="B257" i="1"/>
  <c r="C256" i="1"/>
  <c r="B256" i="1"/>
  <c r="C255" i="1"/>
  <c r="B255" i="1"/>
  <c r="C254" i="1"/>
  <c r="B254" i="1"/>
  <c r="C253" i="1"/>
  <c r="B253" i="1"/>
  <c r="C252" i="1"/>
  <c r="B252" i="1"/>
  <c r="C251" i="1"/>
  <c r="B251" i="1"/>
  <c r="C250" i="1"/>
  <c r="B250" i="1"/>
  <c r="C249" i="1"/>
  <c r="B249" i="1"/>
  <c r="C248" i="1"/>
  <c r="B248" i="1"/>
  <c r="C247" i="1"/>
  <c r="B247" i="1"/>
  <c r="C246" i="1"/>
  <c r="B246" i="1"/>
  <c r="C245" i="1"/>
  <c r="B245" i="1"/>
  <c r="C244" i="1"/>
  <c r="B244" i="1"/>
  <c r="C243" i="1"/>
  <c r="B243" i="1"/>
  <c r="C242" i="1"/>
  <c r="B242" i="1"/>
  <c r="C241" i="1"/>
  <c r="B241" i="1"/>
  <c r="C240" i="1"/>
  <c r="B240" i="1"/>
  <c r="C239" i="1"/>
  <c r="B239" i="1"/>
  <c r="C238" i="1"/>
  <c r="B238" i="1"/>
  <c r="C237" i="1"/>
  <c r="B237" i="1"/>
  <c r="C236" i="1"/>
  <c r="B236" i="1"/>
  <c r="C235" i="1"/>
  <c r="B235" i="1"/>
  <c r="C234" i="1"/>
  <c r="B234" i="1"/>
  <c r="C233" i="1"/>
  <c r="B233" i="1"/>
  <c r="C232" i="1"/>
  <c r="B232" i="1"/>
  <c r="C231" i="1"/>
  <c r="B231" i="1"/>
  <c r="C230" i="1"/>
  <c r="B230" i="1"/>
  <c r="C229" i="1"/>
  <c r="B229" i="1"/>
  <c r="C228" i="1"/>
  <c r="B228" i="1"/>
  <c r="C227" i="1"/>
  <c r="B227" i="1"/>
  <c r="C226" i="1"/>
  <c r="B226" i="1"/>
  <c r="C225" i="1"/>
  <c r="B225" i="1"/>
  <c r="C224" i="1"/>
  <c r="B224" i="1"/>
  <c r="C223" i="1"/>
  <c r="B223" i="1"/>
  <c r="C222" i="1"/>
  <c r="B222" i="1"/>
  <c r="C221" i="1"/>
  <c r="B221" i="1"/>
  <c r="C220" i="1"/>
  <c r="B220" i="1"/>
  <c r="C219" i="1"/>
  <c r="B219" i="1"/>
  <c r="C218" i="1"/>
  <c r="B218" i="1"/>
  <c r="C217" i="1"/>
  <c r="B217" i="1"/>
  <c r="C216" i="1"/>
  <c r="B216" i="1"/>
  <c r="C215" i="1"/>
  <c r="B215" i="1"/>
  <c r="C214" i="1"/>
  <c r="B214" i="1"/>
  <c r="C213" i="1"/>
  <c r="B213" i="1"/>
  <c r="C212" i="1"/>
  <c r="B212" i="1"/>
  <c r="C211" i="1"/>
  <c r="B211" i="1"/>
  <c r="C210" i="1"/>
  <c r="B210" i="1"/>
  <c r="C209" i="1"/>
  <c r="B209" i="1"/>
  <c r="C208" i="1"/>
  <c r="B208" i="1"/>
  <c r="C207" i="1"/>
  <c r="B207" i="1"/>
  <c r="C206" i="1"/>
  <c r="B206" i="1"/>
  <c r="C205" i="1"/>
  <c r="B205" i="1"/>
  <c r="C204" i="1"/>
  <c r="B204" i="1"/>
  <c r="C203" i="1"/>
  <c r="B203" i="1"/>
  <c r="C202" i="1"/>
  <c r="B202" i="1"/>
  <c r="C201" i="1"/>
  <c r="B201" i="1"/>
  <c r="C200" i="1"/>
  <c r="B200" i="1"/>
  <c r="C199" i="1"/>
  <c r="B199" i="1"/>
  <c r="C198" i="1"/>
  <c r="B198" i="1"/>
  <c r="C197" i="1"/>
  <c r="B197" i="1"/>
  <c r="C196" i="1"/>
  <c r="B196" i="1"/>
  <c r="C195" i="1"/>
  <c r="B195" i="1"/>
  <c r="C194" i="1"/>
  <c r="B194" i="1"/>
  <c r="C193" i="1"/>
  <c r="B193" i="1"/>
  <c r="C192" i="1"/>
  <c r="B192" i="1"/>
  <c r="C191" i="1"/>
  <c r="B191" i="1"/>
  <c r="C190" i="1"/>
  <c r="B190" i="1"/>
  <c r="C189" i="1"/>
  <c r="B189" i="1"/>
  <c r="C188" i="1"/>
  <c r="B188" i="1"/>
  <c r="C187" i="1"/>
  <c r="B187" i="1"/>
  <c r="C186" i="1"/>
  <c r="B186" i="1"/>
  <c r="C185" i="1"/>
  <c r="B185" i="1"/>
  <c r="C184" i="1"/>
  <c r="B184" i="1"/>
  <c r="C183" i="1"/>
  <c r="B183" i="1"/>
  <c r="C182" i="1"/>
  <c r="B182" i="1"/>
  <c r="C181" i="1"/>
  <c r="B181" i="1"/>
  <c r="C180" i="1"/>
  <c r="B180" i="1"/>
  <c r="C179" i="1"/>
  <c r="B179" i="1"/>
  <c r="C178" i="1"/>
  <c r="B178" i="1"/>
  <c r="C177" i="1"/>
  <c r="B177" i="1"/>
  <c r="C176" i="1"/>
  <c r="B176" i="1"/>
  <c r="C175" i="1"/>
  <c r="B175" i="1"/>
  <c r="C174" i="1"/>
  <c r="B174" i="1"/>
  <c r="C173" i="1"/>
  <c r="B173" i="1"/>
  <c r="C172" i="1"/>
  <c r="B172" i="1"/>
  <c r="C171" i="1"/>
  <c r="B171" i="1"/>
  <c r="C170" i="1"/>
  <c r="B170" i="1"/>
  <c r="C169" i="1"/>
  <c r="B169" i="1"/>
  <c r="C168" i="1"/>
  <c r="B168" i="1"/>
  <c r="C167" i="1"/>
  <c r="B167" i="1"/>
  <c r="C166" i="1"/>
  <c r="B166" i="1"/>
  <c r="C165" i="1"/>
  <c r="B165" i="1"/>
  <c r="C164" i="1"/>
  <c r="B164" i="1"/>
  <c r="C163" i="1"/>
  <c r="B163" i="1"/>
  <c r="C162" i="1"/>
  <c r="B162" i="1"/>
  <c r="C161" i="1"/>
  <c r="B161" i="1"/>
  <c r="C160" i="1"/>
  <c r="B160" i="1"/>
  <c r="C159" i="1"/>
  <c r="B159" i="1"/>
  <c r="C158" i="1"/>
  <c r="B158" i="1"/>
  <c r="C157" i="1"/>
  <c r="B157" i="1"/>
  <c r="C156" i="1"/>
  <c r="B156" i="1"/>
  <c r="C155" i="1"/>
  <c r="B155" i="1"/>
  <c r="C154" i="1"/>
  <c r="B154" i="1"/>
  <c r="C153" i="1"/>
  <c r="B153" i="1"/>
  <c r="C152" i="1"/>
  <c r="B152" i="1"/>
  <c r="C151" i="1"/>
  <c r="B151" i="1"/>
  <c r="C150" i="1"/>
  <c r="B150" i="1"/>
  <c r="C149" i="1"/>
  <c r="B149" i="1"/>
  <c r="C148" i="1"/>
  <c r="B148" i="1"/>
  <c r="C147" i="1"/>
  <c r="B147" i="1"/>
  <c r="C146" i="1"/>
  <c r="B146" i="1"/>
  <c r="C145" i="1"/>
  <c r="B145" i="1"/>
  <c r="C144" i="1"/>
  <c r="B144" i="1"/>
  <c r="C143" i="1"/>
  <c r="B143" i="1"/>
  <c r="C142" i="1"/>
  <c r="B142" i="1"/>
  <c r="C141" i="1"/>
  <c r="B141" i="1"/>
  <c r="C140" i="1"/>
  <c r="B140" i="1"/>
  <c r="C139" i="1"/>
  <c r="B139" i="1"/>
  <c r="C138" i="1"/>
  <c r="B138" i="1"/>
  <c r="C137" i="1"/>
  <c r="B137" i="1"/>
  <c r="C136" i="1"/>
  <c r="B136" i="1"/>
  <c r="C135" i="1"/>
  <c r="B135" i="1"/>
  <c r="C134" i="1"/>
  <c r="B134" i="1"/>
  <c r="C133" i="1"/>
  <c r="B133" i="1"/>
  <c r="C132" i="1"/>
  <c r="B132" i="1"/>
  <c r="C131" i="1"/>
  <c r="B131" i="1"/>
  <c r="C130" i="1"/>
  <c r="B130" i="1"/>
  <c r="C129" i="1"/>
  <c r="B129" i="1"/>
  <c r="C128" i="1"/>
  <c r="B128" i="1"/>
  <c r="C127" i="1"/>
  <c r="B127" i="1"/>
  <c r="C126" i="1"/>
  <c r="B126" i="1"/>
  <c r="C125" i="1"/>
  <c r="B125" i="1"/>
  <c r="C124" i="1"/>
  <c r="B124" i="1"/>
  <c r="C123" i="1"/>
  <c r="B123" i="1"/>
  <c r="C122" i="1"/>
  <c r="B122" i="1"/>
  <c r="C121" i="1"/>
  <c r="B121" i="1"/>
  <c r="C120" i="1"/>
  <c r="B120" i="1"/>
  <c r="C119" i="1"/>
  <c r="B119" i="1"/>
  <c r="C118" i="1"/>
  <c r="B118" i="1"/>
  <c r="C117" i="1"/>
  <c r="B117" i="1"/>
  <c r="C116" i="1"/>
  <c r="B116" i="1"/>
  <c r="C115" i="1"/>
  <c r="B115" i="1"/>
  <c r="C114" i="1"/>
  <c r="B114" i="1"/>
  <c r="C113" i="1"/>
  <c r="B113" i="1"/>
  <c r="C112" i="1"/>
  <c r="B112" i="1"/>
  <c r="C111" i="1"/>
  <c r="B111" i="1"/>
  <c r="C110" i="1"/>
  <c r="B110" i="1"/>
  <c r="C109" i="1"/>
  <c r="B109" i="1"/>
  <c r="C108" i="1"/>
  <c r="B108" i="1"/>
  <c r="C107" i="1"/>
  <c r="B107" i="1"/>
  <c r="C106" i="1"/>
  <c r="B106" i="1"/>
  <c r="C105" i="1"/>
  <c r="B105" i="1"/>
  <c r="C104" i="1"/>
  <c r="B104" i="1"/>
  <c r="C103" i="1"/>
  <c r="B103" i="1"/>
  <c r="C102" i="1"/>
  <c r="B102" i="1"/>
  <c r="C101" i="1"/>
  <c r="B101" i="1"/>
  <c r="C100" i="1"/>
  <c r="B100" i="1"/>
  <c r="C99" i="1"/>
  <c r="B99" i="1"/>
  <c r="C98" i="1"/>
  <c r="B98" i="1"/>
  <c r="C97" i="1"/>
  <c r="B97" i="1"/>
  <c r="C96" i="1"/>
  <c r="B96" i="1"/>
  <c r="C95" i="1"/>
  <c r="B95" i="1"/>
  <c r="C94" i="1"/>
  <c r="B94" i="1"/>
  <c r="C93" i="1"/>
  <c r="B93" i="1"/>
  <c r="C92" i="1"/>
  <c r="B92" i="1"/>
  <c r="C91" i="1"/>
  <c r="B91" i="1"/>
  <c r="C90" i="1"/>
  <c r="B90" i="1"/>
  <c r="C89" i="1"/>
  <c r="B89" i="1"/>
  <c r="C88" i="1"/>
  <c r="B88" i="1"/>
  <c r="C87" i="1"/>
  <c r="B87" i="1"/>
  <c r="C86" i="1"/>
  <c r="B86" i="1"/>
  <c r="C85" i="1"/>
  <c r="B85" i="1"/>
  <c r="C84" i="1"/>
  <c r="B84" i="1"/>
  <c r="C83" i="1"/>
  <c r="B83" i="1"/>
  <c r="C82" i="1"/>
  <c r="B82" i="1"/>
  <c r="C81" i="1"/>
  <c r="B81" i="1"/>
  <c r="C80" i="1"/>
  <c r="B80" i="1"/>
  <c r="C79" i="1"/>
  <c r="B79" i="1"/>
  <c r="C78" i="1"/>
  <c r="B78" i="1"/>
  <c r="C77" i="1"/>
  <c r="B77" i="1"/>
  <c r="C76" i="1"/>
  <c r="B76" i="1"/>
  <c r="C75" i="1"/>
  <c r="B75" i="1"/>
  <c r="C74" i="1"/>
  <c r="B74" i="1"/>
  <c r="C73" i="1"/>
  <c r="B73" i="1"/>
  <c r="C72" i="1"/>
  <c r="B72" i="1"/>
  <c r="C71" i="1"/>
  <c r="B71" i="1"/>
  <c r="C70" i="1"/>
  <c r="B70" i="1"/>
  <c r="C69" i="1"/>
  <c r="B69" i="1"/>
  <c r="C68" i="1"/>
  <c r="B68" i="1"/>
  <c r="C67" i="1"/>
  <c r="B67" i="1"/>
  <c r="C66" i="1"/>
  <c r="B66" i="1"/>
  <c r="C65" i="1"/>
  <c r="B65" i="1"/>
  <c r="C64" i="1"/>
  <c r="B64" i="1"/>
  <c r="C63" i="1"/>
  <c r="B63" i="1"/>
  <c r="C62" i="1"/>
  <c r="B62" i="1"/>
  <c r="C61" i="1"/>
  <c r="B61" i="1"/>
  <c r="C60" i="1"/>
  <c r="B60" i="1"/>
  <c r="C59" i="1"/>
  <c r="B59" i="1"/>
  <c r="C58" i="1"/>
  <c r="B58" i="1"/>
  <c r="C57" i="1"/>
  <c r="B57" i="1"/>
  <c r="C56" i="1"/>
  <c r="B56" i="1"/>
  <c r="C55" i="1"/>
  <c r="B55" i="1"/>
  <c r="C54" i="1"/>
  <c r="B54" i="1"/>
  <c r="C53" i="1"/>
  <c r="B53" i="1"/>
  <c r="C52" i="1"/>
  <c r="B52" i="1"/>
  <c r="C51" i="1"/>
  <c r="B51" i="1"/>
  <c r="C50" i="1"/>
  <c r="B50" i="1"/>
  <c r="C49" i="1"/>
  <c r="B49" i="1"/>
  <c r="C48" i="1"/>
  <c r="B48" i="1"/>
  <c r="C47" i="1"/>
  <c r="B47" i="1"/>
  <c r="C46" i="1"/>
  <c r="B46" i="1"/>
  <c r="C45" i="1"/>
  <c r="B45" i="1"/>
  <c r="C44" i="1"/>
  <c r="B44" i="1"/>
  <c r="C43" i="1"/>
  <c r="B43" i="1"/>
  <c r="C42" i="1"/>
  <c r="B42" i="1"/>
  <c r="C41" i="1"/>
  <c r="B41" i="1"/>
  <c r="C40" i="1"/>
  <c r="B40" i="1"/>
  <c r="C39" i="1"/>
  <c r="B39" i="1"/>
  <c r="C38" i="1"/>
  <c r="B38" i="1"/>
  <c r="C37" i="1"/>
  <c r="B37" i="1"/>
  <c r="C36" i="1"/>
  <c r="B36" i="1"/>
  <c r="C35" i="1"/>
  <c r="B35" i="1"/>
  <c r="C34" i="1"/>
  <c r="B34" i="1"/>
  <c r="C33" i="1"/>
  <c r="B33" i="1"/>
  <c r="C32" i="1"/>
  <c r="B32" i="1"/>
  <c r="C31" i="1"/>
  <c r="B31" i="1"/>
  <c r="C30" i="1"/>
  <c r="B30" i="1"/>
  <c r="C29" i="1"/>
  <c r="B29" i="1"/>
  <c r="C28" i="1"/>
  <c r="B28" i="1"/>
  <c r="C27" i="1"/>
  <c r="B27" i="1"/>
  <c r="C26" i="1"/>
  <c r="B26" i="1"/>
  <c r="C25" i="1"/>
  <c r="B25" i="1"/>
  <c r="C24" i="1"/>
  <c r="B24" i="1"/>
  <c r="C23" i="1"/>
  <c r="B23" i="1"/>
  <c r="C22" i="1"/>
  <c r="B22" i="1"/>
  <c r="C21" i="1"/>
  <c r="B21" i="1"/>
  <c r="C20" i="1"/>
  <c r="B20" i="1"/>
  <c r="C19" i="1"/>
  <c r="B19" i="1"/>
  <c r="C18" i="1"/>
  <c r="B18" i="1"/>
  <c r="C17" i="1"/>
  <c r="B17" i="1"/>
  <c r="C16" i="1"/>
  <c r="B16" i="1"/>
  <c r="C15" i="1"/>
  <c r="B15" i="1"/>
  <c r="C14" i="1"/>
  <c r="B14" i="1"/>
  <c r="C13" i="1"/>
  <c r="B13" i="1"/>
  <c r="C12" i="1"/>
  <c r="B12" i="1"/>
  <c r="C11" i="1"/>
  <c r="B11" i="1"/>
  <c r="C10" i="1"/>
  <c r="B10" i="1"/>
  <c r="C9" i="1"/>
  <c r="B9" i="1"/>
  <c r="C8" i="1"/>
  <c r="B8" i="1"/>
  <c r="C7" i="1"/>
  <c r="B7" i="1"/>
  <c r="C6" i="1"/>
  <c r="B6" i="1"/>
  <c r="C5" i="1"/>
  <c r="B5" i="1"/>
  <c r="C4" i="1"/>
  <c r="B4" i="1"/>
  <c r="C3" i="1"/>
  <c r="B3" i="1"/>
  <c r="C2" i="1"/>
  <c r="B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H76" authorId="0" shapeId="0" xr:uid="{5EDA82D2-034C-4ADA-BE34-2A1C74DC990D}">
      <text>
        <r>
          <rPr>
            <b/>
            <sz val="10"/>
            <color rgb="FF000000"/>
            <rFont val="Calibri"/>
            <family val="2"/>
          </rPr>
          <t>Microsoft Office User:</t>
        </r>
        <r>
          <rPr>
            <sz val="10"/>
            <color rgb="FF000000"/>
            <rFont val="Calibri"/>
            <family val="2"/>
          </rPr>
          <t xml:space="preserve">
</t>
        </r>
        <r>
          <rPr>
            <sz val="10"/>
            <color rgb="FF000000"/>
            <rFont val="Calibri"/>
            <family val="2"/>
          </rPr>
          <t>I know the panel exists and liz has a lot of experince with it but is it associated with plat resistance?</t>
        </r>
      </text>
    </comment>
  </commentList>
</comments>
</file>

<file path=xl/sharedStrings.xml><?xml version="1.0" encoding="utf-8"?>
<sst xmlns="http://schemas.openxmlformats.org/spreadsheetml/2006/main" count="10724" uniqueCount="5531">
  <si>
    <t>Index</t>
  </si>
  <si>
    <t>AATF</t>
  </si>
  <si>
    <t>ABCA8</t>
  </si>
  <si>
    <t>ABCB1</t>
  </si>
  <si>
    <t>ABCB5</t>
  </si>
  <si>
    <t>ABCC1</t>
  </si>
  <si>
    <t>ABCC2</t>
  </si>
  <si>
    <t>ABCC3</t>
  </si>
  <si>
    <t>ABCC4</t>
  </si>
  <si>
    <t>ABCC5</t>
  </si>
  <si>
    <t>ABCD2</t>
  </si>
  <si>
    <t>ABCF2</t>
  </si>
  <si>
    <t>ABCG2</t>
  </si>
  <si>
    <t>ABHD2</t>
  </si>
  <si>
    <t>ABL1</t>
  </si>
  <si>
    <t>ACSS2</t>
  </si>
  <si>
    <t>ACTA2</t>
  </si>
  <si>
    <t>ACTN4</t>
  </si>
  <si>
    <t>ACVR1C</t>
  </si>
  <si>
    <t>ADAM10</t>
  </si>
  <si>
    <t>ADAM17</t>
  </si>
  <si>
    <t>ADAM9</t>
  </si>
  <si>
    <t>AGR3</t>
  </si>
  <si>
    <t>AIFM1</t>
  </si>
  <si>
    <t>AKR1B10</t>
  </si>
  <si>
    <t>AKR1C1</t>
  </si>
  <si>
    <t>AKR1C2</t>
  </si>
  <si>
    <t>AKR1C3</t>
  </si>
  <si>
    <t>AKT1</t>
  </si>
  <si>
    <t>AKT1S1</t>
  </si>
  <si>
    <t>AKT2</t>
  </si>
  <si>
    <t>ALDH1A1</t>
  </si>
  <si>
    <t>ALDH3A1</t>
  </si>
  <si>
    <t>ALDOA</t>
  </si>
  <si>
    <t>ALKBH3</t>
  </si>
  <si>
    <t>AMBRA1</t>
  </si>
  <si>
    <t>AMFR</t>
  </si>
  <si>
    <t>ANKRD1</t>
  </si>
  <si>
    <t>ANXA2</t>
  </si>
  <si>
    <t>ANXA3</t>
  </si>
  <si>
    <t>ANXA4</t>
  </si>
  <si>
    <t>APAF1</t>
  </si>
  <si>
    <t>APC</t>
  </si>
  <si>
    <t>APEX1</t>
  </si>
  <si>
    <t>AQP2</t>
  </si>
  <si>
    <t>AREG</t>
  </si>
  <si>
    <t>ARHGDIB</t>
  </si>
  <si>
    <t>ARID1A</t>
  </si>
  <si>
    <t>ARID3B</t>
  </si>
  <si>
    <t>ARIH1</t>
  </si>
  <si>
    <t>ARL6IP5</t>
  </si>
  <si>
    <t>ARNT</t>
  </si>
  <si>
    <t>ASS1</t>
  </si>
  <si>
    <t>ATF2</t>
  </si>
  <si>
    <t>ATF3</t>
  </si>
  <si>
    <t>ATF4</t>
  </si>
  <si>
    <t>ATG12</t>
  </si>
  <si>
    <t>ATG14</t>
  </si>
  <si>
    <t>ATG5</t>
  </si>
  <si>
    <t>ATG7</t>
  </si>
  <si>
    <t>ATM</t>
  </si>
  <si>
    <t>ATMIN</t>
  </si>
  <si>
    <t>ATP11B</t>
  </si>
  <si>
    <t>ATP1B1</t>
  </si>
  <si>
    <t>ATP6V1A</t>
  </si>
  <si>
    <t>ATP6V1B2</t>
  </si>
  <si>
    <t>ATP6V1C1</t>
  </si>
  <si>
    <t>ATP6V0D1</t>
  </si>
  <si>
    <t>ATP6V1E1</t>
  </si>
  <si>
    <t>ATP6V0B</t>
  </si>
  <si>
    <t>ATP7A</t>
  </si>
  <si>
    <t>ATP7B</t>
  </si>
  <si>
    <t>ATR</t>
  </si>
  <si>
    <t>ATRIP</t>
  </si>
  <si>
    <t>AURKA</t>
  </si>
  <si>
    <t>AXL</t>
  </si>
  <si>
    <t>BAD</t>
  </si>
  <si>
    <t>BAG3</t>
  </si>
  <si>
    <t>BAK1</t>
  </si>
  <si>
    <t>BAP1</t>
  </si>
  <si>
    <t>BARD1</t>
  </si>
  <si>
    <t>BAX</t>
  </si>
  <si>
    <t>BBC3</t>
  </si>
  <si>
    <t>BCAT1</t>
  </si>
  <si>
    <t>BCL2</t>
  </si>
  <si>
    <t>BCL2L1</t>
  </si>
  <si>
    <t>BCL2L11</t>
  </si>
  <si>
    <t>BCL2L2</t>
  </si>
  <si>
    <t>BECN1</t>
  </si>
  <si>
    <t>BEX3</t>
  </si>
  <si>
    <t>BHLHE40</t>
  </si>
  <si>
    <t>BID</t>
  </si>
  <si>
    <t>BIK</t>
  </si>
  <si>
    <t>BIN1</t>
  </si>
  <si>
    <t>BIRC2</t>
  </si>
  <si>
    <t>BIRC3</t>
  </si>
  <si>
    <t>BIRC5</t>
  </si>
  <si>
    <t>BIRC7</t>
  </si>
  <si>
    <t>BLM</t>
  </si>
  <si>
    <t>BMI1</t>
  </si>
  <si>
    <t>BMP4</t>
  </si>
  <si>
    <t>BMPR1A</t>
  </si>
  <si>
    <t>BNIP3</t>
  </si>
  <si>
    <t>BOK</t>
  </si>
  <si>
    <t>BRCA1</t>
  </si>
  <si>
    <t>BRCA2</t>
  </si>
  <si>
    <t>BRD9</t>
  </si>
  <si>
    <t>BRIP1</t>
  </si>
  <si>
    <t>BSG</t>
  </si>
  <si>
    <t>C1QBP</t>
  </si>
  <si>
    <t>CAD</t>
  </si>
  <si>
    <t>CAPNS1</t>
  </si>
  <si>
    <t>CAMK2D</t>
  </si>
  <si>
    <t>CAPN1</t>
  </si>
  <si>
    <t>CARD10</t>
  </si>
  <si>
    <t>CASP12</t>
  </si>
  <si>
    <t>CASP14</t>
  </si>
  <si>
    <t>CASP2</t>
  </si>
  <si>
    <t>CASP3</t>
  </si>
  <si>
    <t>CASP4</t>
  </si>
  <si>
    <t>CASP6</t>
  </si>
  <si>
    <t>CASP7</t>
  </si>
  <si>
    <t>CASP8</t>
  </si>
  <si>
    <t>CASP9</t>
  </si>
  <si>
    <t>CAV1</t>
  </si>
  <si>
    <t>CAVIN3</t>
  </si>
  <si>
    <t>CBS</t>
  </si>
  <si>
    <t>CCDC69</t>
  </si>
  <si>
    <t>CCL2</t>
  </si>
  <si>
    <t>CCL25</t>
  </si>
  <si>
    <t>CCL5</t>
  </si>
  <si>
    <t>CCN2</t>
  </si>
  <si>
    <t>CCNA2</t>
  </si>
  <si>
    <t>CCND1</t>
  </si>
  <si>
    <t>CCNE1</t>
  </si>
  <si>
    <t>CCR9</t>
  </si>
  <si>
    <t>CD24</t>
  </si>
  <si>
    <t>CD274</t>
  </si>
  <si>
    <t>CD40</t>
  </si>
  <si>
    <t>CD40LG</t>
  </si>
  <si>
    <t>CD44</t>
  </si>
  <si>
    <t>CD55</t>
  </si>
  <si>
    <t>CD8A</t>
  </si>
  <si>
    <t>CD8B</t>
  </si>
  <si>
    <t>CDC37</t>
  </si>
  <si>
    <t>CDC42</t>
  </si>
  <si>
    <t>CDC7</t>
  </si>
  <si>
    <t>CDCP1</t>
  </si>
  <si>
    <t>CDH1</t>
  </si>
  <si>
    <t>CDH2</t>
  </si>
  <si>
    <t>CDK12</t>
  </si>
  <si>
    <t>CDK2</t>
  </si>
  <si>
    <t>CDK4</t>
  </si>
  <si>
    <t>CDK5</t>
  </si>
  <si>
    <t>CDK7</t>
  </si>
  <si>
    <t>CDKN1A</t>
  </si>
  <si>
    <t>CDKN1B</t>
  </si>
  <si>
    <t>CDKN1C</t>
  </si>
  <si>
    <t>CDKN2A</t>
  </si>
  <si>
    <t>CDKN2C</t>
  </si>
  <si>
    <t>CEBPB</t>
  </si>
  <si>
    <t>CFLAR</t>
  </si>
  <si>
    <t>CHD4</t>
  </si>
  <si>
    <t>CHEK1</t>
  </si>
  <si>
    <t>CHEK2</t>
  </si>
  <si>
    <t>CHMP2B</t>
  </si>
  <si>
    <t>CHUK</t>
  </si>
  <si>
    <t>CIP2A</t>
  </si>
  <si>
    <t>CLDN1</t>
  </si>
  <si>
    <t>CLDN3</t>
  </si>
  <si>
    <t>CLDN4</t>
  </si>
  <si>
    <t>CLDN7</t>
  </si>
  <si>
    <t>CLIC1</t>
  </si>
  <si>
    <t>CLN3</t>
  </si>
  <si>
    <t>CLOCK</t>
  </si>
  <si>
    <t>CLPTM1L</t>
  </si>
  <si>
    <t>CLU</t>
  </si>
  <si>
    <t>COL1A1</t>
  </si>
  <si>
    <t>COL11A1</t>
  </si>
  <si>
    <t>COL3A1</t>
  </si>
  <si>
    <t>COL6A3</t>
  </si>
  <si>
    <t>COX17</t>
  </si>
  <si>
    <t>COX7A2</t>
  </si>
  <si>
    <t>CPT2</t>
  </si>
  <si>
    <t>CREB1</t>
  </si>
  <si>
    <t>CRYAB</t>
  </si>
  <si>
    <t>CSF1</t>
  </si>
  <si>
    <t>CSF1R</t>
  </si>
  <si>
    <t>CTNNA1</t>
  </si>
  <si>
    <t>CTNNB1</t>
  </si>
  <si>
    <t>CUEDC2</t>
  </si>
  <si>
    <t>CUL3</t>
  </si>
  <si>
    <t>CUL4A</t>
  </si>
  <si>
    <t>CUZD1</t>
  </si>
  <si>
    <t>CXCL10</t>
  </si>
  <si>
    <t>CXCL12</t>
  </si>
  <si>
    <t>CXCL8</t>
  </si>
  <si>
    <t>CXCR4</t>
  </si>
  <si>
    <t>CYP1B1</t>
  </si>
  <si>
    <t>CYP2E1</t>
  </si>
  <si>
    <t>CCN1</t>
  </si>
  <si>
    <t>DACT1</t>
  </si>
  <si>
    <t>DAPK3</t>
  </si>
  <si>
    <t>DAXX</t>
  </si>
  <si>
    <t>DAPK1</t>
  </si>
  <si>
    <t>DCLRE1A</t>
  </si>
  <si>
    <t>DCLRE1B</t>
  </si>
  <si>
    <t>DCLRE1C</t>
  </si>
  <si>
    <t>DDB1</t>
  </si>
  <si>
    <t>DDB2</t>
  </si>
  <si>
    <t>DDIAS</t>
  </si>
  <si>
    <t>DDIT3</t>
  </si>
  <si>
    <t>DDR1</t>
  </si>
  <si>
    <t>DERL1</t>
  </si>
  <si>
    <t>DHFR</t>
  </si>
  <si>
    <t>DIAPH3</t>
  </si>
  <si>
    <t>DICER1</t>
  </si>
  <si>
    <t>DIRAS3</t>
  </si>
  <si>
    <t>DKK1</t>
  </si>
  <si>
    <t>DKK3</t>
  </si>
  <si>
    <t>DNMT1</t>
  </si>
  <si>
    <t>DOK2</t>
  </si>
  <si>
    <t>DRAM1</t>
  </si>
  <si>
    <t>DSG1</t>
  </si>
  <si>
    <t>DUOXA1</t>
  </si>
  <si>
    <t>DUSP1</t>
  </si>
  <si>
    <t>DUSP6</t>
  </si>
  <si>
    <t>DVL2</t>
  </si>
  <si>
    <t>DVL3</t>
  </si>
  <si>
    <t>DYNLL1</t>
  </si>
  <si>
    <t>DYRK2</t>
  </si>
  <si>
    <t>E2F1</t>
  </si>
  <si>
    <t>E2F2</t>
  </si>
  <si>
    <t>E2F4</t>
  </si>
  <si>
    <t>E2F7</t>
  </si>
  <si>
    <t>EGF</t>
  </si>
  <si>
    <t>EGLN1</t>
  </si>
  <si>
    <t>EGLN3</t>
  </si>
  <si>
    <t>EGFR</t>
  </si>
  <si>
    <t>EGR1</t>
  </si>
  <si>
    <t>EHD1</t>
  </si>
  <si>
    <t>EIF2AK3</t>
  </si>
  <si>
    <t>EIF2S1</t>
  </si>
  <si>
    <t>EIF3A</t>
  </si>
  <si>
    <t>EIF3G</t>
  </si>
  <si>
    <t>EIF4E</t>
  </si>
  <si>
    <t>EIF4EBP1</t>
  </si>
  <si>
    <t>EME1</t>
  </si>
  <si>
    <t>EMSY</t>
  </si>
  <si>
    <t>EMX2</t>
  </si>
  <si>
    <t>ENG</t>
  </si>
  <si>
    <t>ENO1</t>
  </si>
  <si>
    <t>ENPP2</t>
  </si>
  <si>
    <t>EP300</t>
  </si>
  <si>
    <t>EPCAM</t>
  </si>
  <si>
    <t>ERBB2</t>
  </si>
  <si>
    <t>ERBB3</t>
  </si>
  <si>
    <t>ERBB4</t>
  </si>
  <si>
    <t>ERCC1</t>
  </si>
  <si>
    <t>ERCC2</t>
  </si>
  <si>
    <t>ERCC3</t>
  </si>
  <si>
    <t>ERCC4</t>
  </si>
  <si>
    <t>ERCC5</t>
  </si>
  <si>
    <t>ERCC6</t>
  </si>
  <si>
    <t>ERCC8</t>
  </si>
  <si>
    <t>ERN1</t>
  </si>
  <si>
    <t>EDNRA</t>
  </si>
  <si>
    <t>ETS1</t>
  </si>
  <si>
    <t>EXO1</t>
  </si>
  <si>
    <t>EZH2</t>
  </si>
  <si>
    <t>EZR</t>
  </si>
  <si>
    <t>FAAP100</t>
  </si>
  <si>
    <t>FAAP24</t>
  </si>
  <si>
    <t>FADD</t>
  </si>
  <si>
    <t>FAM168A</t>
  </si>
  <si>
    <t>ABRAXAS2</t>
  </si>
  <si>
    <t>FAN1</t>
  </si>
  <si>
    <t>FANCA</t>
  </si>
  <si>
    <t>FANCB</t>
  </si>
  <si>
    <t>FANCC</t>
  </si>
  <si>
    <t>FANCD2</t>
  </si>
  <si>
    <t>FANCE</t>
  </si>
  <si>
    <t>FANCF</t>
  </si>
  <si>
    <t>FANCG</t>
  </si>
  <si>
    <t>FANCI</t>
  </si>
  <si>
    <t>FANCL</t>
  </si>
  <si>
    <t>FANCM</t>
  </si>
  <si>
    <t>FAP</t>
  </si>
  <si>
    <t>FAS</t>
  </si>
  <si>
    <t>FASLG</t>
  </si>
  <si>
    <t>FASN</t>
  </si>
  <si>
    <t>FAT1</t>
  </si>
  <si>
    <t>FAU</t>
  </si>
  <si>
    <t>FBXO32</t>
  </si>
  <si>
    <t>FEN1</t>
  </si>
  <si>
    <t>FGF1</t>
  </si>
  <si>
    <t>FGF2</t>
  </si>
  <si>
    <t>FGFR2</t>
  </si>
  <si>
    <t>FH</t>
  </si>
  <si>
    <t>FLNA</t>
  </si>
  <si>
    <t>FN1</t>
  </si>
  <si>
    <t>FOLR1</t>
  </si>
  <si>
    <t>FOLR2</t>
  </si>
  <si>
    <t>FOS</t>
  </si>
  <si>
    <t>FOSB</t>
  </si>
  <si>
    <t>FOSL1</t>
  </si>
  <si>
    <t>FOXC2</t>
  </si>
  <si>
    <t>FOXM1</t>
  </si>
  <si>
    <t>FOXO1</t>
  </si>
  <si>
    <t>FOXO3</t>
  </si>
  <si>
    <t>FOXP1</t>
  </si>
  <si>
    <t>FSTL1</t>
  </si>
  <si>
    <t>FUBP1</t>
  </si>
  <si>
    <t>FZD8</t>
  </si>
  <si>
    <t>G6PD</t>
  </si>
  <si>
    <t>GABPA</t>
  </si>
  <si>
    <t>GADD45A</t>
  </si>
  <si>
    <t>GADD45GIP1</t>
  </si>
  <si>
    <t>GAS6</t>
  </si>
  <si>
    <t>GCLC</t>
  </si>
  <si>
    <t>GCLM</t>
  </si>
  <si>
    <t>GDF15</t>
  </si>
  <si>
    <t>GFRA1</t>
  </si>
  <si>
    <t>GGNBP2</t>
  </si>
  <si>
    <t>GGT1</t>
  </si>
  <si>
    <t>GJA1</t>
  </si>
  <si>
    <t>GLI1</t>
  </si>
  <si>
    <t>GLI2</t>
  </si>
  <si>
    <t>GNPTG</t>
  </si>
  <si>
    <t>GOLPH3</t>
  </si>
  <si>
    <t>GOLPH3L</t>
  </si>
  <si>
    <t>GPBP1</t>
  </si>
  <si>
    <t>GPX3</t>
  </si>
  <si>
    <t>GPX4</t>
  </si>
  <si>
    <t>GREB1</t>
  </si>
  <si>
    <t>GREM1</t>
  </si>
  <si>
    <t>GSK3B</t>
  </si>
  <si>
    <t>GLS</t>
  </si>
  <si>
    <t>GLS2</t>
  </si>
  <si>
    <t>GSN</t>
  </si>
  <si>
    <t>GSR</t>
  </si>
  <si>
    <t>GSTA1</t>
  </si>
  <si>
    <t>GSTK1</t>
  </si>
  <si>
    <t>GSTM1</t>
  </si>
  <si>
    <t>GSTP1</t>
  </si>
  <si>
    <t>GSTT1</t>
  </si>
  <si>
    <t>H2AX</t>
  </si>
  <si>
    <t>H6PD</t>
  </si>
  <si>
    <t>HBEGF</t>
  </si>
  <si>
    <t>HCFC1R1</t>
  </si>
  <si>
    <t>HDAC1</t>
  </si>
  <si>
    <t>HDAC3</t>
  </si>
  <si>
    <t>HDAC4</t>
  </si>
  <si>
    <t>HECTD3</t>
  </si>
  <si>
    <t>HELQ</t>
  </si>
  <si>
    <t>HEY1</t>
  </si>
  <si>
    <t>HGF</t>
  </si>
  <si>
    <t>HIC1</t>
  </si>
  <si>
    <t>HIF1A</t>
  </si>
  <si>
    <t>HIPK2</t>
  </si>
  <si>
    <t>HK2</t>
  </si>
  <si>
    <t>HMGB1</t>
  </si>
  <si>
    <t>HMGCR</t>
  </si>
  <si>
    <t>HMOX1</t>
  </si>
  <si>
    <t>HNF1B</t>
  </si>
  <si>
    <t>HOXA13</t>
  </si>
  <si>
    <t>HOXA4</t>
  </si>
  <si>
    <t>HOXB13</t>
  </si>
  <si>
    <t>HOXB3</t>
  </si>
  <si>
    <t>HOXB4</t>
  </si>
  <si>
    <t>HOXD8</t>
  </si>
  <si>
    <t>HROB</t>
  </si>
  <si>
    <t>HSF1</t>
  </si>
  <si>
    <t>HSPA1A</t>
  </si>
  <si>
    <t>HSPA1B</t>
  </si>
  <si>
    <t>HSP90AA1</t>
  </si>
  <si>
    <t>HSP90AB1</t>
  </si>
  <si>
    <t>HSPA5</t>
  </si>
  <si>
    <t>HSPB1</t>
  </si>
  <si>
    <t>HSPD1</t>
  </si>
  <si>
    <t>HTRA2</t>
  </si>
  <si>
    <t>ICAM1</t>
  </si>
  <si>
    <t>ID1</t>
  </si>
  <si>
    <t>IFNG</t>
  </si>
  <si>
    <t>IGF1</t>
  </si>
  <si>
    <t>IGF1R</t>
  </si>
  <si>
    <t>IGF2</t>
  </si>
  <si>
    <t>IGF2BP1</t>
  </si>
  <si>
    <t>IGF2BP3</t>
  </si>
  <si>
    <t>IKBKE</t>
  </si>
  <si>
    <t>IL11</t>
  </si>
  <si>
    <t>IL1A</t>
  </si>
  <si>
    <t>IL1B</t>
  </si>
  <si>
    <t>IL17A</t>
  </si>
  <si>
    <t>IL22</t>
  </si>
  <si>
    <t>IL25</t>
  </si>
  <si>
    <t>IL6</t>
  </si>
  <si>
    <t>IL6R</t>
  </si>
  <si>
    <t>IL7</t>
  </si>
  <si>
    <t>ILK</t>
  </si>
  <si>
    <t>ITPR1</t>
  </si>
  <si>
    <t>IRF1</t>
  </si>
  <si>
    <t>ITGA5</t>
  </si>
  <si>
    <t>ITGA6</t>
  </si>
  <si>
    <t>ITGB1</t>
  </si>
  <si>
    <t>ITGB5</t>
  </si>
  <si>
    <t>ITGB8</t>
  </si>
  <si>
    <t>ITM2A</t>
  </si>
  <si>
    <t>JAG1</t>
  </si>
  <si>
    <t>JAK2</t>
  </si>
  <si>
    <t>JUN</t>
  </si>
  <si>
    <t>JUNB</t>
  </si>
  <si>
    <t>JUND</t>
  </si>
  <si>
    <t>KAT2B</t>
  </si>
  <si>
    <t>KAT5</t>
  </si>
  <si>
    <t>KAT8</t>
  </si>
  <si>
    <t>KCNMA1</t>
  </si>
  <si>
    <t>KDM3A</t>
  </si>
  <si>
    <t>KDM5A</t>
  </si>
  <si>
    <t>KDR</t>
  </si>
  <si>
    <t>KEAP1</t>
  </si>
  <si>
    <t>KIF20A</t>
  </si>
  <si>
    <t>KISS1</t>
  </si>
  <si>
    <t>KIT</t>
  </si>
  <si>
    <t>KLF4</t>
  </si>
  <si>
    <t>KLF5</t>
  </si>
  <si>
    <t>KRAS</t>
  </si>
  <si>
    <t>KRT1</t>
  </si>
  <si>
    <t>KRT10</t>
  </si>
  <si>
    <t>KRT18</t>
  </si>
  <si>
    <t>KRT5</t>
  </si>
  <si>
    <t>KRT8</t>
  </si>
  <si>
    <t>L1CAM</t>
  </si>
  <si>
    <t>LAMTOR5</t>
  </si>
  <si>
    <t>LATS1</t>
  </si>
  <si>
    <t>LCK</t>
  </si>
  <si>
    <t>LGALS3</t>
  </si>
  <si>
    <t>LIG3</t>
  </si>
  <si>
    <t>LIG4</t>
  </si>
  <si>
    <t>LIN28A</t>
  </si>
  <si>
    <t>LIN28B</t>
  </si>
  <si>
    <t>LMO4</t>
  </si>
  <si>
    <t>LNPEP</t>
  </si>
  <si>
    <t>LRP1</t>
  </si>
  <si>
    <t>LRRC8A</t>
  </si>
  <si>
    <t>LRRC8D</t>
  </si>
  <si>
    <t>LRRFIP1</t>
  </si>
  <si>
    <t>LTB4R2</t>
  </si>
  <si>
    <t>LUC7L3</t>
  </si>
  <si>
    <t>MACC1</t>
  </si>
  <si>
    <t>MAD2L2</t>
  </si>
  <si>
    <t>MAFG</t>
  </si>
  <si>
    <t>MAL</t>
  </si>
  <si>
    <t>MALT1</t>
  </si>
  <si>
    <t>MAP1LC3A</t>
  </si>
  <si>
    <t>MAP1LC3B</t>
  </si>
  <si>
    <t>MAP2K1</t>
  </si>
  <si>
    <t>MAP2K3</t>
  </si>
  <si>
    <t>MAP2K4</t>
  </si>
  <si>
    <t>MAP3K1</t>
  </si>
  <si>
    <t>MAP3K5</t>
  </si>
  <si>
    <t>MAP3K7</t>
  </si>
  <si>
    <t>MAPK1</t>
  </si>
  <si>
    <t>MAPK11</t>
  </si>
  <si>
    <t>MAPK12</t>
  </si>
  <si>
    <t>MAPK13</t>
  </si>
  <si>
    <t>MAPK14</t>
  </si>
  <si>
    <t>MAPK3</t>
  </si>
  <si>
    <t>MAPK8</t>
  </si>
  <si>
    <t>MAPK9</t>
  </si>
  <si>
    <t>MAST1</t>
  </si>
  <si>
    <t>MBNL1</t>
  </si>
  <si>
    <t>MCL1</t>
  </si>
  <si>
    <t>MCM8</t>
  </si>
  <si>
    <t>MCM9</t>
  </si>
  <si>
    <t>MDM2</t>
  </si>
  <si>
    <t>MDM4</t>
  </si>
  <si>
    <t>MELK</t>
  </si>
  <si>
    <t>MEN1</t>
  </si>
  <si>
    <t>MET</t>
  </si>
  <si>
    <t>METTL6</t>
  </si>
  <si>
    <t>MGAT1</t>
  </si>
  <si>
    <t>MGAT5</t>
  </si>
  <si>
    <t>MGMT</t>
  </si>
  <si>
    <t>MICU1</t>
  </si>
  <si>
    <t>MIEN1</t>
  </si>
  <si>
    <t>MITF</t>
  </si>
  <si>
    <t>MLH1</t>
  </si>
  <si>
    <t>KMT2C</t>
  </si>
  <si>
    <t>KMT2B</t>
  </si>
  <si>
    <t>MME</t>
  </si>
  <si>
    <t>MMP10</t>
  </si>
  <si>
    <t>MMP19</t>
  </si>
  <si>
    <t>MMP2</t>
  </si>
  <si>
    <t>MMP20</t>
  </si>
  <si>
    <t>MMP7</t>
  </si>
  <si>
    <t>MMP9</t>
  </si>
  <si>
    <t>MNAT1</t>
  </si>
  <si>
    <t>SOD2</t>
  </si>
  <si>
    <t>MOAP1</t>
  </si>
  <si>
    <t>MRE11</t>
  </si>
  <si>
    <t>MSH2</t>
  </si>
  <si>
    <t>MSH3</t>
  </si>
  <si>
    <t>MSH5</t>
  </si>
  <si>
    <t>MSH6</t>
  </si>
  <si>
    <t>MSLN</t>
  </si>
  <si>
    <t>MSX1</t>
  </si>
  <si>
    <t>MT1A</t>
  </si>
  <si>
    <t>MT2A</t>
  </si>
  <si>
    <t>MT3</t>
  </si>
  <si>
    <t>MT-CO3</t>
  </si>
  <si>
    <t>MTDH</t>
  </si>
  <si>
    <t>MTOR</t>
  </si>
  <si>
    <t>MTRR</t>
  </si>
  <si>
    <t>MUC1</t>
  </si>
  <si>
    <t>MUC16</t>
  </si>
  <si>
    <t>MUC5B</t>
  </si>
  <si>
    <t>MUS81</t>
  </si>
  <si>
    <t>MUTYH</t>
  </si>
  <si>
    <t>MVP</t>
  </si>
  <si>
    <t>MYC</t>
  </si>
  <si>
    <t>MYD88</t>
  </si>
  <si>
    <t>MZF1</t>
  </si>
  <si>
    <t>NACC1</t>
  </si>
  <si>
    <t>NANOG</t>
  </si>
  <si>
    <t>NAP1L3</t>
  </si>
  <si>
    <t>NAPSA</t>
  </si>
  <si>
    <t>NAV3</t>
  </si>
  <si>
    <t>NBN</t>
  </si>
  <si>
    <t>NCOA3</t>
  </si>
  <si>
    <t>NDUFA13</t>
  </si>
  <si>
    <t>NEDD4</t>
  </si>
  <si>
    <t>NEDD4L</t>
  </si>
  <si>
    <t>NEDD8</t>
  </si>
  <si>
    <t>NEIL2</t>
  </si>
  <si>
    <t>NEK11</t>
  </si>
  <si>
    <t>NES</t>
  </si>
  <si>
    <t>NF1</t>
  </si>
  <si>
    <t>NF2</t>
  </si>
  <si>
    <t>NFE2L2</t>
  </si>
  <si>
    <t>NFKB1</t>
  </si>
  <si>
    <t>NFKB2</t>
  </si>
  <si>
    <t>NID1</t>
  </si>
  <si>
    <t>O15522</t>
  </si>
  <si>
    <t>NKX2-8</t>
  </si>
  <si>
    <t>NOS1</t>
  </si>
  <si>
    <t>NOS2</t>
  </si>
  <si>
    <t>NOS3</t>
  </si>
  <si>
    <t>NOTCH1</t>
  </si>
  <si>
    <t>NOTCH3</t>
  </si>
  <si>
    <t>NOX5</t>
  </si>
  <si>
    <t>NPM1</t>
  </si>
  <si>
    <t>NQO1</t>
  </si>
  <si>
    <t>NR1I2</t>
  </si>
  <si>
    <t>NR4A1</t>
  </si>
  <si>
    <t>NRAS</t>
  </si>
  <si>
    <t>NRP2</t>
  </si>
  <si>
    <t>NT5E</t>
  </si>
  <si>
    <t>NTHL1</t>
  </si>
  <si>
    <t>NTRK3</t>
  </si>
  <si>
    <t>NTS</t>
  </si>
  <si>
    <t>NTSR1</t>
  </si>
  <si>
    <t>NUP62</t>
  </si>
  <si>
    <t>ORAI1</t>
  </si>
  <si>
    <t>P4HB</t>
  </si>
  <si>
    <t>PAK1</t>
  </si>
  <si>
    <t>PAK5</t>
  </si>
  <si>
    <t>PALB2</t>
  </si>
  <si>
    <t>PALLD</t>
  </si>
  <si>
    <t>PAPSS1</t>
  </si>
  <si>
    <t>PAQR3</t>
  </si>
  <si>
    <t>PARG</t>
  </si>
  <si>
    <t>PARK7</t>
  </si>
  <si>
    <t>PARP1</t>
  </si>
  <si>
    <t>PARP2</t>
  </si>
  <si>
    <t>PAX2</t>
  </si>
  <si>
    <t>PBX1</t>
  </si>
  <si>
    <t>PBXIP1</t>
  </si>
  <si>
    <t>PCNA</t>
  </si>
  <si>
    <t>PCLAF</t>
  </si>
  <si>
    <t>PDCD4</t>
  </si>
  <si>
    <t>PDGFD</t>
  </si>
  <si>
    <t>PDGFRA</t>
  </si>
  <si>
    <t>PDGFRB</t>
  </si>
  <si>
    <t>PDIA3</t>
  </si>
  <si>
    <t>PDK1</t>
  </si>
  <si>
    <t>PDK4</t>
  </si>
  <si>
    <t>PDPK1</t>
  </si>
  <si>
    <t>PDXK</t>
  </si>
  <si>
    <t>PDXP</t>
  </si>
  <si>
    <t>PDZK1</t>
  </si>
  <si>
    <t>PEA15</t>
  </si>
  <si>
    <t>PER2</t>
  </si>
  <si>
    <t>PFKFB3</t>
  </si>
  <si>
    <t>PGD</t>
  </si>
  <si>
    <t>PGK1</t>
  </si>
  <si>
    <t>PGRMC1</t>
  </si>
  <si>
    <t>PHB</t>
  </si>
  <si>
    <t>PHGDH</t>
  </si>
  <si>
    <t>PIK3CA</t>
  </si>
  <si>
    <t>PIK3CB</t>
  </si>
  <si>
    <t>PIK3CG</t>
  </si>
  <si>
    <t>PIK3R1</t>
  </si>
  <si>
    <t>PIK3R2</t>
  </si>
  <si>
    <t>PIM1</t>
  </si>
  <si>
    <t>PIM2</t>
  </si>
  <si>
    <t>PINK1</t>
  </si>
  <si>
    <t>PIWIL2</t>
  </si>
  <si>
    <t>PKM</t>
  </si>
  <si>
    <t>PLAA</t>
  </si>
  <si>
    <t>PLK1</t>
  </si>
  <si>
    <t>PLK2</t>
  </si>
  <si>
    <t>PMAIP1</t>
  </si>
  <si>
    <t>PMEL</t>
  </si>
  <si>
    <t>PML</t>
  </si>
  <si>
    <t>PMS2</t>
  </si>
  <si>
    <t>PNKP</t>
  </si>
  <si>
    <t>PODXL</t>
  </si>
  <si>
    <t>POLB</t>
  </si>
  <si>
    <t>POLD1</t>
  </si>
  <si>
    <t>POLD2</t>
  </si>
  <si>
    <t>POLD3</t>
  </si>
  <si>
    <t>POLE3</t>
  </si>
  <si>
    <t>POLH</t>
  </si>
  <si>
    <t>POLK</t>
  </si>
  <si>
    <t>POLM</t>
  </si>
  <si>
    <t>POLN</t>
  </si>
  <si>
    <t>POLQ</t>
  </si>
  <si>
    <t>POSTN</t>
  </si>
  <si>
    <t>POU5F1</t>
  </si>
  <si>
    <t>PPARGC1A</t>
  </si>
  <si>
    <t>PPARGC1B</t>
  </si>
  <si>
    <t>PPL</t>
  </si>
  <si>
    <t>PPM1D</t>
  </si>
  <si>
    <t>PPP2CA</t>
  </si>
  <si>
    <t>PPP2R2A</t>
  </si>
  <si>
    <t>PRDX3</t>
  </si>
  <si>
    <t>PRKAA1</t>
  </si>
  <si>
    <t>PRKAA2</t>
  </si>
  <si>
    <t>PRKAB1</t>
  </si>
  <si>
    <t>PRKAB2</t>
  </si>
  <si>
    <t>PRKAR1A</t>
  </si>
  <si>
    <t>PRKCA</t>
  </si>
  <si>
    <t>PRKCB</t>
  </si>
  <si>
    <t>PRKCD</t>
  </si>
  <si>
    <t>PRKDC</t>
  </si>
  <si>
    <t>PRKG1</t>
  </si>
  <si>
    <t>PRKRA</t>
  </si>
  <si>
    <t>PROM1</t>
  </si>
  <si>
    <t>PRR13</t>
  </si>
  <si>
    <t>PRSS1</t>
  </si>
  <si>
    <t>PSMB10</t>
  </si>
  <si>
    <t>PSMB9</t>
  </si>
  <si>
    <t>PTAFR</t>
  </si>
  <si>
    <t>PTCH1</t>
  </si>
  <si>
    <t>PTEN</t>
  </si>
  <si>
    <t>PTGER3</t>
  </si>
  <si>
    <t>PTGS2</t>
  </si>
  <si>
    <t>PAXIP1</t>
  </si>
  <si>
    <t>PTK2</t>
  </si>
  <si>
    <t>PTPN3</t>
  </si>
  <si>
    <t>PXN</t>
  </si>
  <si>
    <t>RAB18</t>
  </si>
  <si>
    <t>RAB25</t>
  </si>
  <si>
    <t>RAB5C</t>
  </si>
  <si>
    <t>RAB7A</t>
  </si>
  <si>
    <t>RAB8A</t>
  </si>
  <si>
    <t>RAC1</t>
  </si>
  <si>
    <t>RAD23B</t>
  </si>
  <si>
    <t>RAD50</t>
  </si>
  <si>
    <t>RAD51</t>
  </si>
  <si>
    <t>RAD51B</t>
  </si>
  <si>
    <t>RAD51C</t>
  </si>
  <si>
    <t>RAD51D</t>
  </si>
  <si>
    <t>RAD52</t>
  </si>
  <si>
    <t>RAD54L</t>
  </si>
  <si>
    <t>RADX</t>
  </si>
  <si>
    <t>RASSF1</t>
  </si>
  <si>
    <t>RB1</t>
  </si>
  <si>
    <t>RBBP8</t>
  </si>
  <si>
    <t>RBM17</t>
  </si>
  <si>
    <t>RBM3</t>
  </si>
  <si>
    <t>RBMS3</t>
  </si>
  <si>
    <t>RECQL</t>
  </si>
  <si>
    <t>RECQL4</t>
  </si>
  <si>
    <t>RELA</t>
  </si>
  <si>
    <t>RET</t>
  </si>
  <si>
    <t>REV1</t>
  </si>
  <si>
    <t>REV3L</t>
  </si>
  <si>
    <t>RFC1</t>
  </si>
  <si>
    <t>RFC2</t>
  </si>
  <si>
    <t>RGS10</t>
  </si>
  <si>
    <t>RGS17</t>
  </si>
  <si>
    <t>RHOA</t>
  </si>
  <si>
    <t>RHOJ</t>
  </si>
  <si>
    <t>RIF1</t>
  </si>
  <si>
    <t>RIPK1</t>
  </si>
  <si>
    <t>RIPK3</t>
  </si>
  <si>
    <t>RNASET2</t>
  </si>
  <si>
    <t>RNF2</t>
  </si>
  <si>
    <t>ROR1</t>
  </si>
  <si>
    <t>ROR2</t>
  </si>
  <si>
    <t>RORC</t>
  </si>
  <si>
    <t>RPA1</t>
  </si>
  <si>
    <t>RPL36</t>
  </si>
  <si>
    <t>RPL37</t>
  </si>
  <si>
    <t>RPS20</t>
  </si>
  <si>
    <t>RPS4X</t>
  </si>
  <si>
    <t>RPS6KA1</t>
  </si>
  <si>
    <t>RPS6KA3</t>
  </si>
  <si>
    <t>RPS6KB1</t>
  </si>
  <si>
    <t>RPS6KB2</t>
  </si>
  <si>
    <t>RPS7</t>
  </si>
  <si>
    <t>RPSA</t>
  </si>
  <si>
    <t>RRM2</t>
  </si>
  <si>
    <t>RUNX3</t>
  </si>
  <si>
    <t>S100A4</t>
  </si>
  <si>
    <t>S100A7</t>
  </si>
  <si>
    <t>P06702</t>
  </si>
  <si>
    <t>S100A9</t>
  </si>
  <si>
    <t>S100B</t>
  </si>
  <si>
    <t>SAT1</t>
  </si>
  <si>
    <t>SAV1</t>
  </si>
  <si>
    <t>SCAI</t>
  </si>
  <si>
    <t>SCRIB</t>
  </si>
  <si>
    <t>SDHB</t>
  </si>
  <si>
    <t>SDHC</t>
  </si>
  <si>
    <t>SDHD</t>
  </si>
  <si>
    <t>SENP1</t>
  </si>
  <si>
    <t>SERPINB2</t>
  </si>
  <si>
    <t>SERPINB3</t>
  </si>
  <si>
    <t>SERPINE1</t>
  </si>
  <si>
    <t>SESN1</t>
  </si>
  <si>
    <t>SETD2</t>
  </si>
  <si>
    <t>SFN</t>
  </si>
  <si>
    <t>SFRP5</t>
  </si>
  <si>
    <t>SGK1</t>
  </si>
  <si>
    <t>SHCBP1</t>
  </si>
  <si>
    <t>SIK2</t>
  </si>
  <si>
    <t>SIRT1</t>
  </si>
  <si>
    <t>SIRT3</t>
  </si>
  <si>
    <t>SIX1</t>
  </si>
  <si>
    <t>SHC1</t>
  </si>
  <si>
    <t>SLC19A1</t>
  </si>
  <si>
    <t>SLC1A5</t>
  </si>
  <si>
    <t>SLC2A1</t>
  </si>
  <si>
    <t>SLC22A2</t>
  </si>
  <si>
    <t>SLC22A3</t>
  </si>
  <si>
    <t>SLC25A1</t>
  </si>
  <si>
    <t>SLC27A2</t>
  </si>
  <si>
    <t>SLC2A14</t>
  </si>
  <si>
    <t>SLC31A1</t>
  </si>
  <si>
    <t>SLC31A2</t>
  </si>
  <si>
    <t>SLC39A4</t>
  </si>
  <si>
    <t>SLC3A2</t>
  </si>
  <si>
    <t>SLC40A1</t>
  </si>
  <si>
    <t>SLC46A1</t>
  </si>
  <si>
    <t>SLC7A11</t>
  </si>
  <si>
    <t>SLCO1B3</t>
  </si>
  <si>
    <t>SLFN11</t>
  </si>
  <si>
    <t>SLX1A</t>
  </si>
  <si>
    <t>SLX4</t>
  </si>
  <si>
    <t>SMAD4</t>
  </si>
  <si>
    <t>SMARCA2</t>
  </si>
  <si>
    <t>SMARCA4</t>
  </si>
  <si>
    <t>SMARCE1</t>
  </si>
  <si>
    <t>SMO</t>
  </si>
  <si>
    <t>SMPD1</t>
  </si>
  <si>
    <t>SMURF2</t>
  </si>
  <si>
    <t>SNAI1</t>
  </si>
  <si>
    <t>SNAI2</t>
  </si>
  <si>
    <t>SOD1</t>
  </si>
  <si>
    <t>SOX1</t>
  </si>
  <si>
    <t>SOX17</t>
  </si>
  <si>
    <t>SOX2</t>
  </si>
  <si>
    <t>SOX8</t>
  </si>
  <si>
    <t>SOX9</t>
  </si>
  <si>
    <t>SOX10</t>
  </si>
  <si>
    <t>SPARC</t>
  </si>
  <si>
    <t>SPINK7</t>
  </si>
  <si>
    <t>SPP1</t>
  </si>
  <si>
    <t>SQSTM1</t>
  </si>
  <si>
    <t>SRC</t>
  </si>
  <si>
    <t>SREBF2</t>
  </si>
  <si>
    <t>SRPK1</t>
  </si>
  <si>
    <t>SRSF2</t>
  </si>
  <si>
    <t>SRSF4</t>
  </si>
  <si>
    <t>ST6GAL1</t>
  </si>
  <si>
    <t>STAT1</t>
  </si>
  <si>
    <t>STAT3</t>
  </si>
  <si>
    <t>STAT5A</t>
  </si>
  <si>
    <t>STAT5B</t>
  </si>
  <si>
    <t>STAT6</t>
  </si>
  <si>
    <t>STIM1</t>
  </si>
  <si>
    <t>STING1</t>
  </si>
  <si>
    <t>STK11</t>
  </si>
  <si>
    <t>STK17A</t>
  </si>
  <si>
    <t>Q13043</t>
  </si>
  <si>
    <t>STK4</t>
  </si>
  <si>
    <t>SUSD2</t>
  </si>
  <si>
    <t>TAB1</t>
  </si>
  <si>
    <t>TAB3</t>
  </si>
  <si>
    <t>TAP1</t>
  </si>
  <si>
    <t>TBCE</t>
  </si>
  <si>
    <t>TBX2</t>
  </si>
  <si>
    <t>TEAD1</t>
  </si>
  <si>
    <t>Q99594</t>
  </si>
  <si>
    <t>TEAD3</t>
  </si>
  <si>
    <t>TEAD4</t>
  </si>
  <si>
    <t>TERT</t>
  </si>
  <si>
    <t>TET1</t>
  </si>
  <si>
    <t>TET2</t>
  </si>
  <si>
    <t>TFAM</t>
  </si>
  <si>
    <t>TFRC</t>
  </si>
  <si>
    <t>TGFB1</t>
  </si>
  <si>
    <t>TGFB2</t>
  </si>
  <si>
    <t>TGFB3</t>
  </si>
  <si>
    <t>TGFBI</t>
  </si>
  <si>
    <t>TGFBR1</t>
  </si>
  <si>
    <t>TGFBR2</t>
  </si>
  <si>
    <t>TGM2</t>
  </si>
  <si>
    <t>TGM3</t>
  </si>
  <si>
    <t>THBS1</t>
  </si>
  <si>
    <t>TIE1</t>
  </si>
  <si>
    <t>TIGAR</t>
  </si>
  <si>
    <t>TIMELESS</t>
  </si>
  <si>
    <t>TIMP2</t>
  </si>
  <si>
    <t>TIMP3</t>
  </si>
  <si>
    <t>TLK1</t>
  </si>
  <si>
    <t>TLR4</t>
  </si>
  <si>
    <t>TLX3</t>
  </si>
  <si>
    <t>TMEM205</t>
  </si>
  <si>
    <t>TMEM88</t>
  </si>
  <si>
    <t>TMEM97</t>
  </si>
  <si>
    <t>TMEM98</t>
  </si>
  <si>
    <t>TNF</t>
  </si>
  <si>
    <t>TNFAIP8</t>
  </si>
  <si>
    <t>Q6P589</t>
  </si>
  <si>
    <t>TNFAIP8L2</t>
  </si>
  <si>
    <t>TNFRSF10A</t>
  </si>
  <si>
    <t>TNFRSF10B</t>
  </si>
  <si>
    <t>TNFSF10</t>
  </si>
  <si>
    <t>TNFRSF12A</t>
  </si>
  <si>
    <t>TOP1</t>
  </si>
  <si>
    <t>TOP2A</t>
  </si>
  <si>
    <t>TOP3A</t>
  </si>
  <si>
    <t>TOP3B</t>
  </si>
  <si>
    <t>TOPBP1</t>
  </si>
  <si>
    <t>TP53</t>
  </si>
  <si>
    <t>TP53BP1</t>
  </si>
  <si>
    <t>TP53INP1</t>
  </si>
  <si>
    <t>TP63</t>
  </si>
  <si>
    <t>TP73</t>
  </si>
  <si>
    <t>TPT1</t>
  </si>
  <si>
    <t>TRAF2</t>
  </si>
  <si>
    <t>TRAP1</t>
  </si>
  <si>
    <t>TRIB2</t>
  </si>
  <si>
    <t>TRIM27</t>
  </si>
  <si>
    <t>TRIM65</t>
  </si>
  <si>
    <t>TRIP13</t>
  </si>
  <si>
    <t>TRO</t>
  </si>
  <si>
    <t>TWIST1</t>
  </si>
  <si>
    <t>TXN</t>
  </si>
  <si>
    <t>TXNDC17</t>
  </si>
  <si>
    <t>TXNRD1</t>
  </si>
  <si>
    <t>TXNRD2</t>
  </si>
  <si>
    <t>TXNRD3</t>
  </si>
  <si>
    <t>TXNL1</t>
  </si>
  <si>
    <t>UBE2S</t>
  </si>
  <si>
    <t>UBE2T</t>
  </si>
  <si>
    <t>UBR5</t>
  </si>
  <si>
    <t>UCHL1</t>
  </si>
  <si>
    <t>UCP2</t>
  </si>
  <si>
    <t>UGCG</t>
  </si>
  <si>
    <t>UIMC1</t>
  </si>
  <si>
    <t>UNG</t>
  </si>
  <si>
    <t>URI1</t>
  </si>
  <si>
    <t>USP1</t>
  </si>
  <si>
    <t>USP13</t>
  </si>
  <si>
    <t>USP22</t>
  </si>
  <si>
    <t>USP35</t>
  </si>
  <si>
    <t>USP37</t>
  </si>
  <si>
    <t>UVRAG</t>
  </si>
  <si>
    <t>VCAM1</t>
  </si>
  <si>
    <t>VDAC1</t>
  </si>
  <si>
    <t>VEGFA</t>
  </si>
  <si>
    <t>FLT4</t>
  </si>
  <si>
    <t>VHL</t>
  </si>
  <si>
    <t>VIM</t>
  </si>
  <si>
    <t>WDR48</t>
  </si>
  <si>
    <t>WFDC2</t>
  </si>
  <si>
    <t>WWOX</t>
  </si>
  <si>
    <t>WWP2</t>
  </si>
  <si>
    <t>WWTR1</t>
  </si>
  <si>
    <t>XAF1</t>
  </si>
  <si>
    <t>XBP1</t>
  </si>
  <si>
    <t>XIAP</t>
  </si>
  <si>
    <t>XPA</t>
  </si>
  <si>
    <t>XPC</t>
  </si>
  <si>
    <t>XPO1</t>
  </si>
  <si>
    <t>XRCC1</t>
  </si>
  <si>
    <t>XRCC2</t>
  </si>
  <si>
    <t>XRCC3</t>
  </si>
  <si>
    <t>XRCC4</t>
  </si>
  <si>
    <t>XRCC5</t>
  </si>
  <si>
    <t>XRCC6</t>
  </si>
  <si>
    <t>YAP1</t>
  </si>
  <si>
    <t>YBX1</t>
  </si>
  <si>
    <t>YTHDF1</t>
  </si>
  <si>
    <t>YWHAG</t>
  </si>
  <si>
    <t>YWHAH</t>
  </si>
  <si>
    <t>YWHAQ</t>
  </si>
  <si>
    <t>YWHAZ</t>
  </si>
  <si>
    <t>YY1</t>
  </si>
  <si>
    <t>ZEB1</t>
  </si>
  <si>
    <t>ZEB2</t>
  </si>
  <si>
    <t>ZNF143</t>
  </si>
  <si>
    <t>ZNF93</t>
  </si>
  <si>
    <t>ATF6</t>
  </si>
  <si>
    <t>ABCA8 </t>
  </si>
  <si>
    <t>Calpains</t>
  </si>
  <si>
    <t>Cdc37</t>
  </si>
  <si>
    <t>CYR61 </t>
  </si>
  <si>
    <t>ABRAXAS</t>
  </si>
  <si>
    <t>H2AFX</t>
  </si>
  <si>
    <t>IPTR1</t>
  </si>
  <si>
    <t>MRE11A</t>
  </si>
  <si>
    <t>NOTCH3 </t>
  </si>
  <si>
    <t>URI1 </t>
  </si>
  <si>
    <t>Alternate IDs</t>
  </si>
  <si>
    <t>CHE1, DED, HSPC277</t>
  </si>
  <si>
    <t>May function as a general inhibitor of the histone deacetylase HDAC1. Binding to the pocket region of RB1 may displace HDAC1 from RB1/E2F complexes, leading to activation of E2F target genes and cell cycle progression. </t>
  </si>
  <si>
    <t>ATP-binding cassette sub-family A member 8</t>
  </si>
  <si>
    <t>ATP-dependent lipophilic drug transporter</t>
  </si>
  <si>
    <t>MDR1,  PGY1, pGP</t>
  </si>
  <si>
    <t>ATP-binding cassette sub-family B member 5</t>
  </si>
  <si>
    <t>Drug efflux transporter present in a number of stem cells that acts as a regulator of cellular differentiation. Able to mediate efflux from cells of the rhodamine dye and of the therapeutic drug doxorubicin. Specifically present in limbal stem cells, where it plays a key role in corneal development and repair.</t>
  </si>
  <si>
    <t>MRP, MRP1</t>
  </si>
  <si>
    <t>Multidrug resistance-associated protein 1</t>
  </si>
  <si>
    <t xml:space="preserve">Mediates export of organic anions and drugs from the cytoplasm. Mediates ATP-dependent transport of glutathione and glutathione conjugates. </t>
  </si>
  <si>
    <t>EST4, MRP2, At2g34660, T29F13.13</t>
  </si>
  <si>
    <t>Canalicular multispecific organic anion transporter 1</t>
  </si>
  <si>
    <t>Mediates hepatobiliary excretion of numerous organic anions. May function as a cellular cisplatin transporter.</t>
  </si>
  <si>
    <t>CMOAT2, MLP2, MRP3</t>
  </si>
  <si>
    <t>Canalicular multispecific organic anion transporter 2</t>
  </si>
  <si>
    <t>cisplatin conjugate efflux</t>
  </si>
  <si>
    <t>MRP4</t>
  </si>
  <si>
    <t>Multidrug resistance-associated protein 4</t>
  </si>
  <si>
    <t>organic anion pump relevant to cellular detoxification</t>
  </si>
  <si>
    <t>MRP5</t>
  </si>
  <si>
    <t>Multidrug resistance-associated protein 5</t>
  </si>
  <si>
    <t>Acts as a multispecific organic anion pump which can transport nucleotide analogs</t>
  </si>
  <si>
    <t>ALD1, ALDL1, ALDR, ALDRP</t>
  </si>
  <si>
    <t>ATP-binding cassette sub-family D member 2</t>
  </si>
  <si>
    <t>HUSSY-18</t>
  </si>
  <si>
    <t>ATP-binding cassette sub-family F member 2</t>
  </si>
  <si>
    <t>ABCP, BCRP, BCRP1, MXR</t>
  </si>
  <si>
    <t>ATP-binding cassette sub-family G member 2</t>
  </si>
  <si>
    <t>High-capacity urate exporter functioning in both renal and extrarenal urate excretion.</t>
  </si>
  <si>
    <t>LABH2</t>
  </si>
  <si>
    <t>Progesterone-dependent acylglycerol lipase 2, alpha/beta hydrolase family</t>
  </si>
  <si>
    <t>ABL, JTK7</t>
  </si>
  <si>
    <t>Non-receptor tyrosine-protein kinase ABL1</t>
  </si>
  <si>
    <t>linked to cell growth and survival such as cytoskeleton remodeling in response to extracellular stimuli, cell motility and adhesion, receptor endocytosis, autophagy, DNA damage response and apoptosis</t>
  </si>
  <si>
    <t>ACAS2</t>
  </si>
  <si>
    <t xml:space="preserve">Activates acetate so that it can be used for lipid synthesis or for energy generation. </t>
  </si>
  <si>
    <t>ACTSA, ACTVS, GIG46, α-SMA</t>
  </si>
  <si>
    <t>alpha-actin-2 / alpha smooth muscle actin (alpha-SMA) </t>
  </si>
  <si>
    <t>Actins are highly conserved proteins that are involved in various types of cell motility</t>
  </si>
  <si>
    <t>Alpha-actinin-4</t>
  </si>
  <si>
    <t>F-actin cross-linking protein which is thought to anchor actin to a variety of intracellular structures; enhancing cell motility; free form can enter nucleus and serve as a TF to promote EMT (31766144)</t>
  </si>
  <si>
    <t>ALK7</t>
  </si>
  <si>
    <t>Activin receptor type-1C kinase 7</t>
  </si>
  <si>
    <t>KUZ, MADM</t>
  </si>
  <si>
    <t>Disintegrin and metalloproteinase domain-containing protein 10</t>
  </si>
  <si>
    <t>Cleaves (shedding) the membrane-bound precursor of TNF-alpha to its mature soluble form leading to NF-kB signaling. Proteolytical release of soluble JAM3, ephrin-A2, CD44, CDH2; contributed to cell motility via regulation of CD44 cleavage and Notch1 signaling (22586143, 22940701)</t>
  </si>
  <si>
    <t>CSVP, TACE</t>
  </si>
  <si>
    <t>Disintegrin and metalloproteinase domain-containing protein 17</t>
  </si>
  <si>
    <t>KIAA0021, MCMP, MDC9, MLTNG</t>
  </si>
  <si>
    <t>Disintegrin and metalloproteinase domain-containing protein 9</t>
  </si>
  <si>
    <t xml:space="preserve">Cleaves and releases a number of molecules with important roles in tumorigenesis and angiogenesis. proteolytic substrates include pro-HB-EGF, kit ligand, IGFBP-1, </t>
  </si>
  <si>
    <t>BCMP11, PDIA18, UNQ642/PRO1272</t>
  </si>
  <si>
    <t>Anterior gradient protein 3</t>
  </si>
  <si>
    <t>AIF, PDCD8</t>
  </si>
  <si>
    <t>Apoptosis-inducing factor 1</t>
  </si>
  <si>
    <t xml:space="preserve">mitochondrial, NADH oxidoreductase and as regulator of apoptosis. plays an important role in caspase-independent apoptosis. </t>
  </si>
  <si>
    <t>AKR1B11</t>
  </si>
  <si>
    <t>Aldo-keto reductase family 1 member B10</t>
  </si>
  <si>
    <t>Catalyzes the NADPH-dependent reduction of a wide variety of carbonyl-containing compounds to their corresponding alcohols </t>
  </si>
  <si>
    <t>DDH, DDH1</t>
  </si>
  <si>
    <t>Aldo-keto reductase family 1 member C1</t>
  </si>
  <si>
    <t>DDH2</t>
  </si>
  <si>
    <t>Aldo-keto reductase family 1 member C2</t>
  </si>
  <si>
    <t>DDH1, HSD17B5, KIAA0119</t>
  </si>
  <si>
    <t>Aldo-keto reductase family 1 member C3,</t>
  </si>
  <si>
    <t>Akt, Rac</t>
  </si>
  <si>
    <t>RAC-alpha serine/threonine-protein kinase</t>
  </si>
  <si>
    <t>PRAS40</t>
  </si>
  <si>
    <t>Proline-rich AKT1 substrate 1</t>
  </si>
  <si>
    <t>Subunit of mTORC1, which regulates cell growth and survival in response to nutrient and hormonal signals. </t>
  </si>
  <si>
    <t>AKT3, At4g22200, T10I14.30</t>
  </si>
  <si>
    <t>RAC-beta serine/threonine-protein kinase 2</t>
  </si>
  <si>
    <t>ALDC, ALDH1, PUMB1</t>
  </si>
  <si>
    <t>Retinal dehydrogenase 1 / Aldehyde dehydrogenase-1A1</t>
  </si>
  <si>
    <t>Can convert/oxidize retinaldehyde to retinoic acid.</t>
  </si>
  <si>
    <t>ALDH3</t>
  </si>
  <si>
    <t>Retinal dehydrogenase 1</t>
  </si>
  <si>
    <t>ALDA</t>
  </si>
  <si>
    <t>Fructose-bisphosphate aldolase A</t>
  </si>
  <si>
    <t>catalyzes the reversible conversion of fructose-1,6-bisphosphate to glyceraldehyde 3-phosphate (G3P) and dihydroxyacetone phosphate (DHAP). </t>
  </si>
  <si>
    <t>ABH3, DEPC1, PCA-1</t>
  </si>
  <si>
    <t>Alpha-ketoglutarate-dependent dioxygenase alkB homolog 3</t>
  </si>
  <si>
    <t>KIAA1736</t>
  </si>
  <si>
    <t>Activating molecule in BECN1-regulated autophagy protein 1</t>
  </si>
  <si>
    <t>Involved in autophagy in controlling protein turnover</t>
  </si>
  <si>
    <t>RNF45</t>
  </si>
  <si>
    <t>E3 ubiquitin-protein ligase / Autocrine motility factor</t>
  </si>
  <si>
    <t>C193, CARP, HA1A2</t>
  </si>
  <si>
    <t>Ankyrin repeat domain-containing protein 1</t>
  </si>
  <si>
    <t>a putative transcription factor, a target of TGF-β/Wnt signalling, binding to p53 to upregulate p21WAF1/CIP1. a component of a Titin-based signalling complex</t>
  </si>
  <si>
    <t>ANX2, ANX2L4, CAL1H, LPC2D</t>
  </si>
  <si>
    <t>Annexin A2</t>
  </si>
  <si>
    <t>Calcium-regulated membrane-binding protein. May be involved in heat-stress response</t>
  </si>
  <si>
    <t>ANX3</t>
  </si>
  <si>
    <t>Annexin A3</t>
  </si>
  <si>
    <t>Inhibitor of phospholipase A2, also possesses anti-coagulant properties. Also cleaves the cyclic bond of inositol 1,2-cyclic phosphate to form inositol 1-phosphate.</t>
  </si>
  <si>
    <t>ANX4</t>
  </si>
  <si>
    <t>Annexin A4</t>
  </si>
  <si>
    <t>Calcium/phospholipid-binding protein which promotes membrane fusion and is involved in exocytosis</t>
  </si>
  <si>
    <t>Apoptotic protease-activating factor 1</t>
  </si>
  <si>
    <t>Oligomeric Apaf-1 mediates the cytochrome c-dependent autocatalytic activation of pro-caspase-9 (Apaf-3), leading to the activation of caspase-3 and apoptosis. This activation requires ATP. Isoform 6 is less effective in inducing apoptosis</t>
  </si>
  <si>
    <t>Adenomatous Polyposis Coli</t>
  </si>
  <si>
    <t>APE, APE1, APEX, APX, HAP1</t>
  </si>
  <si>
    <t>DNA-(apurinic or apyrimidinic site) lyase</t>
  </si>
  <si>
    <t>Aquaporin-2</t>
  </si>
  <si>
    <t>ADH water channel</t>
  </si>
  <si>
    <t>AREGB, SDGF</t>
  </si>
  <si>
    <t>Human amphiregulin</t>
  </si>
  <si>
    <t xml:space="preserve">Human amphiregulin (AREG) is a glycoprotein composed of 84 amino acids and is one of the ligands for the epidermal growth factor receptor (EGFR). Autocrine growth factor as well as a mitogen. </t>
  </si>
  <si>
    <t>GDIA2, GDID4, RAP1GN1</t>
  </si>
  <si>
    <t>Rho GDP-dissociation inhibitor 2 / Rho GDI 2 </t>
  </si>
  <si>
    <t>Regulates the GDP/GTP exchange reaction of the Rho proteins by inhibiting the dissociation of GDP from them, and the subsequent binding of GTP to them</t>
  </si>
  <si>
    <t>BAF250, BAF250A, C1orf4, OSA1, SMARCF1</t>
  </si>
  <si>
    <t>AT-rich interactive domain-containing protein 1A</t>
  </si>
  <si>
    <t>Component of SWI/SNF chromatin remodeling complexes that carry out key enzymatic activities; exerts various tumor suppressor functions in cancer. </t>
  </si>
  <si>
    <t>BDP, DRIL2</t>
  </si>
  <si>
    <t>TF that induces expression of genes associated with metastasis and cancer stem cells (CD44, LGR5, PROM1 (CD133), and Notch2)</t>
  </si>
  <si>
    <t>ARI, MOP6, UBCH7BP, HUSSY-27</t>
  </si>
  <si>
    <t>E3 ubiquitin-protein ligase ARIH1</t>
  </si>
  <si>
    <t>DERP11, JWA, PRA2, PRAF3, HSPC127</t>
  </si>
  <si>
    <t>PRA1 family protein 3</t>
  </si>
  <si>
    <t>Regulates intracellular concentrations of taurine and glutamate. Negatively modulates SLC1A1/EAAC1 glutamate transport activity by decreasing its affinity for glutamate in a PKC activity-dependent manner. May be involved in membrane traffic.</t>
  </si>
  <si>
    <t>BHLHE2, HIF-1b</t>
  </si>
  <si>
    <t>Aryl hydrocarbon receptor nuclear translocator / Hypoxia-inducible factor-1 beta subunit</t>
  </si>
  <si>
    <t>ASS</t>
  </si>
  <si>
    <t>Argininosuccinate synthase</t>
  </si>
  <si>
    <t xml:space="preserve">Catalyzes the formation of arginosuccinate from aspartate, citrulline and ATP. One of the enzymes of the urea cycle. </t>
  </si>
  <si>
    <t>CREB2, CREBP1</t>
  </si>
  <si>
    <t xml:space="preserve">Cyclic AMP-dependent transcription factor ATF-2 </t>
  </si>
  <si>
    <t>the transcription of various genes, including those involved in anti-apoptosis, cell growth, and DNA damage response.</t>
  </si>
  <si>
    <t>Cyclic AMP-dependent transcription factor ATF-3 (repressor)</t>
  </si>
  <si>
    <t>Represses transcription from promoters with ATF sites. It may repress transcription by stabilizing the binding of inhibitory cofactors at the promoter. Isoform 2 activates transcription presumably by sequestering inhibitory cofactors away from the promoters.</t>
  </si>
  <si>
    <t>CREB2, TXREB</t>
  </si>
  <si>
    <t xml:space="preserve">Cyclic AMP-dependent transcription factor ATF-4, </t>
  </si>
  <si>
    <t>modulate the expression of nuclear factor-erythroid 1- and 2-related factors, which are recruited to the antioxidant response element</t>
  </si>
  <si>
    <t>APG12, APG12L</t>
  </si>
  <si>
    <t>Ubiquitin-like protein involved in autophagy vesicles formation</t>
  </si>
  <si>
    <t>KIAA0831</t>
  </si>
  <si>
    <t>Beclin 1-associated autophagy-related key regulator</t>
  </si>
  <si>
    <t>Required for both basal and inducible autophagy. </t>
  </si>
  <si>
    <t>APG5L, ASP</t>
  </si>
  <si>
    <t>Autophagy protein 5</t>
  </si>
  <si>
    <t>Involved in autophagic vesicle formation</t>
  </si>
  <si>
    <t>APG7L</t>
  </si>
  <si>
    <t>Ubiquitin-like modifier-activating enzyme ATG7</t>
  </si>
  <si>
    <t>E1-like activating enzyme that is essential for autophagy and cytoplasmic to vacuole transport. The encoded protein is also thought to modulate p53-dependent cell cycle pathways during prolonged metabolic stress. </t>
  </si>
  <si>
    <t>KIAA0431, ZNF822</t>
  </si>
  <si>
    <t>ATM interactor</t>
  </si>
  <si>
    <t>Transcription factor. Plays a crucial role in cell survival and RAD51 foci formation in response to methylating DNA damage. Involved in regulating the activity of ATM in the absence of DNA damage. May play a role in stabilizing ATM. Binds to the DYNLL1 promoter and activates its transcription</t>
  </si>
  <si>
    <t>ATPIF, ATPIR, KIAA0956</t>
  </si>
  <si>
    <t>phospholipid-transporting ATPase IF</t>
  </si>
  <si>
    <t>may contribute to secretory vesicle transport of cisplatin from Golgi to plasma membrane</t>
  </si>
  <si>
    <t>ATP1B</t>
  </si>
  <si>
    <t>Sodium/potassium-transporting ATPase subunit beta-1</t>
  </si>
  <si>
    <t>exchange of Na+ and K+ ions across the plasma membrane</t>
  </si>
  <si>
    <t>ATP6A1, ATP6V1A1, VPP2</t>
  </si>
  <si>
    <t>V-type proton ATPase catalytic subunit A</t>
  </si>
  <si>
    <t>Catalytic subunit of the peripheral V1 complex of vacuolar ATPase. </t>
  </si>
  <si>
    <t>ATP6B2, VPP3</t>
  </si>
  <si>
    <t>V-type proton ATPase subunit B, brain isoform</t>
  </si>
  <si>
    <t>Non-catalytic subunit of the peripheral V1 complex of vacuolar ATPase. </t>
  </si>
  <si>
    <t>ATP6C, ATP6D, VATC</t>
  </si>
  <si>
    <t>V-type proton ATPase subunit C 1</t>
  </si>
  <si>
    <t>Subunit of the peripheral V1 complex of vacuolar ATPase. Subunit C is necessary for the assembly. </t>
  </si>
  <si>
    <t>ATP6D, VPATPD</t>
  </si>
  <si>
    <t>V-type proton ATPase subunit d 1</t>
  </si>
  <si>
    <t>Subunit of the integral membrane V0 complex of vacuolar ATPase. </t>
  </si>
  <si>
    <t>ATP6E, ATP6E2</t>
  </si>
  <si>
    <t>V-type proton ATPase subunit E 1</t>
  </si>
  <si>
    <t>Subunit of the peripheral V1 complex of vacuolar ATPase essential for assembly or catalytic function. </t>
  </si>
  <si>
    <t>ATP6F</t>
  </si>
  <si>
    <t>V-type proton ATPase 21 kDa proteolipid subunit</t>
  </si>
  <si>
    <t>Proton-conducting pore forming subunit of the membrane integral V0 complex of vacuolar ATPase. </t>
  </si>
  <si>
    <t>MC1, MNK</t>
  </si>
  <si>
    <t>Copper-transporting ATPase 1</t>
  </si>
  <si>
    <t>May supply copper to copper-requiring proteins within the secretory pathway, when localized in the trans-Golgi network. Under conditions of elevated extracellular copper, it relocalized to the plasma membrane where it functions in the efflux of copper from cells.</t>
  </si>
  <si>
    <t>PWD, WC1, WND</t>
  </si>
  <si>
    <t>Copper-transporting ATPase 2</t>
  </si>
  <si>
    <t>AGS1</t>
  </si>
  <si>
    <t>ATR-interacting protein</t>
  </si>
  <si>
    <t>AIK, AIRK1, ARK1, AURA, AYK1, STK6</t>
  </si>
  <si>
    <t>Mitotic Aurora kinase A</t>
  </si>
  <si>
    <t>UFO</t>
  </si>
  <si>
    <t>TAM sub-family tyrosine-protein kinase receptor</t>
  </si>
  <si>
    <t>transduces signals from the extracellular matrix by binding growth factor GAS6, regulating cell survival, cell proliferation, migration and differentiation</t>
  </si>
  <si>
    <t>BBC6, BCL2L8</t>
  </si>
  <si>
    <t>Bcl2-associated agonist of cell death</t>
  </si>
  <si>
    <t>Promotes cell death. BAD function is regulated by phosphorylation (serine-112, -136, and -155). When phosphorylated, BAD is unable to heterodimerize with Bcl-2 or Bcl-xL, freeing Bcl-xL to dimerize and functionally sequester Bax, such that it is no longer free to induce apoptosis</t>
  </si>
  <si>
    <t>BIS</t>
  </si>
  <si>
    <t>Bcl2-associated athanogene (BAG)</t>
  </si>
  <si>
    <t>a family of co-chaperones that interact with Hsp70 through a specific structural domain known as the BAG domain (110–124 amino acids)</t>
  </si>
  <si>
    <t>BAK, BCL2L7, CDN1</t>
  </si>
  <si>
    <t>Bcl-2 homologous antagonist/killer</t>
  </si>
  <si>
    <t>Plays a role in the mitochondrial apoptosic process. Upon arrival of cell death signals, promotes mitochondrial outer membrane (MOM) permeabilization by oligomerizing to form pores within the MOM.</t>
  </si>
  <si>
    <t>KIAA0272, hucep-6</t>
  </si>
  <si>
    <t>BRCA-1 associated protein / Ubiquitin carboxyl-terminal hydrolase</t>
  </si>
  <si>
    <t>BRCA1-associated RING domain protein 1 / E3 ubiquitin-protein ligase</t>
  </si>
  <si>
    <t>BCL2L4</t>
  </si>
  <si>
    <t>Under normal conditions, BAX is largely cytosolic via constant retrotranslocation from mitochondria to the cytosol mediated by BCL2L1/Bcl-xL. Under stress conditions, undergoes a conformation change that causes translocation to the mitochondrion membrane, leading to the release of cytochrome c that then triggers apoptosis. </t>
  </si>
  <si>
    <t>PUMA</t>
  </si>
  <si>
    <t>p53 upregulated modulator of apoptosis</t>
  </si>
  <si>
    <t>BCT1, ECA39</t>
  </si>
  <si>
    <t xml:space="preserve">Branched-chain-amino-acid aminotransferase, cytosolic. </t>
  </si>
  <si>
    <t>Catalyzes the first reaction in the catabolism of the essential branched chain amino acids leucine, isoleucine, and valine.</t>
  </si>
  <si>
    <t>PPP1R50</t>
  </si>
  <si>
    <t>B-cell lymphoma 2 / Protein Phosphatase 1, Regulatory Subunit 50</t>
  </si>
  <si>
    <t>Suppresses apoptosis in a variety of cell systems including factor-dependent lymphohematopoietic and neural cells.</t>
  </si>
  <si>
    <t>BCLX, Bcl2l1, Bcl-XL, Bcl2l</t>
  </si>
  <si>
    <t>Bcl-2-like protein 1</t>
  </si>
  <si>
    <t>BIM</t>
  </si>
  <si>
    <t>Bcl-2-like protein 11 / BCL2‐interacting mediator</t>
  </si>
  <si>
    <t>BCLW, KIAA0271</t>
  </si>
  <si>
    <t>Bcl-2-like protein 2</t>
  </si>
  <si>
    <t>GT197</t>
  </si>
  <si>
    <t>Beclin-1</t>
  </si>
  <si>
    <t>DXS6984E, NADE, NGFRAP1</t>
  </si>
  <si>
    <t>Brain‐expressed X‐linked 3</t>
  </si>
  <si>
    <t>DEC1, STRA13, SHARP2</t>
  </si>
  <si>
    <t>Basic helix-loop-helix transcription factor E40</t>
  </si>
  <si>
    <t>associated with the regulation of apoptosis, cell proliferation, and circadian rhythms, as well as malignancy in various cancers</t>
  </si>
  <si>
    <t>BH3-interacting domain death agonist</t>
  </si>
  <si>
    <t>The major proteolytic product p15 BID allows the release of cytochrome c (By similarity). Isoform 1, isoform 2 and isoform 4 induce ICE-like proteases and apoptosis.</t>
  </si>
  <si>
    <t>NBK</t>
  </si>
  <si>
    <t>Bcl-2-interacting killer</t>
  </si>
  <si>
    <t>Accelerates programmed cell death. Association to the apoptosis repressors Bcl-X(L), BHRF1, Bcl-2 or its adenovirus homolog E1B 19k protein suppresses this death-promoting activity.</t>
  </si>
  <si>
    <t>AMPHL</t>
  </si>
  <si>
    <t>Myc box-dependent-interacting protein 1</t>
  </si>
  <si>
    <t>API1, MIHB, RNF48, cIAP1</t>
  </si>
  <si>
    <t>Baculoviral IAP repeat-containing protein 2</t>
  </si>
  <si>
    <t xml:space="preserve">Acts as an E3 ubiquitin-protein ligase regulating NF-kappa-B signaling.  Multi-functional protein which regulates caspases and apoptosis. </t>
  </si>
  <si>
    <t>Baculoviral IAP repeat-containing protein 3</t>
  </si>
  <si>
    <t>survivin, API4, IAP4</t>
  </si>
  <si>
    <t>Baculoviral IAP repeat-containing protein 5</t>
  </si>
  <si>
    <t xml:space="preserve">Component of a chromosome passage protein complex (CPC) essential for chromosome alignment and segregation; dual roles in promoting cell proliferation and preventing apoptosis </t>
  </si>
  <si>
    <t>KIAP, LIVIN, MLIAP, RNF50</t>
  </si>
  <si>
    <t>Baculoviral IAP repeat-containing protein 7</t>
  </si>
  <si>
    <t>Apoptotic regulator capable of exerting proapoptotic and anti-apoptotic activities and plays crucial roles in apoptosis, cell proliferation, and cell cycle control. Its anti-apoptotic activity is mediated through the inhibition of CASP3, CASP7 and CASP9, as well as by its E3 ubiquitin-protein ligase activity. </t>
  </si>
  <si>
    <t>RECQ2, RECQL3</t>
  </si>
  <si>
    <t>Bloom syndrome protein</t>
  </si>
  <si>
    <t>ATP-dependent DNA helicase that unwinds single- and double-stranded DNA in a 3'-5' direction</t>
  </si>
  <si>
    <t>Bmi-1, Pcgf4</t>
  </si>
  <si>
    <t>Polycomb complex protein</t>
  </si>
  <si>
    <t>BMP2B, DVR4</t>
  </si>
  <si>
    <t>Bone morphogenetic protein 4</t>
  </si>
  <si>
    <t>ACVRLK3, ALK3</t>
  </si>
  <si>
    <t>Bone morphogenetic protein receptor type-1A</t>
  </si>
  <si>
    <t>NIP3</t>
  </si>
  <si>
    <t>BCL2/adenovirus E1B 19 kDa protein-interacting protein 3</t>
  </si>
  <si>
    <t>A mitochondrial protein that contains a BH3 domain and acts as a pro-apoptotic factor. The encoded protein interacts with anti-apoptotic proteins, including the E1B 19 kDa protein and Bcl2. This gene is silenced in tumors by DNA methylation</t>
  </si>
  <si>
    <t>BCL2L9</t>
  </si>
  <si>
    <t>Bcl-2-related ovarian killer protein</t>
  </si>
  <si>
    <t>Pro-apoptotic protein. In response to ER stress through BAX/BAK1 and PERK-mediated UPR</t>
  </si>
  <si>
    <t>Bromodomain-containing protein 9</t>
  </si>
  <si>
    <t>FANCJ, BACH1</t>
  </si>
  <si>
    <t>Fanconi anemia group J / BRCA1-interacting protein 1</t>
  </si>
  <si>
    <t>CD147</t>
  </si>
  <si>
    <t>basigin or Emmprin</t>
  </si>
  <si>
    <t>a type I glycoprotein (immunoglobulin superfamily), stimulates adjacent fibroblasts or tumor cells to produce MMPs; develop chemoresistance by mediating activation of PI3K and MAPK (27608940); CD147-ICD binds to a panel of promoter elements including NFkB</t>
  </si>
  <si>
    <t>GC1QBP, HABP1, SF2P32</t>
  </si>
  <si>
    <t>Complement component 1 Q subcomponent-binding protein</t>
  </si>
  <si>
    <t>CAD protein</t>
  </si>
  <si>
    <t>This protein is a "fusion" protein encoding four enzymatic activities of the pyrimidine pathway (GATase, CPSase, ATCase and DHOase).</t>
  </si>
  <si>
    <t>Calcium-activated neutral proteinase</t>
  </si>
  <si>
    <t>Calcium-regulated non-lysosomal thiol-protease which catalyzes limited proteolysis of substrates involved in cytoskeletal remodeling and signal transduction; ubiquitous protease with potential involvement in apoptosis</t>
  </si>
  <si>
    <t>CAMKD</t>
  </si>
  <si>
    <t>Calcium/calmodulin dependent protein kinase IIδ</t>
  </si>
  <si>
    <t>CANPL1, PIG30</t>
  </si>
  <si>
    <t>Calpain-1 catalytic subunit</t>
  </si>
  <si>
    <t>Calcium-regulated non-lysosomal thiol-protease which catalyzes limited proteolysis of substrates involved in cytoskeletal remodeling and signal transduction.</t>
  </si>
  <si>
    <t>CARMA3</t>
  </si>
  <si>
    <t>Caspase recruitment domain-containing protein 10</t>
  </si>
  <si>
    <t>Activates NF-kappa-B via BCL10 and IKK.</t>
  </si>
  <si>
    <t>Inactive caspase-12</t>
  </si>
  <si>
    <t>No protease activity; endoplasmic reticulum (ER)-specific caspase; reduces activation of NFkB</t>
  </si>
  <si>
    <t>Caspase-14</t>
  </si>
  <si>
    <t>ICH1, NEDD2</t>
  </si>
  <si>
    <t>Caspase-2</t>
  </si>
  <si>
    <t>Involved in the activation cascade of caspases responsible for apoptosis execution. </t>
  </si>
  <si>
    <t>CPP32</t>
  </si>
  <si>
    <t>Caspase-3</t>
  </si>
  <si>
    <t>ICH2, MIH1</t>
  </si>
  <si>
    <t>Caspase-4</t>
  </si>
  <si>
    <t>MCH2</t>
  </si>
  <si>
    <t>Caspase-6</t>
  </si>
  <si>
    <t>Involved in the activation cascade of caspases responsible for apoptosis execution. Cleaves PARP in vitro, as well as lamins. </t>
  </si>
  <si>
    <t>MCH3</t>
  </si>
  <si>
    <t>Caspase-7</t>
  </si>
  <si>
    <t xml:space="preserve">Activation cascade of caspases. Cleaves and activates SREBPs; cleaves PARP at a '216-Asp-|-Gly-217' bond. </t>
  </si>
  <si>
    <t>MCH5</t>
  </si>
  <si>
    <t>Caspase-8</t>
  </si>
  <si>
    <t>Most upstream protease of the activation cascade of caspases responsible for the TNFRSF6/FAS mediated and TNFRSF1A induced cell death. </t>
  </si>
  <si>
    <t>MCH6</t>
  </si>
  <si>
    <t>Caspase-9</t>
  </si>
  <si>
    <t>Binding of caspase-9 to Apaf-1 leads to activation of the protease which then cleaves and activates caspase-3. Promotes DNA damage-induced apoptosis in a ABL1/c-Abl-dependent manner. Proteolytically cleaves poly(ADP-ribose) polymerase (PARP).</t>
  </si>
  <si>
    <t>CAV</t>
  </si>
  <si>
    <t>Caveolin-1</t>
  </si>
  <si>
    <t>PRKCDBP, SRBC</t>
  </si>
  <si>
    <t>Caveolae-associated protein 3 / Protein kinase C delta-binding protein</t>
  </si>
  <si>
    <t>Cystathionine beta-synthase</t>
  </si>
  <si>
    <t>Hydro-lyase catalyzing the first step of the transsulfuration pathway, where the hydroxyl group of L-serine is displaced by L-homocysteine in a beta-replacement reaction to form L-cystathionine, the precursor of L-cysteine. </t>
  </si>
  <si>
    <t>Coiled-coil domain-containing protein 69</t>
  </si>
  <si>
    <t xml:space="preserve">Required for the localization of AURKB and PLK1 to the spindle midzone; a regulator for DNA replication (16441230); </t>
  </si>
  <si>
    <t>MCP1, SCYA2</t>
  </si>
  <si>
    <t>C-C motif chemokine 2</t>
  </si>
  <si>
    <t>SCYA25, TECK</t>
  </si>
  <si>
    <t>C-C motif chemokine 25</t>
  </si>
  <si>
    <t>SCYA5, D17S136E</t>
  </si>
  <si>
    <t>C-C motif chemokine 5</t>
  </si>
  <si>
    <t>Chemoattractant for blood monocytes, memory T-helper cells and eosinophils. Causes the release of histamine from basophils and activates eosinophils. May activate several chemokine receptors including CCR1, CCR3, CCR4 and CCR5.</t>
  </si>
  <si>
    <t>CTGF, HCS24, IGFBP8</t>
  </si>
  <si>
    <t>CCN family member 2</t>
  </si>
  <si>
    <t>Major connective tissue mitoattractant secreted by vascular endothelial cells. Promotes proliferation and differentiation of chondrocytes. Mediates cellular migration, adhesion, proliferation, ECM formation, and regulation of tumorigenesis; interacts with integrin to regulate a number of biological functions (20376786)</t>
  </si>
  <si>
    <t>CCN1, CCNA</t>
  </si>
  <si>
    <t>Cyclin-A2</t>
  </si>
  <si>
    <t>Functions through the formation of specific serine/threonine protein kinase holoenzyme complexes with the cyclin-dependent protein kinases CDK1 or CDK2. </t>
  </si>
  <si>
    <t>BCL1, PRAD1</t>
  </si>
  <si>
    <t>G1/S-specific cyclin-D1</t>
  </si>
  <si>
    <t>Regulatory component of the cyclin D1-CDK4 (DC) complex that phosphorylates and inhibits members of the retinoblastoma (RB) protein family including RB1 and regulates the cell-cycle during G1/S transition. </t>
  </si>
  <si>
    <t>CCNE</t>
  </si>
  <si>
    <t>G1/S-specific cyclin-E1</t>
  </si>
  <si>
    <t>GPR28</t>
  </si>
  <si>
    <t>C-C chemokine receptor type 9</t>
  </si>
  <si>
    <t>Receptor for chemokine SCYA25/TECK. Subsequently transduces a signal by increasing the intracellular calcium ions level.</t>
  </si>
  <si>
    <t>Cd24a, Ly-52</t>
  </si>
  <si>
    <t>Cluster of differentiation (CD) 24</t>
  </si>
  <si>
    <t>A small, heavily glycosylated mucin-like cell surface protein, the molecule functionally enhances the metastatic potential of cancer cells</t>
  </si>
  <si>
    <t>B7H1, PDCD1L1, PDCD1LG1, PDL1</t>
  </si>
  <si>
    <t>Programmed cell death 1 ligand 1, PD-L1, PDCD1 ligand 1, Programmed death ligand 1, hPD-L1</t>
  </si>
  <si>
    <t>TNFRSF5</t>
  </si>
  <si>
    <t>Tumor necrosis factor receptor superfamily member 5</t>
  </si>
  <si>
    <t>CD40L, TNFSF5, TRAP</t>
  </si>
  <si>
    <t>CD40 ligand</t>
  </si>
  <si>
    <t xml:space="preserve">Cytokine that binds to CD40/TNFRSF5. Costimulates T-cell proliferation and cytokine production. A member of the TNF superfamily.  </t>
  </si>
  <si>
    <t>LHR, MDU2, MDU3, MIC4</t>
  </si>
  <si>
    <t>CD44 antigen</t>
  </si>
  <si>
    <t>Receptor for hyaluronic acid (HA). Mediates cell-cell and cell-matrix interactions through its affinity for HA, and possibly also through its affinity for other ligands such as osteopontin, collagens, and matrix metalloproteinases (MMPs). </t>
  </si>
  <si>
    <t>DAF, CR</t>
  </si>
  <si>
    <t>Complement decay-accelerating factor</t>
  </si>
  <si>
    <t>A glycoprotein involved in the regulation of the complement cascade. Binding to complement proteins accelerates their decay, thereby disrupting the cascade and preventing damage to host cells.</t>
  </si>
  <si>
    <t>T-cell surface glycoprotein CD8 alpha chain</t>
  </si>
  <si>
    <t xml:space="preserve">serves as a co-receptor for the T cell receptor (TCR). Like the TCR, CD8 binds to a major histocompatibility complex (MHC) molecule, but is specific for the class I MHC protein. </t>
  </si>
  <si>
    <t>CD8B1</t>
  </si>
  <si>
    <t>T-cell surface glycoprotein CD8 beta chain</t>
  </si>
  <si>
    <t>AS CD8A</t>
  </si>
  <si>
    <t>CDC37A</t>
  </si>
  <si>
    <t>Hsp90 co-chaperone Cdc37</t>
  </si>
  <si>
    <t>Plasma membrane-associated small GTPase which cycles between an active GTP-bound and an inactive GDP-bound state. Involved in epithelial cell polarization processes. </t>
  </si>
  <si>
    <t>CDC7L1</t>
  </si>
  <si>
    <t>Cell division cycle 7-related protein kinase</t>
  </si>
  <si>
    <t>Seems to phosphorylate critical substrates that regulate the G1/S phase transition and/or DNA replication</t>
  </si>
  <si>
    <t>TRASK, UNQ2486/PRO5773</t>
  </si>
  <si>
    <t>CUB-domain-containing protein 1</t>
  </si>
  <si>
    <t>E-cadherin, CDHE, UVO</t>
  </si>
  <si>
    <t>N-cadherin, CDHN, NCAD</t>
  </si>
  <si>
    <t>Calcium-dependent cell adhesion protein</t>
  </si>
  <si>
    <t>CRK7, CRKRS, KIAA0904</t>
  </si>
  <si>
    <t>CDKN2</t>
  </si>
  <si>
    <t>Cyclin-dependent kinase 2</t>
  </si>
  <si>
    <t>Serine/threonine-protein kinase involved in the control of the cell cycle; essential for meiosis, but dispensable for mitosis.</t>
  </si>
  <si>
    <t>Cyclin-dependent kinase 4</t>
  </si>
  <si>
    <t>CDKN5</t>
  </si>
  <si>
    <t>CAK, CAK1, CDKN7, MO15, STK1</t>
  </si>
  <si>
    <t>CDK-activating kinase (CAK)</t>
  </si>
  <si>
    <t>Serine/threonine kinase involved in cell cycle control and in RNA polymerase II-mediated RNA transcription. </t>
  </si>
  <si>
    <t>CAP20, p21, CDKN1, CIP1, WAF1, MDA6</t>
  </si>
  <si>
    <t>Cyclin-dependent kinase inhibitor 1</t>
  </si>
  <si>
    <t>p27, KIP1</t>
  </si>
  <si>
    <t>Cyclin-dependent kinase inhibitor 1B</t>
  </si>
  <si>
    <t>Involved in G1 arrest. Potent inhibitor of cyclin E- and cyclin A-CDK2 complexes. </t>
  </si>
  <si>
    <t>KIP2</t>
  </si>
  <si>
    <t>Cyclin-dependent kinase inhibitor 1C</t>
  </si>
  <si>
    <t>CDKN2, MTS1, p14ARF, p16INK4a</t>
  </si>
  <si>
    <t>Cyclin-dependent kinase inhibitor 2A</t>
  </si>
  <si>
    <t>p18-INK4C, CDKN6 </t>
  </si>
  <si>
    <t>Cyclin-dependent kinase 4 inhibitor C</t>
  </si>
  <si>
    <t>LIP, LAP, TCF5</t>
  </si>
  <si>
    <t>CCAAT/enhancer-binding protein beta, C/EBP beta</t>
  </si>
  <si>
    <t>CASH, CASP8AP1, CLARP, MRIT</t>
  </si>
  <si>
    <t>Cellular FLICE-like inhibitory protein, c-FLIP</t>
  </si>
  <si>
    <t>Inhibitor of TNFRSF6/FAS mediated apoptosis. A proteolytic fragment (p43) is likely retained in the death-inducing signaling complex (DISC) thereby blocking further recruitment and processing of caspase-8 at the complex.</t>
  </si>
  <si>
    <t>Chromodomain-helicase-DNA-binding protein 4</t>
  </si>
  <si>
    <t>CGI-84</t>
  </si>
  <si>
    <t>Charged multivesicular body protein 2b</t>
  </si>
  <si>
    <t>Core component of the endosomal sorting required for transport complex III (ESCRT-III)/regulated exocytosis </t>
  </si>
  <si>
    <t>IKKA, TCF16</t>
  </si>
  <si>
    <t>conserved helix-loop-helix ubiquitous kinase / Inhibitor of nuclear factor kappa-B kinase subunit beta</t>
  </si>
  <si>
    <t>IKK-α and IKK-β phosphorylate the IκB proteins, marking them for degradation via ubiquitination and allowing NF-κB transcription factors to go into the nucleus</t>
  </si>
  <si>
    <t>KIAA1524</t>
  </si>
  <si>
    <t>cancerous inhibitor of protein phosphatase 2A</t>
  </si>
  <si>
    <t>CLD1, SEMP1, UNQ481/PRO944</t>
  </si>
  <si>
    <t>Claudin-1</t>
  </si>
  <si>
    <t>Claudins function as major constituents of the tight junction complexes</t>
  </si>
  <si>
    <t>C7orf1, CPETR2</t>
  </si>
  <si>
    <t>Claudin-3</t>
  </si>
  <si>
    <t>CPER, CPETR1, WBSCR8</t>
  </si>
  <si>
    <t>Claudin-4</t>
  </si>
  <si>
    <t>CEPTRL2, CPETRL2</t>
  </si>
  <si>
    <t>Claudin-7</t>
  </si>
  <si>
    <t xml:space="preserve">Plays a major role in tight junction-specific obliteration of the intercellular space; associated with EpCAM to promote EMT (25514462): EpIC released from EpCAM acts as a cotranscription factor in cooperation with β-catenin to upregulate vimentin, Snail, Slug and downregulate E-cadherin. </t>
  </si>
  <si>
    <t>G6, NCC27</t>
  </si>
  <si>
    <t>Chloride intracellular channel protein 1</t>
  </si>
  <si>
    <t>BTS</t>
  </si>
  <si>
    <t>Battenin</t>
  </si>
  <si>
    <t>membrane protein involved in microtubule-dependent, anterograde transport of late endosomes and lysosomes</t>
  </si>
  <si>
    <t>BHLHE8</t>
  </si>
  <si>
    <t>circadian regulator Clock</t>
  </si>
  <si>
    <t>Transcriptional activator, forms a core component of the circadian clock, activates the expression of ATF4</t>
  </si>
  <si>
    <t>CRR9</t>
  </si>
  <si>
    <t>Cleft Lip and Palate Transmembrane Protein 1-Like</t>
  </si>
  <si>
    <t>APOJ, CLI, KUB1, AAG4</t>
  </si>
  <si>
    <t xml:space="preserve">Clusterin, Isoform 1 </t>
  </si>
  <si>
    <t>Collagen alpha-1(I) chain</t>
  </si>
  <si>
    <t>Type I collagen is a member of group I collagen (fibrillar forming collagen).</t>
  </si>
  <si>
    <t>COLL6</t>
  </si>
  <si>
    <t>Collagen type XI alpha 1</t>
  </si>
  <si>
    <t>Collagen alpha-1(III) chain</t>
  </si>
  <si>
    <t>Collagen alpha-3(VI) chain</t>
  </si>
  <si>
    <t>Cytochrome c oxidase copper chaperone</t>
  </si>
  <si>
    <t>Copper metallochaperone essential for the assembly of the mitochondrial respiratory chain complex IV (CIV), also known as cytochrome c oxidase</t>
  </si>
  <si>
    <t>COX7AL</t>
  </si>
  <si>
    <t>Cytochrome c oxidase subunit 7A2</t>
  </si>
  <si>
    <t>Cytochrome c oxidase catalyzes the reduction of oxygen to water. Electrons originating from reduced cytochrome c in the intermembrane space (IMS) are transferred via the dinuclear copper A center (CU(A)) of subunit 2 and heme A of subunit 1 to the active site in subunit 1</t>
  </si>
  <si>
    <t>CPT1</t>
  </si>
  <si>
    <t>Carnitine O-palmitoyltransferase 2, mitochondrial</t>
  </si>
  <si>
    <t>Reconverts acylcarnitines back into the respective acyl-CoA esters that can then undergo beta-oxidation, an essential step for the mitochondrial uptake of long-chain fatty acids and their subsequent beta-oxidation in the mitochondrion. </t>
  </si>
  <si>
    <t>CREB</t>
  </si>
  <si>
    <t>Cyclic AMP-responsive element-binding protein 1</t>
  </si>
  <si>
    <t>CRYA2, HSPB5</t>
  </si>
  <si>
    <t>Alpha-crystallin B chain</t>
  </si>
  <si>
    <t>Macrophage colony-stimulating factor 1</t>
  </si>
  <si>
    <t>FMS</t>
  </si>
  <si>
    <t>Macrophage colony-stimulating factor 1 receptor</t>
  </si>
  <si>
    <t>Tyrosine-protein kinase that acts as cell-surface receptor for CSF1 and IL34</t>
  </si>
  <si>
    <t xml:space="preserve">Catenin alpha-1 / alphaE-catenin </t>
  </si>
  <si>
    <t>CTNNB, OK/SW-cl.35, PRO2286</t>
  </si>
  <si>
    <t>Catenin beta-1</t>
  </si>
  <si>
    <t>Key downstream component of the canonical Wnt signaling, involved in cell adhesion and transcription of proteins that promote development and EMT</t>
  </si>
  <si>
    <t>C10orf66, HOYS6</t>
  </si>
  <si>
    <t>moderately conserved ubiquitin-binding domain of about 40 amino acids / CUE domain-containing protein 2</t>
  </si>
  <si>
    <t>KIAA0617</t>
  </si>
  <si>
    <t>Cullin-3</t>
  </si>
  <si>
    <t xml:space="preserve">Core component of multiple cullin-RING-based BCR (BTB-CUL3-RBX1) E3 ubiquitin-protein ligase complexes which mediate the ubiquitination and subsequent proteasomal degradation of target proteins such as KEAP1. </t>
  </si>
  <si>
    <t>Cullin-4A</t>
  </si>
  <si>
    <t>Core component of multiple cullin-RING-based E3 ubiquitin-protein ligase complexes. </t>
  </si>
  <si>
    <t>UNQ224/PRO257, UO-44</t>
  </si>
  <si>
    <t>CUB and zona pellucida-like domain-containing protein 1</t>
  </si>
  <si>
    <t>INP10, SCYB10, IP10</t>
  </si>
  <si>
    <t>C-X-C motif chemokine 10 / interferon gamma-induced protein-10</t>
  </si>
  <si>
    <t>Pro-inflammatory cytokine that is involved in a wide variety of processes such as chemotaxis, differentiation, and activation of peripheral immune cells, regulation of cell growth, apoptosis and modulation of angiostatic effects</t>
  </si>
  <si>
    <t>SDF1, SDF1A, SDF1B</t>
  </si>
  <si>
    <t>Stromal cell-derived factor 1</t>
  </si>
  <si>
    <t xml:space="preserve">Activates the C-X-C chemokine receptor CXCR4 to induce a rapid and transient rise in the level of intracellular calcium ions and chemotaxis. </t>
  </si>
  <si>
    <t>IL8</t>
  </si>
  <si>
    <t>Interleukin-8</t>
  </si>
  <si>
    <t>C-X-C chemokine receptor type 4</t>
  </si>
  <si>
    <t>Receptor for the C-X-C chemokine CXCL12/SDF-1 that transduces a signal by increasing intracellular calcium ion levels and enhancing MAPK1/MAPK3 activation</t>
  </si>
  <si>
    <t>Cytochrome P450 1B1</t>
  </si>
  <si>
    <t>CYP2E</t>
  </si>
  <si>
    <t>cytochrome P450 2E1</t>
  </si>
  <si>
    <t>Cysteine-rich 61</t>
  </si>
  <si>
    <t>DPR1, HNG3</t>
  </si>
  <si>
    <t xml:space="preserve">Dapper1 Antagonist of Catenin-1 </t>
  </si>
  <si>
    <t>canonical and/or non-canonical Wnt signaling pathways through interaction with DSH (Dishevelled) family proteins</t>
  </si>
  <si>
    <t>ZIPK</t>
  </si>
  <si>
    <t>Death-associated protein kinase 3</t>
  </si>
  <si>
    <t>Serine/threonine kinase which is involved in the regulation of apoptosis, autophagy, transcription, translation and actin cytoskeleton reorganization. </t>
  </si>
  <si>
    <t>BING2, DAP6</t>
  </si>
  <si>
    <t>Death domain-associated protein 6</t>
  </si>
  <si>
    <t>DAPK</t>
  </si>
  <si>
    <t>Death-associated protein kinase 1</t>
  </si>
  <si>
    <t>KIAA0086, SNM1, SNM1A</t>
  </si>
  <si>
    <t>DNA cross-link repair 1A protein</t>
  </si>
  <si>
    <t>May be required for DNA interstrand cross-link repair. Also required for checkpoint mediated cell cycle arrest in early prophase in response to mitotic spindle poisons.</t>
  </si>
  <si>
    <t>SNM1B/Apollo</t>
  </si>
  <si>
    <t>5' exonuclease Apollo</t>
  </si>
  <si>
    <t>ARTEMIS, ASCID, SCIDA, SNM1C</t>
  </si>
  <si>
    <t>Protein artemis</t>
  </si>
  <si>
    <t>XAP1</t>
  </si>
  <si>
    <t>DNA damage-binding protein 1</t>
  </si>
  <si>
    <t>Binds to DDB2 to form the UV-DDB complex, which may recognize UV-induced DNA damage and recruit proteins for NER. </t>
  </si>
  <si>
    <t>DNA damage-binding protein 2</t>
  </si>
  <si>
    <t>Noxin</t>
  </si>
  <si>
    <t>DNA damage-induced apoptosis suppressor protein / Nitric oxide-inducible gene protein</t>
  </si>
  <si>
    <t>May be an anti-apoptotic protein involved in DNA repair or cell survival.</t>
  </si>
  <si>
    <t>CHOP, CHOP10, GADD153</t>
  </si>
  <si>
    <t>DNA damage-inducible transcript 3 protein</t>
  </si>
  <si>
    <t>CAK, EDDR1, NEP, NTRK4, PTK3A</t>
  </si>
  <si>
    <t>Epithelial discoidin domain-containing receptor 1</t>
  </si>
  <si>
    <t>DER1</t>
  </si>
  <si>
    <t>Derlin-1</t>
  </si>
  <si>
    <t>Functional component of endoplasmic reticulum-associated degradation (ERAD) for misfolded lumenal proteins. </t>
  </si>
  <si>
    <t>Dihydrofolate reductase</t>
  </si>
  <si>
    <t>Key enzyme in folate metabolism. Contributes to the de novo mitochondrial thymidylate biosynthesis pathway.</t>
  </si>
  <si>
    <t>mDia2, DIAP3</t>
  </si>
  <si>
    <t>Diaphanous (mDia)-related formin-2</t>
  </si>
  <si>
    <t xml:space="preserve">Formin proteins are key regulators of F-actin and microtubule cytoskeletal dynamics. mDia formins (mDia1-3) are Rho GTPase effectors. mDia proteins regulate F-actin networks critical for maintaining the integrity of multi-cellular epithelial structures.  </t>
  </si>
  <si>
    <t>Dicer, HERNA, KIAA0928</t>
  </si>
  <si>
    <t>Endoribonuclease Dicer</t>
  </si>
  <si>
    <t>RNase III family, processes micro (mi)-RNA precursors into mature miRNAs</t>
  </si>
  <si>
    <t>ARHI, NOEY2, RHOI</t>
  </si>
  <si>
    <t>GTP-binding protein Di-Ras3</t>
  </si>
  <si>
    <t>SK, DKK-1</t>
  </si>
  <si>
    <t>dickkopf WNT signaling pathway inhibitor 1</t>
  </si>
  <si>
    <t>REIC, UNQ258/PRO295</t>
  </si>
  <si>
    <t>Dickkopf-related protein 3</t>
  </si>
  <si>
    <t>Antagonizes canonical Wnt signaling by inhibiting LRP5/6 interaction with Wnt and by forming a ternary complex with the transmembrane protein KREMEN that promotes internalization of LRP5/6. </t>
  </si>
  <si>
    <t>AIM, DNMT, MCMT, CXXC9, HSN1E, ADCADN, m.HsaI</t>
  </si>
  <si>
    <t>DNA methyltransferase 1</t>
  </si>
  <si>
    <t>major enzyme responsible for maintaining methylation patterns following DNA replication and shows a preference for hemi-methylated DNA. </t>
  </si>
  <si>
    <t>Docking protein 2</t>
  </si>
  <si>
    <t>DRAM</t>
  </si>
  <si>
    <t>DNA damage regulated autophagy modulator 1</t>
  </si>
  <si>
    <t>regulated by p53; a lysosomal membrane protein that is required for the induction of autophagy. Decreased transcriptional expression of this gene is associated with various tumors.</t>
  </si>
  <si>
    <t>CDHF4</t>
  </si>
  <si>
    <t>Desmoglein-1</t>
  </si>
  <si>
    <t>Component of intercellular desmosome junctions. Involved in the interaction of plaque proteins and intermediate filaments mediating cell-cell adhesion.</t>
  </si>
  <si>
    <t>NIP, NUMBIP</t>
  </si>
  <si>
    <t>Dual oxidase maturation factor 1</t>
  </si>
  <si>
    <t>Dual oxidases DUOX1 and DUOX2 are NADPH oxidases which are involved in hydrogen peroxide production necessary for thyroid hormonogenesis. They form a heterodimer with specific maturation factors DUOXA1 and DUOXA2, respectively, which is essential for the maturation and function of the DUOX enzyme complexes. </t>
  </si>
  <si>
    <t>CL100, MKP1, PTPN10, VH1</t>
  </si>
  <si>
    <t>Dual specificity protein phosphatase 1</t>
  </si>
  <si>
    <t>Dual specificity phosphatase that dephosphorylates MAP kinase MAPK1/ERK2 on both 'Thr-183' and 'Tyr-185'</t>
  </si>
  <si>
    <t>MKP3, PYST1</t>
  </si>
  <si>
    <t xml:space="preserve">Dual specificity protein phosphatase 6. Inactivates MAP kinases. Has a specificity for the ERK family </t>
  </si>
  <si>
    <t>Segment polarity protein dishevelled homolog</t>
  </si>
  <si>
    <t>Segment polarity protein dishevelled homolog DVL-3</t>
  </si>
  <si>
    <t>Involved in the signal transduction pathway mediated by multiple Wnt genes.</t>
  </si>
  <si>
    <t>DLC1, DNCL1, DNCLC1, HDLC1</t>
  </si>
  <si>
    <t>non-catalytic accessory components of the cytoplasmic dynein 1 complex; inhibitor of DNA end resection</t>
  </si>
  <si>
    <t>Dual specificity tyrosine-phosphorylation-regulated kinase 2</t>
  </si>
  <si>
    <t>RBBP3</t>
  </si>
  <si>
    <t>Transcription factor E2F1</t>
  </si>
  <si>
    <t>CG1071</t>
  </si>
  <si>
    <t>Transcription factor E2F2</t>
  </si>
  <si>
    <t>Transcription factor E2F4</t>
  </si>
  <si>
    <t xml:space="preserve">atypical E2F family members </t>
  </si>
  <si>
    <t>Pro-epidermal growth factor</t>
  </si>
  <si>
    <t>stimulates the growth of various epidermal and epithelial tissues in vivo and in vitro and of some fibroblasts in cell culture</t>
  </si>
  <si>
    <t>PHD2</t>
  </si>
  <si>
    <t>Egl nine homolog 1 / Hypoxia-inducible factor prolyl hydroxylase 2</t>
  </si>
  <si>
    <t>Cellular oxygen sensor that catalyzes, under normoxic conditions, the post-translational formation of 4-hydroxyproline in hypoxia-inducible factor (HIF) alpha proteins. </t>
  </si>
  <si>
    <t>PHD3</t>
  </si>
  <si>
    <t>Prolyl hydroxylase EGLN3 / egl-9 family hypoxia inducible factor 3</t>
  </si>
  <si>
    <t>Prolyl hydroxylase that mediates hydroxylation of proline residues in target proteins, such as PKM, TELO2, ATF4 and HIF1A</t>
  </si>
  <si>
    <t>ERBB, ERBB1, HER1</t>
  </si>
  <si>
    <t>Epidermal growth factor receptor</t>
  </si>
  <si>
    <t>KROX24, ZNF225</t>
  </si>
  <si>
    <t>early growth response 1</t>
  </si>
  <si>
    <t xml:space="preserve">transcription activator of its target genes including TNF, TP53, RB1, and BAX that are involved in the cell death pathway upon radiation or chemotherapy; a MAPK-regulated gene involved in promoting apoptosis. </t>
  </si>
  <si>
    <t>PAST, PAST1, CDABP0131</t>
  </si>
  <si>
    <t>EH domain-containing protein 1</t>
  </si>
  <si>
    <t>ATP- and membrane-binding protein that controls membrane reorganization/tubulation upon ATP hydrolysis. In vitro causes vesiculation of endocytic membranes</t>
  </si>
  <si>
    <t>PEK, PERK</t>
  </si>
  <si>
    <t>Eukaryotic translation initiation factor 2-alpha kinase 3</t>
  </si>
  <si>
    <t>Metabolic-stress sensing protein kinase that phosphorylates the alpha subunit of eukaryotic translation initiation factor 2 (eIF-2-alpha/EIF2S1) on 'Ser-52' during the unfolded protein response (UPR) and in response to low amino acid availability. </t>
  </si>
  <si>
    <t>EIF2A</t>
  </si>
  <si>
    <t>Eukaryotic translation initiation factor 2 subunit 1</t>
  </si>
  <si>
    <t>Functions in the early steps of protein synthesis by forming a ternary complex with GTP and initiator tRNA. This complex binds to a 40S ribosomal subunit, followed by mRNA binding to form a 43S pre-initiation complex. </t>
  </si>
  <si>
    <t>EIF3S10, KIAA0139</t>
  </si>
  <si>
    <t>Eukaryotic translation initiation factor 3 subunit A</t>
  </si>
  <si>
    <t>EIF3S4</t>
  </si>
  <si>
    <t>Eukaryotic translation initiation factor 3 subunit G</t>
  </si>
  <si>
    <t>EIF4EL1, EIF4F</t>
  </si>
  <si>
    <t>Eukaryotic translation initiation factor 4 subunit E</t>
  </si>
  <si>
    <t>Recognizes and binds the 7-methylguanosine-containing mRNA cap during an early step in the initiation of protein synthesis and facilitates ribosome binding by inducing the unwinding of the mRNAs secondary structures. </t>
  </si>
  <si>
    <t>4EBP1</t>
  </si>
  <si>
    <t>EIF4E binding protein</t>
  </si>
  <si>
    <t>MMS4</t>
  </si>
  <si>
    <t>Interacts with MUS81 to form a DNA structure-specific endonuclease</t>
  </si>
  <si>
    <t>BRCA2-interacting transcriptional repressor EMSY</t>
  </si>
  <si>
    <t>END, CD105</t>
  </si>
  <si>
    <t>Endoglin</t>
  </si>
  <si>
    <t xml:space="preserve">Vascular endothelium glycoprotein that plays an important role in the regulation of angiogenesis; a regulatory component of the transforming growth factor‐β (TGF‐β) receptor complex and modulates cellular responses to TGF‐β </t>
  </si>
  <si>
    <t>ENO1L1, MBPB1, MPB1</t>
  </si>
  <si>
    <t>Alpha-enolase</t>
  </si>
  <si>
    <t>Multifunctional enzyme that, as well as its role in glycolysis, plays a part in various processes such as growth control, hypoxia tolerance and allergic responses. </t>
  </si>
  <si>
    <t>ATX, PDNP2, autotaxin</t>
  </si>
  <si>
    <t>Ectonucleotide pyrophosphatase/phosphodiesterase family member 2 / autotaxin</t>
  </si>
  <si>
    <t>P300</t>
  </si>
  <si>
    <t>Histone acetyltransferase p300</t>
  </si>
  <si>
    <t>GA733-2, M1S2, M4S1, MIC18, TACSTD1</t>
  </si>
  <si>
    <t>Epithelial cell adhesion molecule</t>
  </si>
  <si>
    <t>HER2, MLN19, NEU, NGL</t>
  </si>
  <si>
    <t>Receptor tyrosine-protein kinase erbB-2</t>
  </si>
  <si>
    <t>HER3</t>
  </si>
  <si>
    <t>Receptor tyrosine-protein kinase erbB-3</t>
  </si>
  <si>
    <t>cell surface receptor binds to neuregulin-1 (NRG1), which increases Y-P and promotes its association with PI3K</t>
  </si>
  <si>
    <t>HER4</t>
  </si>
  <si>
    <t>Receptor tyrosine-protein kinase erbB-4</t>
  </si>
  <si>
    <t>cell surface receptor binds to not only neuregulins but also betacellulin, heparin-binding EGF, and epiregulin.  </t>
  </si>
  <si>
    <t>DNA excision repair protein ERCC-1</t>
  </si>
  <si>
    <t>Non-catalytic component of a structure-specific DNA repair endonuclease responsible for the 5'-incision during DNA repair. Responsible, in conjunction with SLX4, for the first step in the repair of interstrand cross-links (ICL). </t>
  </si>
  <si>
    <t>XPD, XPDC</t>
  </si>
  <si>
    <t>General transcription and DNA repair factor IIH helicase subunit XPD</t>
  </si>
  <si>
    <t xml:space="preserve">ATP-dependent 5'-3' DNA helicase, component of the general transcription and DNA repair factor IIH (TFIIH) core complex, which is involved in general and transcription-coupled nucleotide excision repair (NER) of damaged DNA. </t>
  </si>
  <si>
    <t>XPB, XPBC</t>
  </si>
  <si>
    <t>General transcription and DNA repair factor IIH helicase subunit XPB</t>
  </si>
  <si>
    <t>ATP-dependent 3'-5' DNA helicase, component of the general transcription and DNA repair factor IIH (TFIIH) core complex, which is involved in general and transcription-coupled nucleotide excision repair (NER) of damaged DNA </t>
  </si>
  <si>
    <t>FANCQ, ERCC4 ERCC11, XPF</t>
  </si>
  <si>
    <t>DNA repair endonuclease XPF</t>
  </si>
  <si>
    <t>ERCM2, XPG, XPGC</t>
  </si>
  <si>
    <t>DNA repair protein complementing XP-G cells</t>
  </si>
  <si>
    <t>CSB</t>
  </si>
  <si>
    <t>DNA excision repair protein ERCC-6</t>
  </si>
  <si>
    <t>Essential factor involved in transcription-coupled nucleotide excision repair which allows RNA polymerase II-blocking lesions to be rapidly removed from the transcribed strand of active genes. </t>
  </si>
  <si>
    <t>CKN1, CSA</t>
  </si>
  <si>
    <t>DNA excision repair protein ERCC-8</t>
  </si>
  <si>
    <t>Substrate-recognition component of the CSA complex, a DCX (DDB1-CUL4-X-box) E3 ubiquitin-protein ligase complex, involved in transcription-coupled nucleotide excision repair. </t>
  </si>
  <si>
    <t>IRE1</t>
  </si>
  <si>
    <t>Serine/threonine-protein kinase/endoribonuclease IRE1</t>
  </si>
  <si>
    <t>key sensor for the endoplasmic reticulum unfolded protein response (UPR)</t>
  </si>
  <si>
    <t>ETA, ETRA</t>
  </si>
  <si>
    <t>Endothelin-1 receptor</t>
  </si>
  <si>
    <t>important role in tumor cell migration, metastasis, and proliferation</t>
  </si>
  <si>
    <t>EWSR2</t>
  </si>
  <si>
    <t>Protein C-ets-1</t>
  </si>
  <si>
    <t>Transcription factor. Directly controls the expression of cytokine and chemokine genes in a wide variety of different cellular contexts. May control the differentiation, survival and proliferation of lymphoid cells.</t>
  </si>
  <si>
    <t>Exodeoxyribonuclease 1</t>
  </si>
  <si>
    <t>MMR, HR</t>
  </si>
  <si>
    <t>KMT6</t>
  </si>
  <si>
    <t>Histone-lysine N-methyltransferase EZH2</t>
  </si>
  <si>
    <t>VIL2</t>
  </si>
  <si>
    <t>Ezrin</t>
  </si>
  <si>
    <t>Probably involved in connections of major cytoskeletal structures to the plasma membrane. In epithelial cells, required for the formation of microvilli and membrane ruffles on the apical pole. Along with PLEKHG6, required for normal macropinocytosis</t>
  </si>
  <si>
    <t>C17orf70</t>
  </si>
  <si>
    <t>Fanconi anemia core complex-associated protein 100</t>
  </si>
  <si>
    <t>Fanconi anemia</t>
  </si>
  <si>
    <t>C19orf40</t>
  </si>
  <si>
    <t>Fanconi anemia core complex-associated protein 24</t>
  </si>
  <si>
    <t>MORT1, GIG3</t>
  </si>
  <si>
    <t>FAS-associated death domain protein</t>
  </si>
  <si>
    <t>Apoptotic adaptor molecule that recruits caspase-8 or caspase-10 to the activated Fas (CD95) or TNFR-1 receptors. </t>
  </si>
  <si>
    <t>TCRP1</t>
  </si>
  <si>
    <t>Tongue cancer resistance-associated protein 1</t>
  </si>
  <si>
    <t>ABRA1, CCDC98, FAM175A, UNQ496/PRO1013</t>
  </si>
  <si>
    <t>BRCA1-A complex subunit Abraxas 1</t>
  </si>
  <si>
    <t>MTMR15</t>
  </si>
  <si>
    <t>Fanconi-associated nuclease 1</t>
  </si>
  <si>
    <t>Fibroblast Activation Protein Alpha / Prolyl endopeptidase FAP</t>
  </si>
  <si>
    <t>APT1, FAS1, TNFRSF6, CD95</t>
  </si>
  <si>
    <t>Receptor for TNFSF6/FASLG. The adapter molecule FADD recruits caspase-8 to the activated receptor. The resulting death-inducing signaling complex (DISC) performs caspase-8 proteolytic activation.</t>
  </si>
  <si>
    <t>APT1LG1, CD95L, FASL, TNFSF6</t>
  </si>
  <si>
    <t>Cytokine that binds to TNFRSF6/FAS, a receptor that transduces the apoptotic signal into cells</t>
  </si>
  <si>
    <t>Fatty acid synthase</t>
  </si>
  <si>
    <t>Fatty acid synthetase catalyzes the formation of long-chain fatty acids from acetyl-CoA, malonyl-CoA and NADPH</t>
  </si>
  <si>
    <t>CDHF7, FAT</t>
  </si>
  <si>
    <t>Protocadherin Fat 1 (Cadherin family member 7</t>
  </si>
  <si>
    <t>Plays an essential role for cellular polarization, directed cell migration and modulating cell-cell contact.</t>
  </si>
  <si>
    <t>S30, FAU1, Fub1, Fubi, asr1, RPS30, MNSFbeta</t>
  </si>
  <si>
    <t>40S ribosomal protein S30</t>
  </si>
  <si>
    <t>Fau modifies apoptosis-controller Bcl-G, which is also a key target for candidate oncoprotein maternal embryonic leucine zipper kinase (MELK).</t>
  </si>
  <si>
    <t>F-box only protein 32</t>
  </si>
  <si>
    <t>RAD2</t>
  </si>
  <si>
    <t>Flap endonuclease 1</t>
  </si>
  <si>
    <t>Structure-specific nuclease with 5'-flap endonuclease and 5'-3' exonuclease activities involved in DNA replication and repair. </t>
  </si>
  <si>
    <t>Fgfa</t>
  </si>
  <si>
    <t>fibroblast growth factor 1</t>
  </si>
  <si>
    <t>Plays an important role in the regulation of cell survival, cell division, angiogenesis, cell differentiation and cell migration. </t>
  </si>
  <si>
    <t>FGFB</t>
  </si>
  <si>
    <t>Fibroblast growth factor 2</t>
  </si>
  <si>
    <t>Acts as a ligand for FGFR1, FGFR2, FGFR3 and FGFR4. Also acts as an integrin ligand which is required for FGF2 signaling. Binds to integrin ITGAV:ITGB3. Plays an important role in the regulation of cell survival, cell division, cell differentiation and cell migration </t>
  </si>
  <si>
    <t>CD332, BEK, KGFR, KSAM</t>
  </si>
  <si>
    <t>Fibroblast growth factor receptor 2,</t>
  </si>
  <si>
    <t>Tyrosine-protein kinase that acts as cell-surface receptor for fibroblast growth factors and plays an essential role in the regulation of cell proliferation, differentiation, migration and apoptosis, and in the regulation of embryonic development. </t>
  </si>
  <si>
    <t>Fumarate hydratase, mitochondrial</t>
  </si>
  <si>
    <t>ABP-280, ABPX, FLN, FLN1</t>
  </si>
  <si>
    <t>Filamin-A</t>
  </si>
  <si>
    <t>FN</t>
  </si>
  <si>
    <t>Fibronectin</t>
  </si>
  <si>
    <t>FOLR, FBP</t>
  </si>
  <si>
    <t>Folate receptor alpha</t>
  </si>
  <si>
    <t>Folate receptor beta</t>
  </si>
  <si>
    <t>Proto-oncogene c-Fos</t>
  </si>
  <si>
    <t>Nuclear phosphoprotein which forms a tight but non-covalently linked complex with the JUN/AP-1 transcription factor. </t>
  </si>
  <si>
    <t>G0S3</t>
  </si>
  <si>
    <t>a member of the AP-1 transcription complex family of proteins</t>
  </si>
  <si>
    <t>FRA1</t>
  </si>
  <si>
    <t>FKHL14, MFH1</t>
  </si>
  <si>
    <t>Forkhead box protein C2</t>
  </si>
  <si>
    <t>Forkhead box (Fox) transcription factors family; the formation of special mesenchymal tissues</t>
  </si>
  <si>
    <t>FKHL16, HFH11, MPP2, WIN</t>
  </si>
  <si>
    <t>Forkhead box protein M1</t>
  </si>
  <si>
    <t>Transcriptional factor regulating the expression of cell cycle genes essential for DNA replication and mitosis</t>
  </si>
  <si>
    <t>FKHR, FOXO1A</t>
  </si>
  <si>
    <t>Forkhead box protein O1</t>
  </si>
  <si>
    <t>FOXO3A, FKHRL1</t>
  </si>
  <si>
    <t>Forkhead box protein O3 / The Forkhead family transcription factor FKHRL1</t>
  </si>
  <si>
    <t>an inducer of apoptosis in its unphosphorylated form by binding to Fas</t>
  </si>
  <si>
    <t>HSPC215</t>
  </si>
  <si>
    <t>The winged helix transcription factor Forkhead box P1</t>
  </si>
  <si>
    <t>FRP</t>
  </si>
  <si>
    <t>Follistatin-related protein 1</t>
  </si>
  <si>
    <t>May modulate the action of some growth factors on cell proliferation and differentiation. Binds heparin</t>
  </si>
  <si>
    <t>FBP1</t>
  </si>
  <si>
    <t>Far upstream element (FUSE) binding protein 1</t>
  </si>
  <si>
    <t>Frizzled-8</t>
  </si>
  <si>
    <t>Receptor for Wnt proteins. Component of the Wnt-Fzd-LRP5-LRP6 complex that triggers beta-catenin signaling through inducing aggregation of receptor-ligand complexes into ribosome-sized signalosomes. </t>
  </si>
  <si>
    <t>Glucose-6-phosphate 1-dehydrogenase</t>
  </si>
  <si>
    <t>Catalyzes the rate-limiting step of the oxidative pentose-phosphate pathway, which represents a route for the dissimilation of carbohydrates besides glycolysis. </t>
  </si>
  <si>
    <t>E4TF1A</t>
  </si>
  <si>
    <t>GA-binding protein alpha chain, GABP subunit alpha</t>
  </si>
  <si>
    <t>Transcription factor capable of interacting with purine rich repeats (GA repeats). ETS family transcription factors GABPA and its partner GABPB1 activate the mutant TERT promoter and telomerase</t>
  </si>
  <si>
    <t>DDIT1, GADD45</t>
  </si>
  <si>
    <t>Growth arrest and DNA damage-inducible protein GADD45 alpha</t>
  </si>
  <si>
    <t>MRPL59, PLINP1, PRG6</t>
  </si>
  <si>
    <t>Growth arrest and DNA damage-inducible proteins-interacting protein 1</t>
  </si>
  <si>
    <t>Growth arrest-specific protein 6</t>
  </si>
  <si>
    <t>GLCL, GLCLC</t>
  </si>
  <si>
    <t>Glutamate--cysteine ligase catalytic subunit</t>
  </si>
  <si>
    <t>GLCLR</t>
  </si>
  <si>
    <t>Glutamate--cysteine ligase regulatory subunit</t>
  </si>
  <si>
    <t>This protein is involved in step 1 of the subpathway that synthesizes glutathione from L-cysteine and L-glutamate.</t>
  </si>
  <si>
    <t>MIC1, PDF, PLAB, PTGFB</t>
  </si>
  <si>
    <t>Growth differentiation factor 15</t>
  </si>
  <si>
    <t>GDNFRA, RETL1, TRNR1</t>
  </si>
  <si>
    <t>GDNF family receptor α 1</t>
  </si>
  <si>
    <t>Receptor for GDNF. Mediates the GDNF-induced autophosphorylation and activation of the RET receptor tyrosine kinase to promote a spectrum of endocrine neoplasias.  </t>
  </si>
  <si>
    <t>LCRG1, LZK1, ZNF403</t>
  </si>
  <si>
    <t>Gametogenetin-binding protein 2</t>
  </si>
  <si>
    <t>GGT</t>
  </si>
  <si>
    <t>Glutathione hydrolase 1 proenzyme</t>
  </si>
  <si>
    <t>Cleaves the gamma-glutamyl bond of extracellular glutathione (gamma-Glu-Cys-Gly), glutathione conjugates, and other gamma-glutamyl compounds. </t>
  </si>
  <si>
    <t>Connexin 43 (Cx43), GJAL</t>
  </si>
  <si>
    <t>Gap junction alpha-1 </t>
  </si>
  <si>
    <t xml:space="preserve">A gap junction consists of a cluster of closely packed pairs of transmembrane channels, the connexons, a direct connection from cell to cell to transfer molecules such as ions, cyclic AMP, cyclic GMP, phosphoinositides, nucleotides, amino acids, or glutathione; cytotoxicity in neighboring untreated bystander cells through gap junctions (GJs) (15069205); </t>
  </si>
  <si>
    <t>THP</t>
  </si>
  <si>
    <t>Initial step of the biosynthesis of N-glycans</t>
  </si>
  <si>
    <t>C16orf27, GNPTAG, CAB56184, LP2537</t>
  </si>
  <si>
    <t>N-acetylglucosamine-1-phosphotransferase subunit gamma</t>
  </si>
  <si>
    <t>GPP34</t>
  </si>
  <si>
    <t>Golgi phosphoprotein 3</t>
  </si>
  <si>
    <t>Phosphatidylinositol-4-phosphate-binding protein that links Golgi membranes to the cytoskeleton and may participate in the tensile force required for vesicle budding from the Golgi. </t>
  </si>
  <si>
    <t>GPP34R</t>
  </si>
  <si>
    <t>Golgi phosphoprotein 3-like</t>
  </si>
  <si>
    <t>Phosphatidylinositol-4-phosphate-binding protein that may antagonize the action of GOLPH3 which is required for the process of vesicle budding at the Golgi and anterograde transport to the plasma membrane</t>
  </si>
  <si>
    <t>GPBP, SSH6</t>
  </si>
  <si>
    <t>Vasculin</t>
  </si>
  <si>
    <t>GPXP</t>
  </si>
  <si>
    <t xml:space="preserve">Glutathione peroxidase 3 </t>
  </si>
  <si>
    <t>Phospholipid hydroperoxide glutathione peroxidase</t>
  </si>
  <si>
    <t>Essential antioxidant peroxidase that directly reduces phospholipid hydroperoxide even if they are incorporated in membranes and lipoproteins. Can also reduce fatty acid hydroperoxide, cholesterol hydroperoxide and thymine hydroperoxide. </t>
  </si>
  <si>
    <t>CKTSF1B1, DAND2, DRM, PIG2</t>
  </si>
  <si>
    <t>Gremlin-1</t>
  </si>
  <si>
    <t>Glycogen synthase kinase-3 beta</t>
  </si>
  <si>
    <t>a negative regulator in the hormonal control of glucose homeostasis, Wnt signaling and regulation of transcription factors and microtubules, by phosphorylating and inactivating glycogen synthase (GYS1 or GYS2), EIF2B, CTNNB1/beta-catenin, APC, AXIN1, DPYSL2/CRMP2, JUN, NFATC1/NFATC, MAPT/TAU and MACF1. </t>
  </si>
  <si>
    <t>GLS1</t>
  </si>
  <si>
    <t>Glutaminase kidney isoform, mitochondrial</t>
  </si>
  <si>
    <t>Catalyzes the first reaction in the primary pathway for the renal catabolism of glutamine. Plays a role in maintaining acid-base homeostasis. Regulates the levels of the neurotransmitter glutamate in the brain. </t>
  </si>
  <si>
    <t>GA</t>
  </si>
  <si>
    <t>Glutaminase liver isoform, mitochondrial</t>
  </si>
  <si>
    <t>Plays an important role in the regulation of glutamine catabolism. Promotes mitochondrial respiration and increases ATP generation in cells by catalyzing the synthesis of glutamate and alpha-ketoglutarate. Increases cellular anti-oxidant function via NADH and glutathione production. </t>
  </si>
  <si>
    <t>Gelsolin</t>
  </si>
  <si>
    <t>Calcium-regulated, actin-modulating protein that binds to the plus (or barbed) ends of actin monomers or filaments, preventing monomer exchange (end-blocking or capping). </t>
  </si>
  <si>
    <t>GLUR, GRD1</t>
  </si>
  <si>
    <t>Glutathione reductase, mitochondrial</t>
  </si>
  <si>
    <t>Maintains high levels of reduced glutathione in the cytosol.</t>
  </si>
  <si>
    <t>Glutathione S-transferase A1</t>
  </si>
  <si>
    <t>Conjugation of reduced glutathione to a wide number of exogenous and endogenous hydrophobic electrophiles</t>
  </si>
  <si>
    <t>Glutathione S-transferase kappa 1</t>
  </si>
  <si>
    <t>The enzyme can also prevent ER stress and ER stress induced adiponectin down-regulation, which implies that GSTK1 assists the ER’s functions. </t>
  </si>
  <si>
    <t>GST1</t>
  </si>
  <si>
    <t>Glutathione S-transferase Mu 1</t>
  </si>
  <si>
    <t>Conjugation of reduced glutathione to a wide number of exogenous and endogenous hydrophobic electrophiles.</t>
  </si>
  <si>
    <t>FAEES3, GST3</t>
  </si>
  <si>
    <t>Glutathione S-transferase Pi</t>
  </si>
  <si>
    <t>Glutathione S-transferase theta-1</t>
  </si>
  <si>
    <t>Conjugation of reduced glutathione to a wide number of exogenous and endogenous hydrophobic electrophiles. </t>
  </si>
  <si>
    <t>Variant histone H2A</t>
  </si>
  <si>
    <t>GDH, H6PDH</t>
  </si>
  <si>
    <t>GDH/6PGL endoplasmic bifunctional protein</t>
  </si>
  <si>
    <t>Oxidizes glucose-6-phosphate and glucose, as well as other hexose-6-phosphates.</t>
  </si>
  <si>
    <t>DTR, DTS, HEGFL</t>
  </si>
  <si>
    <t>Heparin-binding epidermal growth factor-like growth factor</t>
  </si>
  <si>
    <t>Growth factor that mediates its effects via EGFR, ERBB2 and ERBB4. </t>
  </si>
  <si>
    <t>HPIP, PBXIP1</t>
  </si>
  <si>
    <t>Host cell factor C1 regulator 1</t>
  </si>
  <si>
    <t>Regulates HCFC1 activity by modulating its subcellular localization. </t>
  </si>
  <si>
    <t>RPD3L1</t>
  </si>
  <si>
    <t>Histone deacetylase 1</t>
  </si>
  <si>
    <t>Responsible for the deacetylation of lysine residues on the N-terminal part of the core histones (H2A, H2B, H3 and H4). </t>
  </si>
  <si>
    <t>Histone deacetylase 3</t>
  </si>
  <si>
    <t>Histone deacetylase 4</t>
  </si>
  <si>
    <t>E3 ubiquitin-protein ligase HECTD3</t>
  </si>
  <si>
    <t>HEL308</t>
  </si>
  <si>
    <t>Helicase POLQ-like</t>
  </si>
  <si>
    <t>Single-stranded DNA-dependent ATPase and 5' to 3' DNA helicase. Involved in the repair of DNA cross-links and double-strand break (DSB) resistance. </t>
  </si>
  <si>
    <t>BHLHB31, CHF2, HERP2, HESR1, HRT1</t>
  </si>
  <si>
    <t>Hairy/enhancer-of-split related with YRPW motif protein 1</t>
  </si>
  <si>
    <t>Transcriptional repressor which binds preferentially to the canonical E box sequence. Downstream effector of Notch signaling required for cardiovascular development. </t>
  </si>
  <si>
    <t>SF, HGFB, HPTA, F-TCF, DFNB39</t>
  </si>
  <si>
    <t>hepatocyte growth factor</t>
  </si>
  <si>
    <t>ZBTB29</t>
  </si>
  <si>
    <t>Hypermethylated in cancer 1 protein / HIC ZBTB transcriptional repressor 1</t>
  </si>
  <si>
    <t>BHLHE78, MOP1, PASD8</t>
  </si>
  <si>
    <t>Hypoxia-inducible factor 1-alpha</t>
  </si>
  <si>
    <t>Functions as a master transcriptional regulator of the adaptive response to hypoxia. </t>
  </si>
  <si>
    <t>Homeodomain-interacting protein kinase 2</t>
  </si>
  <si>
    <t>Hexokinase-2</t>
  </si>
  <si>
    <t>In vertebrates there are four major glucose-phosphorylating isoenzymes, designated hexokinase I, II, III and IV (glucokinase).</t>
  </si>
  <si>
    <t>HMG1</t>
  </si>
  <si>
    <t>High mobility group protein B1</t>
  </si>
  <si>
    <t>3-hydroxy-3-methylglutaryl-coenzyme A reductase</t>
  </si>
  <si>
    <t>HO-1</t>
  </si>
  <si>
    <t>Heme oxygenase-1</t>
  </si>
  <si>
    <t>TCF2</t>
  </si>
  <si>
    <t>Hepatocyte nuclear factor 1-beta / HNF1 homeobox B</t>
  </si>
  <si>
    <t>HOX1J</t>
  </si>
  <si>
    <t>Homeobox protein Hox-A13</t>
  </si>
  <si>
    <t>Sequence-specific transcription factor which is part of a developmental regulatory system that provides cells with specific positional identities on the anterior-posterior axis.</t>
  </si>
  <si>
    <t>HOX1D</t>
  </si>
  <si>
    <t>Homeobox protein Hox-A4</t>
  </si>
  <si>
    <t>Sequence-specific transcription factor which is part of a developmental regulatory system that provides cells with specific positional identities on the anterior-posterior axis. Binds to sites in the 5'-flanking sequence of its coding region with various affinities.</t>
  </si>
  <si>
    <t>Homeobox protein Hox-B13</t>
  </si>
  <si>
    <t>HOX2G</t>
  </si>
  <si>
    <t>Homeobox protein Hox-B3</t>
  </si>
  <si>
    <t>HOX2F</t>
  </si>
  <si>
    <t>Homeobox protein Hox-B4</t>
  </si>
  <si>
    <t>Sequence-specific transcription factor which is part of a developmental regulatory system </t>
  </si>
  <si>
    <t>HOX4E</t>
  </si>
  <si>
    <t>Homeobox protein Hox-D8</t>
  </si>
  <si>
    <t>c17orf53, MCM8IP</t>
  </si>
  <si>
    <t>Homologous recombination OB-fold protein</t>
  </si>
  <si>
    <t>DNA-binding protein involved in homologous recombination that acts by recruiting the MCM8-MCM9 helicase complex to sites of DNA damage to promote DNA repair synthesis</t>
  </si>
  <si>
    <t>HSTF1</t>
  </si>
  <si>
    <t>Heat shock factor protein 1</t>
  </si>
  <si>
    <t>HSP72, HSPA1, HSX70</t>
  </si>
  <si>
    <t>Heat shock 70 kDa protein 1A</t>
  </si>
  <si>
    <t>HSP72</t>
  </si>
  <si>
    <t>Heat shock 70 kDa protein 1B</t>
  </si>
  <si>
    <t>HSP90A, HSPC1, HSPCA</t>
  </si>
  <si>
    <t>Heat shock protein HSP 90-alpha</t>
  </si>
  <si>
    <t>HSP90B, HSPC2, HSPCB</t>
  </si>
  <si>
    <t>Heat shock protein HSP 90-beta</t>
  </si>
  <si>
    <t>GRP78</t>
  </si>
  <si>
    <t>Glucose-regulated protein 78</t>
  </si>
  <si>
    <t>a major stress-inducible calcium-binding chaperone localized to the endoplasmic reticulum (ER), serves as a buffer against calcium efflux from the ER that could trigger the mitochondrial apoptotic program</t>
  </si>
  <si>
    <t>HSP27, HSP28</t>
  </si>
  <si>
    <t>Small heat shock protein; plays a role in stress resistance and actin organization</t>
  </si>
  <si>
    <t>HSP60</t>
  </si>
  <si>
    <t>Omi/HtrA2, CG8464</t>
  </si>
  <si>
    <t>Serine protease HTRA2, mitochondrial</t>
  </si>
  <si>
    <t>In response to apoptotic stimuli, HtrA2 is released from the mitochondria into the cytosol, and promotes or induces cell death either by direct binding to and inhibition of BIRC proteins; also associated with cell invasion, by cleaving β-actin and decreasing the amount of filamentous actin (F-actin) </t>
  </si>
  <si>
    <t>CD54</t>
  </si>
  <si>
    <t>Intercellular adhesion molecule 1</t>
  </si>
  <si>
    <t>BHLHB24, ID</t>
  </si>
  <si>
    <t>DNA-binding protein inhibitor ID-1</t>
  </si>
  <si>
    <t>Transcriptional regulator (lacking a basic DNA binding domain) which negatively regulates the basic helix-loop-helix (bHLH) transcription factors.  Implicated in regulating a variety of cellular processes, including cellular growth, senescence, differentiation, apoptosis, angiogenesis, and neoplastic transformation.</t>
  </si>
  <si>
    <t>Interferon gamma</t>
  </si>
  <si>
    <t>Produced by lymphocytes activated by specific antigens or mitogens. IFN-gamma, in addition to having antiviral activity, has important immunoregulatory functions. </t>
  </si>
  <si>
    <t>IBP1</t>
  </si>
  <si>
    <t>Insulin-like growth factor I</t>
  </si>
  <si>
    <t>The insulin-like growth factors, isolated from plasma, are structurally and functionally related to insulin but have a much higher growth-promoting activity.</t>
  </si>
  <si>
    <t>Insulin-like growth factor 1 receptor</t>
  </si>
  <si>
    <t>Receptor tyrosine kinase binds IGF1 with high affinity and IGF2 and insulin (INS) with a lower affinity. </t>
  </si>
  <si>
    <t>Insulin-like growth factor II</t>
  </si>
  <si>
    <t>The insulin-like growth factors possess growth-promoting activity. Major fetal growth hormone in mammals. Plays a key role in regulating fetoplacental development. </t>
  </si>
  <si>
    <t>CRDBP, VICKZ1, ZBP1</t>
  </si>
  <si>
    <t>growth factor 2 mRNA-binding protein 1</t>
  </si>
  <si>
    <t>IMP3, KOC1, VICKZ3</t>
  </si>
  <si>
    <t>growth factor 2 mRNA-binding protein 3</t>
  </si>
  <si>
    <t>RNA-binding factor that may recruit target transcripts to cytoplasmic protein-RNA complexes (mRNPs). This transcript 'caging' into mRNPs allows mRNA transport and transient storage. </t>
  </si>
  <si>
    <t>IKKE, IKKI, KIAA0151</t>
  </si>
  <si>
    <t>I-kappa-B kinase e</t>
  </si>
  <si>
    <t>Serine/threonine kinase that plays an essential role in regulating inflammatory responses to viral infection, through the activation of the type I IFN, NF-kappa-B and STAT signaling. </t>
  </si>
  <si>
    <t>Interleukin-11</t>
  </si>
  <si>
    <t>Cytokine that stimulates the proliferation of hematopoietic stem cells and megakaryocyte progenitor cells and induces megakaryocyte maturation resulting in increased platelet production</t>
  </si>
  <si>
    <t>IL1F1</t>
  </si>
  <si>
    <t>Interleukin-1 alpha</t>
  </si>
  <si>
    <t>Produced by activated macrophages, IL-1 stimulates thymocyte proliferation by inducing IL-2 release, B-cell maturation and proliferation, and fibroblast growth factor activity. </t>
  </si>
  <si>
    <t>IL1F2</t>
  </si>
  <si>
    <t>Interleukin-1 beta</t>
  </si>
  <si>
    <t>Potent proinflammatory cytokine. Initially discovered as the major endogenous pyrogen, induces prostaglandin synthesis, neutrophil influx and activation, T-cell activation and cytokine production, B-cell activation and antibody production, and fibroblast proliferation and collagen production.</t>
  </si>
  <si>
    <t>CTLA8, IL17</t>
  </si>
  <si>
    <t>Interleukin-17A</t>
  </si>
  <si>
    <t>Signals via IL17RA-IL17RC heterodimeric receptor complex, triggering homotypic interaction of IL17RA and IL17RC chains with TRAF3IP2 adapter. This leads to downstream TRAF6-mediated activation of NF-kappa-B and MAPkinase pathways ultimately resulting in transcriptional activation of cytokines, chemokines, antimicrobial peptides and matrix metalloproteinases, with potential strong immune inflammation</t>
  </si>
  <si>
    <t>ILTIF, ZCYTO18</t>
  </si>
  <si>
    <t>Interleukin-22</t>
  </si>
  <si>
    <t>Cytokine that contributes to the inflammatory response in vivo.</t>
  </si>
  <si>
    <t>IL17E</t>
  </si>
  <si>
    <t>Interleukin-25</t>
  </si>
  <si>
    <t>Induces activation of NF-kappa-B and stimulates production of the proinflammatory chemokine IL-8. Proinflammatory cytokine favoring Th2-type immune responses.</t>
  </si>
  <si>
    <t>IFNB2</t>
  </si>
  <si>
    <t>Interleukin-6</t>
  </si>
  <si>
    <t>Cytokine with a wide variety of biological functions. It is a potent inducer of the acute phase response. Plays an essential role in the final differentiation of B-cells into Ig-secreting cells Involved in lymphocyte and monocyte differentiation. </t>
  </si>
  <si>
    <t>Interleukin-6 receptor subunit alpha</t>
  </si>
  <si>
    <t>Interleukin-7</t>
  </si>
  <si>
    <t>Hematopoietic growth factor capable of stimulating the proliferation of lymphoid progenitors. </t>
  </si>
  <si>
    <t>ILK1, ILK2</t>
  </si>
  <si>
    <t>Integrin-linked protein kinase</t>
  </si>
  <si>
    <t>Receptor-proximal protein kinase regulating integrin-mediated signal transduction </t>
  </si>
  <si>
    <t>INSP3R1</t>
  </si>
  <si>
    <t>IP3 receptor isoform 1</t>
  </si>
  <si>
    <t>Intracellular channel that mediates calcium release from the endoplasmic reticulum following stimulation by inositol 1,4,5-trisphosphate</t>
  </si>
  <si>
    <t>MAR, IRF-1</t>
  </si>
  <si>
    <t>interferon regulatory factor 1</t>
  </si>
  <si>
    <t>transcriptional regulator and tumor suppressor; activator of genes involved in both innate and acquired immune responses. </t>
  </si>
  <si>
    <t>FNRA</t>
  </si>
  <si>
    <t xml:space="preserve">Integrin alpha-5/beta-1 (ITGA5:ITGB1) </t>
  </si>
  <si>
    <t>A receptor for fibronectin and fibrinogen.</t>
  </si>
  <si>
    <t>CD49f, VLA-6, ITGA6B</t>
  </si>
  <si>
    <t>integrin subunit alpha 6</t>
  </si>
  <si>
    <t>The alpha 6 beta 4 integrin may promote tumorigenesis, while the alpha 6 beta 1 integrin may negatively regulate erbB2/HER2 signaling. </t>
  </si>
  <si>
    <t>FNRB, MDF2, MSK12</t>
  </si>
  <si>
    <t>Integrin beta-1</t>
  </si>
  <si>
    <t>Integrin beta-5</t>
  </si>
  <si>
    <t>integrin β8</t>
  </si>
  <si>
    <t>E25A, BRICD2A</t>
  </si>
  <si>
    <t>Integral membrane protein 2A</t>
  </si>
  <si>
    <t>JAGL1</t>
  </si>
  <si>
    <t>jagged-1 protein</t>
  </si>
  <si>
    <t>Ligand for multiple Notch receptors and involved in the mediation of Notch signaling</t>
  </si>
  <si>
    <t xml:space="preserve">Non-receptor tyrosine kinase involved in various processes such as cell growth, development, differentiation or histone modifications.  </t>
  </si>
  <si>
    <t>c-Jun</t>
  </si>
  <si>
    <t>Transcription factor AP-1</t>
  </si>
  <si>
    <t>Transcription factor that promotes activity of NR5A1 when phosphorylated by HIPK3 leading to increased steroidogenic gene expression upon cAMP signaling pathway stimulation.</t>
  </si>
  <si>
    <t>part of AP-1</t>
  </si>
  <si>
    <t>PCAF</t>
  </si>
  <si>
    <t>HTATIP, TIP60</t>
  </si>
  <si>
    <t>MOF, MYST1, PP7073</t>
  </si>
  <si>
    <t>MYST family of Histone acetyltransferase KAT8</t>
  </si>
  <si>
    <t>KCNMA, SLO</t>
  </si>
  <si>
    <t xml:space="preserve">potassium channel calcium activated large conductance subfamily M alpha, member 1 </t>
  </si>
  <si>
    <t>a subunit of calcium-regulated big potassium (BK) channels, which are opened by changes in membrane electrical potential and/or by increases in concentration of intracellular calcium ion (Ca2+).</t>
  </si>
  <si>
    <t>JHDM2A, JMJD1, JMJD1A, KIAA0742, TSGA</t>
  </si>
  <si>
    <t>Lysine-specific demethylase 3A</t>
  </si>
  <si>
    <t xml:space="preserve">KDM3A employs two distinct mechanisms; one by demethylating histone (H3K9me2) and the other by targeting a non-histone protein, p53. </t>
  </si>
  <si>
    <t>JARID1A, RBBP2, RBP2</t>
  </si>
  <si>
    <t>Lysine-specific demethylase 5A</t>
  </si>
  <si>
    <t>FLK1, VEGFR2</t>
  </si>
  <si>
    <t>Vascular endothelial growth factor receptor 2</t>
  </si>
  <si>
    <t>INRF2, KIAA0132, KLHL19</t>
  </si>
  <si>
    <t>Kelch-like ECH-associated protein 1</t>
  </si>
  <si>
    <t>MKLP2, RAB6KIFL</t>
  </si>
  <si>
    <t>Kinesin-like protein</t>
  </si>
  <si>
    <t>SCFR, CD117</t>
  </si>
  <si>
    <t>EZF, GKLF</t>
  </si>
  <si>
    <t>Krueppel-like factor 4</t>
  </si>
  <si>
    <t>Regulates the expression of key transcription factors during embryonic development. Plays an important role in maintaining embryonic stem cells, and in preventing their differentiation.</t>
  </si>
  <si>
    <t>BTEB2, CKLF, IKLF</t>
  </si>
  <si>
    <t>Krueppel-like factor 5</t>
  </si>
  <si>
    <t>KRAS2, RASK2</t>
  </si>
  <si>
    <t>GTPase KRas</t>
  </si>
  <si>
    <t xml:space="preserve">Ras proteins bind GDP/GTP and possess intrinsic GTPase activity. Plays an important role in the regulation of cell proliferation. </t>
  </si>
  <si>
    <t xml:space="preserve">KRTA </t>
  </si>
  <si>
    <t>Keratin, type II cytoskeletal 1</t>
  </si>
  <si>
    <t>May regulate the activity of kinases such as PKC and SRC via binding to integrin beta-1 (ITB1) and the receptor of activated protein C kinase 1 (RACK1).</t>
  </si>
  <si>
    <t>KPP</t>
  </si>
  <si>
    <t>Keratin, type I cytoskeletal 10</t>
  </si>
  <si>
    <t>CYK18, PIG46</t>
  </si>
  <si>
    <t>Keratin, type I cytoskeletal 18</t>
  </si>
  <si>
    <t>CK5</t>
  </si>
  <si>
    <t>Keratin, type II cytoskeletal 5</t>
  </si>
  <si>
    <t>There are two types of cytoskeletal and microfibrillar keratin: I (acidic; 40-55 kDa) and II (neutral to basic; 56-70 kDa).</t>
  </si>
  <si>
    <t>CYK8</t>
  </si>
  <si>
    <t>Keratin, type II cytoskeletal 8</t>
  </si>
  <si>
    <t>CAML1, MIC5</t>
  </si>
  <si>
    <t>Neural cell adhesion molecule L1</t>
  </si>
  <si>
    <t>Neural cell adhesion molecule involved in the dynamics of cell adhesion and in the generation of transmembrane signals at tyrosine kinase receptors.</t>
  </si>
  <si>
    <t>HBXIP, XIP</t>
  </si>
  <si>
    <t>hepatitis B X-interacting protein</t>
  </si>
  <si>
    <t>WARTS</t>
  </si>
  <si>
    <t xml:space="preserve">large tumor suppressor 1 </t>
  </si>
  <si>
    <t>Tyrosine-protein kinase Lck</t>
  </si>
  <si>
    <t>Non-receptor tyrosine-protein kinase that plays an essential role in the selection and maturation of developing T-cells in the thymus and in the function of mature T-cells. </t>
  </si>
  <si>
    <t>MAC2</t>
  </si>
  <si>
    <t>Galectin-3</t>
  </si>
  <si>
    <t>LIG3-XRCC1 complex is responsible for ligation steps of NER and DNA strand-break repair. </t>
  </si>
  <si>
    <t>LIG4-XRCC4 complex is responsible for the NHEJ ligation step</t>
  </si>
  <si>
    <t>CSDD1, LIN28, ZCCHC1</t>
  </si>
  <si>
    <t xml:space="preserve">RNA-binding protein that inhibits processing of pre-let-7 miRNAs and regulates translation of mRNAs that control developmental timing, pluripotency and metabolism. an important marker gene of stemness in ovarian cancer stem cells. </t>
  </si>
  <si>
    <t>CSDD2</t>
  </si>
  <si>
    <t>Protein lin-28 homolog B</t>
  </si>
  <si>
    <t>transcriptional regulator. It controls pathways regulating cell survival and cell death</t>
  </si>
  <si>
    <t>OTASE, P-LAP</t>
  </si>
  <si>
    <t>Leucyl-cystinyl aminopeptidase, placental leucine aminopeptidase</t>
  </si>
  <si>
    <t>A2MR, APR</t>
  </si>
  <si>
    <t>Prolow-density lipoprotein receptor-related protein 1</t>
  </si>
  <si>
    <t>KIAA1437, LRRC8, SWELL1, UNQ221/PRO247</t>
  </si>
  <si>
    <t>A subunit of the volume-regulated anion channel (VRAC, also named VSOAC channel), an anion channel required to maintain a constant cell volume in response to extracellular or intracellular osmotic changes </t>
  </si>
  <si>
    <t>LRRC5, UNQ213/PRO239</t>
  </si>
  <si>
    <t>D subunit of the volume-regulated anion channel (VRAC, also named VSOAC channel), an anion channel required to maintain a constant cell volume in response to extracellular or intracellular osmotic changes </t>
  </si>
  <si>
    <t>GCF2, TRIP</t>
  </si>
  <si>
    <t>Leucine-rich repeat flightless-interacting protein 1</t>
  </si>
  <si>
    <t>Transcriptional repressor which preferentially binds to the GC-rich consensus sequence (5'-AGCCCCCGGCG-3') and may regulate expression of TNF, EGFR and PDGFA. </t>
  </si>
  <si>
    <t>BLT2R, BLTR2</t>
  </si>
  <si>
    <t>Leukotriene B4 receptor 2</t>
  </si>
  <si>
    <t>Low-affinity receptor for leukotrienes including leukotriene B4. Mediates chemotaxis of granulocytes and macrophages. The response is mediated via G-proteins that activate a phosphatidylinositol-calcium second messenger system</t>
  </si>
  <si>
    <t>CROP, Luc7A</t>
  </si>
  <si>
    <t>cisplatin resistance-associated overexpressed protein</t>
  </si>
  <si>
    <t>May play a role in RNA splicing</t>
  </si>
  <si>
    <t>Metastasis-associated in colon cancer protein 1</t>
  </si>
  <si>
    <t>Acts as a transcription activator for MET and as a key regulator of HGF-MET signaling</t>
  </si>
  <si>
    <r>
      <t xml:space="preserve">MAD2B, </t>
    </r>
    <r>
      <rPr>
        <b/>
        <sz val="11"/>
        <color theme="1"/>
        <rFont val="Calibri"/>
        <family val="2"/>
        <scheme val="minor"/>
      </rPr>
      <t>REV7</t>
    </r>
  </si>
  <si>
    <t>Mitotic spindle assembly checkpoint protein MAD2B</t>
  </si>
  <si>
    <t>Myelin and lymphocyte protein</t>
  </si>
  <si>
    <t>MLT</t>
  </si>
  <si>
    <t>Mucosa-associated lymphoid tissue lymphoma translocation protein 1</t>
  </si>
  <si>
    <t>A caspase-like protease that enhances BCL10-induced activation of NF-kappa-B. Involved in nuclear export of BCL10. Binds to TRAF6, inducing TRAF6 oligomerization and activation of its ligase activity. </t>
  </si>
  <si>
    <t>LC3A</t>
  </si>
  <si>
    <t>Microtubule-associated proteins 1A/1B light chain 3A</t>
  </si>
  <si>
    <t>Ubiquitin-like modifier involved in formation of autophagosomal vacuoles (autophagosomes)</t>
  </si>
  <si>
    <t>LC3B</t>
  </si>
  <si>
    <t>Microtubule-associated proteins 1A/1B light chain 3B</t>
  </si>
  <si>
    <t>Ubiquitin-like modifier involved in formation of autophagosomal vacuoles (autophagosomes).</t>
  </si>
  <si>
    <t>MEK1, PRKMK1</t>
  </si>
  <si>
    <t>Dual specificity mitogen-activated protein kinase kinase 1</t>
  </si>
  <si>
    <t>Dual specificity protein kinase which acts as an essential component of the MAP kinase signal transduction pathway. </t>
  </si>
  <si>
    <t>MEK3, MKK3, PRKMK3, SKK2</t>
  </si>
  <si>
    <t>mitogen-activated protein kinase kinase 3</t>
  </si>
  <si>
    <t>JNKK1, MEK4, MKK4, PRKMK4, SEK1</t>
  </si>
  <si>
    <t>mitogen-activated protein kinase kinase 4</t>
  </si>
  <si>
    <t>MAPKKK1, MEKK, MEKK1</t>
  </si>
  <si>
    <t>Mitogen-activated protein kinase kinase kinase 1</t>
  </si>
  <si>
    <t>ASK1, MAPKKK5, MEKK5</t>
  </si>
  <si>
    <t>Mitogen-activated protein kinase kinase kinase 5</t>
  </si>
  <si>
    <t>TAK1</t>
  </si>
  <si>
    <t>TGF-β-activating kinase 1</t>
  </si>
  <si>
    <t>ERK2, PRKM1, PRKM2</t>
  </si>
  <si>
    <t>Mitogen-activated protein kinase 1</t>
  </si>
  <si>
    <t>PRKM11, SAPK2, SAPK2B</t>
  </si>
  <si>
    <t>one of the four p38 MAPKs</t>
  </si>
  <si>
    <t>ERK6, SAPK3</t>
  </si>
  <si>
    <t>PRKM13, SAPK4, p38delta</t>
  </si>
  <si>
    <t>CSBP, CSBP1, CSBP2, CSPB1, MXI2, p38alpha </t>
  </si>
  <si>
    <t>ERK1, PRKM3</t>
  </si>
  <si>
    <t>Mitogen-activated protein kinase 3</t>
  </si>
  <si>
    <t>JNK1, PRKM8, SAPK1, SAPK1C</t>
  </si>
  <si>
    <t>Mitogen-activated protein kinase 8</t>
  </si>
  <si>
    <t>JNK2, PRKM9, SAPK1A</t>
  </si>
  <si>
    <t>Mitogen-activated protein kinase 9</t>
  </si>
  <si>
    <t>SAST</t>
  </si>
  <si>
    <t>Microtubule-associated serine/threonine-protein kinase 1</t>
  </si>
  <si>
    <t>Appears to link the dystrophin/utrophin network with microtubule filaments via the syntrophins.</t>
  </si>
  <si>
    <t>EXP, KIAA0428, MBNL</t>
  </si>
  <si>
    <t>Muscleblind-like protein 1</t>
  </si>
  <si>
    <t>Mediates pre-mRNA alternative splicing regulation. Inhibits cardiac troponin-T (TNNT2) pre-mRNA exon inclusion but induces insulin receptor (IR) pre-mRNA exon inclusion in muscle. </t>
  </si>
  <si>
    <t>BCL2L3</t>
  </si>
  <si>
    <t>Induced myeloid leukemia cell differentiation protein Mcl-1</t>
  </si>
  <si>
    <t>DNA helicase MCM8</t>
  </si>
  <si>
    <t>Component of the MCM8-MCM9 complex, a complex involved in the repair of double-stranded DNA breaks (DBSs) and DNA interstrand cross-links (ICLs) by homologous recombination (HR)</t>
  </si>
  <si>
    <t>MCMDC1</t>
  </si>
  <si>
    <t>E3 ubiquitin-protein ligase Mdm2</t>
  </si>
  <si>
    <t>mediates ubiquitination of p53/TP53, leading to its degradation by the proteasome. Inhibits p53/TP53- and p73/TP73-mediated cell cycle arrest and apoptosis by binding its transcriptional activation domain. </t>
  </si>
  <si>
    <t>MDMX</t>
  </si>
  <si>
    <t>Inhibits p53/TP53- and TP73/p73-mediated cell cycle arrest and apoptosis by binding its transcriptional activation domain. Inhibits degradation of MDM2. Can reverse MDM2-targeted degradation of TP53 while maintaining suppression of TP53 transactivation and apoptotic functions.</t>
  </si>
  <si>
    <t>Maternal embryonic leucine zipper kinase</t>
  </si>
  <si>
    <t>Serine/threonine-protein kinase involved in various processes such as cell cycle regulation, self-renewal of stem cells, apoptosis and splicing regulation. </t>
  </si>
  <si>
    <t>SCG2</t>
  </si>
  <si>
    <t>Menin / Multiple endocrine neoplasia type 1</t>
  </si>
  <si>
    <t>Hepatocyte growth factor receptor</t>
  </si>
  <si>
    <t>tRNA N(3)-methylcytidine methyltransferase METTL6</t>
  </si>
  <si>
    <t>GGNT1, GLCT1, GLYT1, MGAT</t>
  </si>
  <si>
    <t>Alpha-1,3-mannosyl-glycoprotein 2-beta-N-acetylglucosaminyltransferase</t>
  </si>
  <si>
    <t>Initiates complex N-linked carbohydrate formation. Essential for the conversion of high-mannose to hybrid and complex N-glycans.</t>
  </si>
  <si>
    <t>GGNT5</t>
  </si>
  <si>
    <t>Alpha-1,6-mannosylglycoprotein 6-beta-N-acetylglucosaminyltransferase A</t>
  </si>
  <si>
    <t>Catalyzes the addition of N-acetylglucosamine (GlcNAc) in beta 1-6 linkage to the alpha-linked mannose of biantennary N-linked oligosaccharide</t>
  </si>
  <si>
    <t>CALC, CBARA1</t>
  </si>
  <si>
    <t>Mitochondrial Calcium Uptake 1</t>
  </si>
  <si>
    <t>C17orf37, C35, RDX12, XTP4</t>
  </si>
  <si>
    <t>Migration and invasion enhancer 1</t>
  </si>
  <si>
    <t>BHLHE32</t>
  </si>
  <si>
    <t>Microphthalmia-associated transcription factor</t>
  </si>
  <si>
    <t>COCA2</t>
  </si>
  <si>
    <t>HALR, KIAA1506, MLL3</t>
  </si>
  <si>
    <t>methyltransferase-mediated pathway regulating replication for restart/mixed lineage leukemia 3</t>
  </si>
  <si>
    <t>Histone methyltransferase. Methylates 'Lys-4' of histone H3. H3 'Lys-4' methylation represents a specific tag for epigenetic transcriptional activation. Central component of the MLL2/3 complex, a coactivator complex of nuclear receptors, involved in transcriptional coactivation.</t>
  </si>
  <si>
    <t>HRX2, KIAA0304, MLL2, MLL4, TRX2</t>
  </si>
  <si>
    <t>Knockdown results in fork stabilization and PARPi resistance.</t>
  </si>
  <si>
    <t>EPN, CD10</t>
  </si>
  <si>
    <t>Neprilysin</t>
  </si>
  <si>
    <t>STMY2</t>
  </si>
  <si>
    <t>matrix metalloproteinase-10; Stromelysin-2</t>
  </si>
  <si>
    <t>Can degrade fibronectin, gelatins of type I, III, IV, and V; weakly collagens III, IV, and V. Activates procollagenase.</t>
  </si>
  <si>
    <t>MMP18, RASI</t>
  </si>
  <si>
    <t>Matrix metalloproteinase-19</t>
  </si>
  <si>
    <t>CLG4A</t>
  </si>
  <si>
    <t xml:space="preserve">Ubiquitinous metalloproteinase </t>
  </si>
  <si>
    <t>Matrix metalloproteinase-20</t>
  </si>
  <si>
    <t>Degrades amelogenin, the major protein component of the enamel matrix and two of the macromolecules characterizing the cartilage extracellular matrix</t>
  </si>
  <si>
    <t>MPSL1, PUMP1</t>
  </si>
  <si>
    <t>Matrilysin</t>
  </si>
  <si>
    <t>CLG4B</t>
  </si>
  <si>
    <t>matrix metalloproteinase-9</t>
  </si>
  <si>
    <t>degrading type IV collagen present in the basement membrane.</t>
  </si>
  <si>
    <t>CAP35, MAT1, RNF66</t>
  </si>
  <si>
    <t>CDK-activating kinase assembly factor MAT1</t>
  </si>
  <si>
    <t>Stabilizes the cyclin H-CDK7 complex to form a functional CDK-activating kinase (CAK) enzymatic complex. CAK activates the cyclin-associated kinases CDK1, CDK2, CDK4 and CDK6 by threonine phosphorylation. </t>
  </si>
  <si>
    <t>PNMA4</t>
  </si>
  <si>
    <t>modulator of apoptosis 1</t>
  </si>
  <si>
    <t>stimulates activation of the pro-apoptotic Bcl-2 family protein Bax</t>
  </si>
  <si>
    <t>At3g20475, MQC12.27</t>
  </si>
  <si>
    <t>Involved in meiotic recombination in association with MSH4. </t>
  </si>
  <si>
    <t>Mesothelin</t>
  </si>
  <si>
    <t>HOX7</t>
  </si>
  <si>
    <t>Msh homeobox 1</t>
  </si>
  <si>
    <t>MT1S</t>
  </si>
  <si>
    <t>Metallothionein-1A</t>
  </si>
  <si>
    <t>Metallothioneins have a high content of cysteine residues that bind various heavy metals; these proteins are transcriptionally regulated by both heavy metals and glucocorticoids.</t>
  </si>
  <si>
    <t>platinum pathway</t>
  </si>
  <si>
    <t>Metallothionein-3</t>
  </si>
  <si>
    <t>Binds heavy metals. Contains three zinc and three copper atoms per polypeptide chain and only a negligible amount of cadmium. Inhibits survival and neurite formation of cortical neurons in vitro.</t>
  </si>
  <si>
    <t>COX3, MTCO3</t>
  </si>
  <si>
    <t>Cytochrome c oxidase subunit 3</t>
  </si>
  <si>
    <t>Component of the cytochrome c oxidase, the last enzyme in the mitochondrial electron transport chain which drives oxidative phosphorylation. </t>
  </si>
  <si>
    <t>AEG1, LYRIC</t>
  </si>
  <si>
    <t>astrocyte elevated gene-1</t>
  </si>
  <si>
    <t>FRAP, FRAP1, FRAP2, RAFT1, RAPT1</t>
  </si>
  <si>
    <t>Serine/threonine protein kinase which is a central regulator of cellular metabolism, growth and survival in response to hormones, growth factors, nutrients, energy and stress signals. </t>
  </si>
  <si>
    <t>Methionine synthase reductase</t>
  </si>
  <si>
    <t>Mucin-1</t>
  </si>
  <si>
    <t>transmembrane mucin, may reduce cell–cell and cell–matrix adhesion, and the cytoplasmic domain of MUC1 interacts with a variety of molecules involved in tumor proliferation such as epidermal growth factor receptor, c-Src, β-catenin, and Grb2.  </t>
  </si>
  <si>
    <t>Ovarian cancer-related tumor marker CA125</t>
  </si>
  <si>
    <t>Mucin-16</t>
  </si>
  <si>
    <t>MUC5</t>
  </si>
  <si>
    <t>Crossover junction endonuclease MUS81</t>
  </si>
  <si>
    <t>Interacts with EME1 and EME2 to form a DNA structure-specific endonuclease with substrate preference for branched DNA structures with a 5'-end at the branch nick. </t>
  </si>
  <si>
    <t>MYH</t>
  </si>
  <si>
    <t>Adenine DNA glycosylase</t>
  </si>
  <si>
    <t>LRP (Lung resistence protein)</t>
  </si>
  <si>
    <t>BHLHE39</t>
  </si>
  <si>
    <t>Myc proto-oncogene protein</t>
  </si>
  <si>
    <t>Myeloid differentiation primary response protein MyD88</t>
  </si>
  <si>
    <t>Adapter protein involved in the Toll-like receptor (TLR4) and IL-1 receptor signaling pathway in the innate immune response</t>
  </si>
  <si>
    <t>MZF, ZNF42, ZSCAN6</t>
  </si>
  <si>
    <t>Myeloid zinc finger 1</t>
  </si>
  <si>
    <t>Regulates transcription from the PADI1 and CDH2 promoter</t>
  </si>
  <si>
    <t>BTBD14B, NAC1</t>
  </si>
  <si>
    <t>Homeobox protein NANOG</t>
  </si>
  <si>
    <t>Transcription regulator involved in inner cell mass and embryonic stem (ES) cells proliferation and self-renewal. </t>
  </si>
  <si>
    <t>BNAP</t>
  </si>
  <si>
    <t>Nucleosome assembly protein 1-like 3</t>
  </si>
  <si>
    <t>histone chaperone</t>
  </si>
  <si>
    <t>NAP1, NAPA</t>
  </si>
  <si>
    <t>Napsin A</t>
  </si>
  <si>
    <t>Neuron navigator 3</t>
  </si>
  <si>
    <t>SRC-3</t>
  </si>
  <si>
    <t>Steroid receptor coactivator protein 3</t>
  </si>
  <si>
    <t>Nuclear receptor coactivator that directly binds nuclear receptors and stimulates the transcriptional activities in a hormone-dependent fashion (21647249). </t>
  </si>
  <si>
    <t>GRIM19, CDA016, CGI-39</t>
  </si>
  <si>
    <t>NADH dehydrogenase [ubiquinone] 1 alpha subcomplex subunit 13 / Gene associated with retinoic and IFN-induced mortality 19 protein</t>
  </si>
  <si>
    <t>Accessory subunit of the mitochondrial Complex I. Involved in the interferon/all-trans-retinoic acid (IFN/RA) induced cell death. </t>
  </si>
  <si>
    <t>PIG53</t>
  </si>
  <si>
    <t>E3 ubiquitin-protein ligase NEDD4</t>
  </si>
  <si>
    <t xml:space="preserve">Specifically ubiquitinates 'Lys-63' in target proteins. Involved in the pathway leading to the degradation of VEGFR-2/KDFR,  IGF1R, FGFR1, RAPGEF2 and PTEN at multiple sites, thus leading to receptor internalization and degradation. </t>
  </si>
  <si>
    <t>NEDL3</t>
  </si>
  <si>
    <t>E3 ubiquitin-protein ligase NEDD4-like</t>
  </si>
  <si>
    <t>E3 ubiquitin-protein ligase which inhibits TGF-beta signaling by triggering SMAD2 and TGFBR1 ubiquitination and proteasome-dependent degradation. Promotes ubiquitination and internalization of various plasma membrane channels</t>
  </si>
  <si>
    <t>Ubiquitin-like protein</t>
  </si>
  <si>
    <t>Attachment of NEDD8 to cullins activates their associated E3 ubiquitin ligase activity, which control the ubiquitination and degradation of many proteins with key roles (p27, cyclin E, c-Myc, CDT1, NRF-2, HIF1A)</t>
  </si>
  <si>
    <t>DNA glycosylase activity towards 5-hydroxyuracil and other oxidized derivatives of cytosine with a preference for DNA bubbles. </t>
  </si>
  <si>
    <t>NIMA (never in mitosis gene A)-related expressed kinase</t>
  </si>
  <si>
    <t>Nestin</t>
  </si>
  <si>
    <t>Neurofibromin</t>
  </si>
  <si>
    <t>SCH</t>
  </si>
  <si>
    <t>Merlin</t>
  </si>
  <si>
    <t>Probable regulator of the Hippo/SWH (Sav/Wts/Hpo) signaling pathway, a signaling pathway that plays a pivotal role in tumor suppression by restricting proliferation and promoting apoptosis.</t>
  </si>
  <si>
    <t>NRF2</t>
  </si>
  <si>
    <t>transcription activator that binds to antioxidant response (ARE) elements in the promoter regions of target genes. </t>
  </si>
  <si>
    <t>Nuclear factor NF-kappa-B p105 subunit</t>
  </si>
  <si>
    <t>NID</t>
  </si>
  <si>
    <t>Nidogen-1</t>
  </si>
  <si>
    <t>NKX2H, NKX2.8, Nkx2-9</t>
  </si>
  <si>
    <t>NK2 homeobox 8</t>
  </si>
  <si>
    <t>nNOS</t>
  </si>
  <si>
    <t>Nitric oxide synthase, brain</t>
  </si>
  <si>
    <t>iNOS, NOS2A</t>
  </si>
  <si>
    <t>Nitric oxide synthase, inducible</t>
  </si>
  <si>
    <t>eNOS</t>
  </si>
  <si>
    <t>Nitric oxide synthase, endothelial</t>
  </si>
  <si>
    <t>Produces nitric oxide (NO) which is a messenger molecule </t>
  </si>
  <si>
    <t>TAN1</t>
  </si>
  <si>
    <t>Neurogenic locus notch homolog protein 1</t>
  </si>
  <si>
    <t>Functions as a receptor for membrane-bound ligands Jagged-1 (JAG1), Jagged-2 (JAG2) and Delta-1 (DLL1) to regulate cell-fate determination. </t>
  </si>
  <si>
    <t>NADPH oxidase 5</t>
  </si>
  <si>
    <t>Calcium-dependent NADPH oxidase that generates superoxide. </t>
  </si>
  <si>
    <t>NPM</t>
  </si>
  <si>
    <t>Nucleophosmin</t>
  </si>
  <si>
    <t>Involved in diverse cellular processes such as ribosome biogenesis, centrosome duplication, protein chaperoning, histone assembly, cell proliferation, and regulation of tumor suppressors p53/TP53 and ARF. </t>
  </si>
  <si>
    <t>NAD(P)H dehydrogenase [quinone] 1</t>
  </si>
  <si>
    <t>PXR</t>
  </si>
  <si>
    <t>Pregnane X receptor</t>
  </si>
  <si>
    <t>GFRP1, HMR, NAK1, TR3</t>
  </si>
  <si>
    <t>orphan nuclear receptor TR3 / transcritption factor</t>
  </si>
  <si>
    <t>HRAS1</t>
  </si>
  <si>
    <t>GTPase NRas</t>
  </si>
  <si>
    <t>VEGF165R2</t>
  </si>
  <si>
    <t>Neuropilin-2</t>
  </si>
  <si>
    <t>High affinity receptor for semaphorins 3C, 3F, VEGF-165 and VEGF-145 isoforms of VEGF, and the PLGF-2 isoform of PGF.</t>
  </si>
  <si>
    <t>NT5, NTE, CD73</t>
  </si>
  <si>
    <t>5'-nucleotidase</t>
  </si>
  <si>
    <t>Hydrolyzes extracellular nucleotides into membrane permeable nucleosides. Exhibits AMP-, NAD-, and NMN-nucleosidase activities.</t>
  </si>
  <si>
    <t>NTH1, OCTS3</t>
  </si>
  <si>
    <t>Endonuclease III-like protein 1</t>
  </si>
  <si>
    <t>TRKC</t>
  </si>
  <si>
    <t>NT-3 growth factor receptor</t>
  </si>
  <si>
    <t>Receptor tyrosine kinase involved in nervous system and probably heart development. </t>
  </si>
  <si>
    <t>Neurotensin/neuromedin N</t>
  </si>
  <si>
    <t>NTRR</t>
  </si>
  <si>
    <t>Neurotensin receptor type 1</t>
  </si>
  <si>
    <t>G-protein coupled receptor for the tridecapeptide neurotensin (NTS)</t>
  </si>
  <si>
    <t>Nuclear pore glycoprotein p62</t>
  </si>
  <si>
    <t>CRACM1, TMEM142A</t>
  </si>
  <si>
    <t>Calcium release-activated calcium channel protein 1</t>
  </si>
  <si>
    <t>Ca2+ release-activated Ca2+ (CRAC) channel mediates Ca2+ influx following depletion of intracellular Ca2+ stores; CRAC channels are the main pathway for Ca2+ influx in T-cells and promote the immune response by activating NFAT</t>
  </si>
  <si>
    <t>ERBA2L, PDI, PDIA1, PO4DB</t>
  </si>
  <si>
    <t>Protein disulfide-isomerase</t>
  </si>
  <si>
    <t>catalyzes the formation, breakage and rearrangement of disulfide bonds</t>
  </si>
  <si>
    <t>Protein kinase involved in intracellular signaling pathways downstream of integrins and receptor-type kinases that plays an important role in cytoskeleton dynamics, in cell adhesion, migration, proliferation, apoptosis, mitosis, and in vesicle-mediated transport processes</t>
  </si>
  <si>
    <t>KIAA1264, PAK7</t>
  </si>
  <si>
    <t>P21-activated kinase 5</t>
  </si>
  <si>
    <t>FANCN</t>
  </si>
  <si>
    <t>Palladin</t>
  </si>
  <si>
    <t>ATPSK1, PAPSS</t>
  </si>
  <si>
    <t>Bifunctional 3'-phosphoadenosine 5'-phosphosulfate synthase 1</t>
  </si>
  <si>
    <t>Bifunctional enzyme with both ATP sulfurylase and APS kinase activity, which mediates two steps in the sulfate activation pathway. </t>
  </si>
  <si>
    <t>Progestin and adipoQ receptor family member 3</t>
  </si>
  <si>
    <t>Poly(ADP-ribose) glycohydrolase</t>
  </si>
  <si>
    <t>DJ-1</t>
  </si>
  <si>
    <t>Protein/nucleic acid deglycase DJ-1</t>
  </si>
  <si>
    <t>Involved in the base excision repair (BER) pathway, by catalyzing the poly(ADP-ribosyl)ation of a limited number of acceptor proteins involved in chromatin architecture and in DNA metabolism</t>
  </si>
  <si>
    <t>PRL</t>
  </si>
  <si>
    <t>Pre-B-cell leukemia transcription factor 1</t>
  </si>
  <si>
    <t>Acts as a transcriptional activator of PF4 in complex with MEIS1</t>
  </si>
  <si>
    <t>HPIP</t>
  </si>
  <si>
    <t>Pre-B-cell leukemia transcription factor-interacting protein 1</t>
  </si>
  <si>
    <t>Inhibits the binding of PBX1-HOX complex to DNA and blocks the transcriptional activity of E2A-PBX1.</t>
  </si>
  <si>
    <t>Proliferating cell nuclear antigen</t>
  </si>
  <si>
    <t>KIAA0101, NS5ATP9, PAF, L5</t>
  </si>
  <si>
    <t>PCNA-associated factor</t>
  </si>
  <si>
    <t>H731</t>
  </si>
  <si>
    <t>Programmed cell death 4</t>
  </si>
  <si>
    <t>IEGF, SCDGFB, MSTP036, </t>
  </si>
  <si>
    <t>Platelet-derived growth factor D</t>
  </si>
  <si>
    <t>Growth factor that plays an essential role in the regulation of embryonic development, cell proliferation, cell migration, survival and chemotaxis. </t>
  </si>
  <si>
    <t>PDGFR2, RHEPDGFRA</t>
  </si>
  <si>
    <t>Platelet-derived growth factor receptor alpha</t>
  </si>
  <si>
    <t>PDGFR, PDGFR1</t>
  </si>
  <si>
    <t>Platelet-derived growth factor receptor beta</t>
  </si>
  <si>
    <t>Tyrosine-protein kinase receptor for homodimeric PDGFB and PDGFD and for heterodimers formed by PDGFA and PDGFB. </t>
  </si>
  <si>
    <t>ERP57, ERP60, GRP58</t>
  </si>
  <si>
    <t>Protein disulfide-isomerase A3</t>
  </si>
  <si>
    <t>Protein disulfide isomerases (PDIs) such as P4HB and PDIA3 act as molecular chaperones for reconstructing misfolded proteins, and are involved in endoplasmic reticulum stress and the unfolded protein response.</t>
  </si>
  <si>
    <t>PDHK1</t>
  </si>
  <si>
    <t xml:space="preserve">Pyruvate dehydrogenase kinase 1 </t>
  </si>
  <si>
    <t>Kinase that plays a key role in regulation of glucose and fatty acid metabolism and homeostasis via phosphorylation of the pyruvate dehydrogenase subunits PDHA1 and PDHA2. </t>
  </si>
  <si>
    <t>PDHK4</t>
  </si>
  <si>
    <t>3-phosphoinositide-dependent protein kinase 1</t>
  </si>
  <si>
    <t>inhibits pyruvate dehydrogenase activity, and thereby regulates metabolite flux through the tricarboxylic acid cycle, down-regulates aerobic respiration and inhibits the formation of acetyl-coenzyme A from pyruvate.</t>
  </si>
  <si>
    <t>C21orf124, C21orf97, PKH, PNK, PRED79</t>
  </si>
  <si>
    <t>Pyridoxal kinase</t>
  </si>
  <si>
    <t>Required for synthesis of pyridoxal-5-phosphate from vitamin B6</t>
  </si>
  <si>
    <t>CIN, PLP, PLPP</t>
  </si>
  <si>
    <t>Pyridoxal phosphate phosphatase</t>
  </si>
  <si>
    <t>CAP70, NHERF3, PDZD1</t>
  </si>
  <si>
    <t>Na(+)/H(+) exchange regulatory cofactor NHE-RF3</t>
  </si>
  <si>
    <t>A scaffold protein that connects plasma membrane proteins and regulatory components</t>
  </si>
  <si>
    <t>PED</t>
  </si>
  <si>
    <t>Astrocytic phosphoprotein PEA-15</t>
  </si>
  <si>
    <t>Period circadian protein homolog 2</t>
  </si>
  <si>
    <t>Transcriptional repressor which forms a core component of the circadian clock. </t>
  </si>
  <si>
    <t>6-phosphofructo-2-kinase/fructose-2,6-bisphosphatase 3</t>
  </si>
  <si>
    <t>Synthesis and degradation of fructose 2,6-bisphosphate</t>
  </si>
  <si>
    <t>6PGD, PGDH</t>
  </si>
  <si>
    <t>6-phosphogluconate dehydrogenase</t>
  </si>
  <si>
    <t xml:space="preserve">Catalyzes the oxidative decarboxylation of 6-phosphogluconate to ribulose 5-phosphate and CO2, with concomitant reduction of NADP to NADPH - oxidative pentose phosphate pathway </t>
  </si>
  <si>
    <t>PGKA, MIG10</t>
  </si>
  <si>
    <t>Phosphoglycerate kinase 1</t>
  </si>
  <si>
    <t>Glycolytic enzyme via the reversible conversion of 1,3-diphosphoglycerate to 3-phosphoglycerate; acts as a polymerase alpha cofactor protein in lagging strand DNA replication.</t>
  </si>
  <si>
    <t>PGRMC</t>
  </si>
  <si>
    <t xml:space="preserve">Progesterone receptor membrane component-1 </t>
  </si>
  <si>
    <t>Prohibitin</t>
  </si>
  <si>
    <t>Prohibitin inhibits DNA synthesis; associated with a block in the G0/G1 phase of the cell cycle and also with cell survival. PHB proteins act as a chaperone in the assembly of subunits of mitochondrial respiratory chain complexes (11852914)</t>
  </si>
  <si>
    <t>PGDH3</t>
  </si>
  <si>
    <t>D-3-phosphoglycerate dehydrogenase</t>
  </si>
  <si>
    <t>Catalyzes the reversible oxidation of 3-phospho-D-glycerate to 3-phosphonooxypyruvate, the first step of the phosphorylated L-serine biosynthesis pathway. </t>
  </si>
  <si>
    <t>PIK3C1</t>
  </si>
  <si>
    <t>Phosphatidylinositol 4,5-bisphosphate 3-kinase catalytic subunit beta isoform</t>
  </si>
  <si>
    <t>Phosphatidylinositol 4,5-bisphosphate 3-kinase catalytic subunit gamma isoform</t>
  </si>
  <si>
    <t>Phosphoinositide-3-kinase (PI3K) that phosphorylates PtdIns(4,5)P2 to generate PIP3. PIP3 plays a key role by recruiting PH domain-containing proteins to the membrane, including AKT1 and PDPK1. </t>
  </si>
  <si>
    <t>GRB1</t>
  </si>
  <si>
    <t>Phosphatidylinositol 3-kinase regulatory subunit alpha</t>
  </si>
  <si>
    <t>Phosphatidylinositol 3-kinase regulatory subunit beta</t>
  </si>
  <si>
    <t>BRPK, PARK6</t>
  </si>
  <si>
    <t>PTEN induced kinase 1</t>
  </si>
  <si>
    <t>Protects against mitochondrial dysfunction during cellular stress by phosphorylating mitochondrial proteins. Involved in the clearance of damaged mitochondria via selective autophagy</t>
  </si>
  <si>
    <t>HILI</t>
  </si>
  <si>
    <t>Piwi-like protein 2</t>
  </si>
  <si>
    <t>Endoribonuclease that plays a central role during spermatogenesis</t>
  </si>
  <si>
    <t>OIP3, PK2, PK3, PKM2</t>
  </si>
  <si>
    <t>Pyruvate kinase PKM</t>
  </si>
  <si>
    <t>PLAT</t>
  </si>
  <si>
    <t xml:space="preserve">Phospholipase A(2) (PLA(2))-activating protein </t>
  </si>
  <si>
    <t xml:space="preserve">regulates eicosanoid production and participates in inflammatory responses. Involved in ubiquitin-mediated membrane proteins trafficking to late endosomes. </t>
  </si>
  <si>
    <t>Polo-like kinase 1</t>
  </si>
  <si>
    <t>SNK</t>
  </si>
  <si>
    <t>Polo-like kinase 2</t>
  </si>
  <si>
    <t>NOXA</t>
  </si>
  <si>
    <t>Phorbol-12-myristate-13-acetate-induced protein 1</t>
  </si>
  <si>
    <t>D12S53E, PMEL17, SILV, gp100</t>
  </si>
  <si>
    <t xml:space="preserve">Melanocyte protein PMEL / 100 kDa type I transmembrane glycoprotein </t>
  </si>
  <si>
    <t>MYL, PP8675, RNF71, TRIM19</t>
  </si>
  <si>
    <t>promyelocytic leukemia</t>
  </si>
  <si>
    <t>Functions via its association with PML-nuclear bodies (PML-NBs) in a wide range of important cellular processes, including tumor suppression, transcriptional regulation, apoptosis, senescence, DNA damage response, and viral defense mechanisms.</t>
  </si>
  <si>
    <t>PNK</t>
  </si>
  <si>
    <t>part of both the non-homologous end-joining (NHEJ) and base excision repair (BER) pathways. PNK ensures that DNA termini are compatible with extension and ligation by either removing 3'-phosphates from, or by phosphorylating 5'-hydroxyl groups on, the ribose sugar of the DNA backbone</t>
  </si>
  <si>
    <t>PCLP, PCLP1</t>
  </si>
  <si>
    <t>Podocalyxin</t>
  </si>
  <si>
    <t>anti-adhesive transmembrane sialomucin. Affects EZR-dependent signaling events, leading to increased activities of the MAPK and PI3K pathways in cancer cells.</t>
  </si>
  <si>
    <t>DNA polymerase beta</t>
  </si>
  <si>
    <t>Repair polymerase that plays a key role in base-excision repair. Has 5'-deoxyribose-5-phosphate lyase (dRP lyase) activity that removes the 5' sugar phosphate and also acts as a DNA polymerase that adds one nucleotide to the 3' end of the arising single-nucleotide gap. Conducts 'gap-filling' DNA synthesis in a stepwise distributive fashion rather than in a processive fashion as for other DNA polymerases.</t>
  </si>
  <si>
    <t>RAD30, At5g44740, K23L20.8, T19K24.15</t>
  </si>
  <si>
    <t>DNA polymerase eta</t>
  </si>
  <si>
    <t>Error-free DNA polymerase in translesion synthesis (TLS), where the normal high fidelity DNA polymerases cannot proceed and DNA synthesis stalls. Plays an important role in the repair of UV-induced pyrimidine dimers and confers resistance to ultraviolet light. </t>
  </si>
  <si>
    <t>DINB1</t>
  </si>
  <si>
    <t>DNA polymerase kappa</t>
  </si>
  <si>
    <t>DNA polymerase specifically involved in DNA repair. Plays an important role in translesion synthesis, where the normal high-fidelity DNA polymerases cannot proceed and DNA synthesis stalls. </t>
  </si>
  <si>
    <t>polmu</t>
  </si>
  <si>
    <t>DNA-directed DNA/RNA polymerase mu</t>
  </si>
  <si>
    <t>Gap-filling polymerase involved in repair of DNA double-strand breaks by non-homologous end joining (NHEJ). Participates in immunoglobulin (Ig) light chain gene rearrangement in V(D)J recombination.</t>
  </si>
  <si>
    <t>synthetic lethal relationship between the HR pathway and Polθ-mediated repair in EOCs</t>
  </si>
  <si>
    <t>OSF2</t>
  </si>
  <si>
    <t>Periostin</t>
  </si>
  <si>
    <t>OCT3, OCT4, OTF3</t>
  </si>
  <si>
    <t>LEM6, PGC1, PGC1A, PPARGC1</t>
  </si>
  <si>
    <t>Peroxisome proliferator-activated receptor gamma coactivator 1-alpha</t>
  </si>
  <si>
    <t xml:space="preserve">Transcriptional coactivator for steroid receptors and nuclear receptors. regulate key mitochondrial genes as well as genes inovled in glucose and FA metabolism in metabolic reprogramming in response to dietary availability. </t>
  </si>
  <si>
    <t>PERC, PGC1, PGC1B, PPARGC1</t>
  </si>
  <si>
    <t>Peroxisome proliferator-activated receptor gamma coactivator 1-beta, PGC-1-beta, PPAR-gamma coactivator 1-beta, PPARGC-1-beta </t>
  </si>
  <si>
    <t>Plays a role of stimulator of transcription factors and nuclear receptors activities. Activates transcriptional activity of estrogen receptor alpha, nuclear respiratory factor 1 (NRF1) and glucocorticoid receptor in the presence of glucocorticoids. </t>
  </si>
  <si>
    <t>Periplakin</t>
  </si>
  <si>
    <t>Component of the cornified envelope of keratinocytes. May link the cornified envelope to desmosomes and intermediate filaments. May act as a localization signal in PKB/AKT-mediated signaling.</t>
  </si>
  <si>
    <t>WIP1</t>
  </si>
  <si>
    <t xml:space="preserve">protein phosphatase magnesium-dependent 1 </t>
  </si>
  <si>
    <t>Serine/threonine-protein phosphatase 2A catalytic subunit alpha isoform</t>
  </si>
  <si>
    <t>PP2A is the major phosphatase for microtubule-associated proteins (MAPs). </t>
  </si>
  <si>
    <t>Serine/threonine-protein phosphatase 2A 55 kDa regulatory subunit B alpha isoform</t>
  </si>
  <si>
    <t>The B regulatory subunit might modulate substrate selectivity and catalytic activity, and also might direct the localization of the catalytic enzyme to a particular subcellular compartment.</t>
  </si>
  <si>
    <t>AOP1</t>
  </si>
  <si>
    <t>Thioredoxin-dependent peroxide reductase, mitochondrial</t>
  </si>
  <si>
    <t>Thiol-specific peroxidase that catalyzes the reduction of hydrogen peroxide and organic hydroperoxides to water and alcohols, respectively. </t>
  </si>
  <si>
    <t>AMPK1</t>
  </si>
  <si>
    <t>Catalytic subunit-1 of AMP-activated protein kinase (AMPK)</t>
  </si>
  <si>
    <t>an energy sensor protein kinase that plays a key role in regulating cellular energy metabolism. </t>
  </si>
  <si>
    <t>AMPK2</t>
  </si>
  <si>
    <t>AMP-activated protein kinase catalytic subunit alpha-2</t>
  </si>
  <si>
    <t>Catalytic subunit of AMP-activated protein kinase (AMPK), an energy sensor protein kinase that plays a key role in regulating cellular energy metabolism. </t>
  </si>
  <si>
    <t>PKR1, PRKAR1, TSE1</t>
  </si>
  <si>
    <t>cAMP-dependent protein kinase type I-alpha regulatory subunit</t>
  </si>
  <si>
    <t>PKCA, PRKACA</t>
  </si>
  <si>
    <t>Protein kinase C alpha type</t>
  </si>
  <si>
    <t>PKC isoforms in malignant transformation and proliferation, and in the regulation of the phosphatidylinositol 3′-kinase/Akt and MEK/extracellular signal-regulated kinase pathways </t>
  </si>
  <si>
    <t>PKCB, PRKCB1</t>
  </si>
  <si>
    <t>Protein kinase C beta type</t>
  </si>
  <si>
    <t>Protein kinase C delta type</t>
  </si>
  <si>
    <t>Calcium-independent, phospholipid- and diacylglycerol (DAG)-dependent, contrasting roles: promoting DNA damage-induced apoptosis; but anti-apoptotic cytokine receptor-initiated cell death: tumor suppression as well as survival of several cancers,</t>
  </si>
  <si>
    <t>Xrcc7, DNA-PK, HYRC, HYRC1</t>
  </si>
  <si>
    <t>DNA-dependent protein kinase catalytic subunit</t>
  </si>
  <si>
    <t>Serine/threonine-protein kinase that acts as a molecular sensor for DNA damage. Involved in DNA non-homologous end joining (NHEJ) required for double-strand break (DSB) repair and V(D)J recombination. </t>
  </si>
  <si>
    <t>PRKG1B, PRKGR1A, PRKGR1B</t>
  </si>
  <si>
    <t>Cyclic GMP (cGMP)–dependent protein kinase</t>
  </si>
  <si>
    <t>key downstream protein kinase mediating many of the biological effects of nitric oxide (NO) and natriuretic peptides in the cardiovascular system. Activates PKA/CREB, hippo signaling (22740515, 27179930); inhibits apopotic signaling through inactivation of ceramide synthesis (29896202)</t>
  </si>
  <si>
    <t>PACT, RAX, HSD-14, HSD14</t>
  </si>
  <si>
    <t>Interferon-inducible double-stranded RNA-dependent protein kinase activator A</t>
  </si>
  <si>
    <t>PROML1, MSTP061, CD133</t>
  </si>
  <si>
    <t>Prominin-1</t>
  </si>
  <si>
    <t>TXR1, BM-041</t>
  </si>
  <si>
    <t>Proline-rich protein 13 / taxol resistance gene 1</t>
  </si>
  <si>
    <t>impedes taxane-induced apoptosis in tumor cells by transcriptionally down-regulating thrombospondin-1 (TSP-1)</t>
  </si>
  <si>
    <t>TRP1, TRY1, TRYP1</t>
  </si>
  <si>
    <t>Trypsin-1</t>
  </si>
  <si>
    <t>Proteasome subunit beta type-10</t>
  </si>
  <si>
    <t>Proteasome subunit beta type-9</t>
  </si>
  <si>
    <t>PAFR</t>
  </si>
  <si>
    <t>Platelet-activating factor receptor</t>
  </si>
  <si>
    <t>PTCH</t>
  </si>
  <si>
    <t>Protein patched homolog 1</t>
  </si>
  <si>
    <t>MMAC1, TEP1</t>
  </si>
  <si>
    <t>Phosphatidylinositol 3,4,5-trisphosphate 3-phosphatase and dual-specificity protein phosphatase </t>
  </si>
  <si>
    <t>EP3</t>
  </si>
  <si>
    <t>Prostaglandin E2 receptor EP3 subtype</t>
  </si>
  <si>
    <t>COX2</t>
  </si>
  <si>
    <t xml:space="preserve">Prostaglandin G/H synthase 2 / cyclooxygenase-2 </t>
  </si>
  <si>
    <t>PAXIP1L, PTIP, CAGF28</t>
  </si>
  <si>
    <t>PAX-interacting protein 1</t>
  </si>
  <si>
    <t>methyltransferase-mediated pathway regulating replication for restart. Knockdown results in fork stabilization and PARPi resistance.</t>
  </si>
  <si>
    <t>FAK, FAK1</t>
  </si>
  <si>
    <t>Focal adhesion kinase 1</t>
  </si>
  <si>
    <t xml:space="preserve">Non-receptor protein-tyrosine kinase that regulates cell migration, adhesion, cell cycle progression, cell proliferation and apoptosis. </t>
  </si>
  <si>
    <t>PTPH1</t>
  </si>
  <si>
    <t>Tyrosine-protein phosphatase non-receptor type 3</t>
  </si>
  <si>
    <t>May act at junctions between the membrane and the cytoskeleton. Possesses tyrosine phosphatase activity.</t>
  </si>
  <si>
    <t>Paxillin</t>
  </si>
  <si>
    <t>Cytoskeletal protein involved in actin-membrane attachment at sites of cell adhesion to the extracellular matrix (focal adhesion).</t>
  </si>
  <si>
    <t>Ras-related protein Rab-18</t>
  </si>
  <si>
    <t>Required for the localization of ZFYVE1 to lipid droplets and for its function in mediating the formation of endoplasmic reticulum-lipid droplets (ER-LD) contacts. Plays a role in apical endocytosis/recycling</t>
  </si>
  <si>
    <t>CATX8</t>
  </si>
  <si>
    <t>Ras-related protein Rab-25</t>
  </si>
  <si>
    <t>RAB7</t>
  </si>
  <si>
    <t>Key regulator in endo-lysosomal trafficking. Governs early-to-late endosomal maturation, microtubule minus-end as well as plus-end directed endosomal migration and positioning, and endosome-lysosome transport through different protein-protein interaction cascades. </t>
  </si>
  <si>
    <t>MEL, RAB8</t>
  </si>
  <si>
    <t>Ras-related protein Rab-8A (small GTPase)</t>
  </si>
  <si>
    <t>TC25, MIG5</t>
  </si>
  <si>
    <t>RAD23, RAD23-1, HR23B, F20B17.8</t>
  </si>
  <si>
    <t>Ubiquitin receptor RAD23b</t>
  </si>
  <si>
    <t>May be involved in nucleotide excision repair</t>
  </si>
  <si>
    <t>RAD51L3</t>
  </si>
  <si>
    <t>CXorf57</t>
  </si>
  <si>
    <t>RPA-related protein RADX</t>
  </si>
  <si>
    <t>Single-stranded DNA-binding protein recruited to replication forks to maintain genome stability</t>
  </si>
  <si>
    <t>RDA32</t>
  </si>
  <si>
    <t>Ras association domain-containing protein 1</t>
  </si>
  <si>
    <t>Retinoblastoma-associated protein</t>
  </si>
  <si>
    <t>CTIP</t>
  </si>
  <si>
    <t>Endonuclease that cooperates with the MRE11-RAD50-NBN (MRN) complex in DNA-end resection</t>
  </si>
  <si>
    <t>SPF45</t>
  </si>
  <si>
    <t>Splicing factor 45KD / RNA-binding motif protein 17</t>
  </si>
  <si>
    <t>RNPL</t>
  </si>
  <si>
    <t>RNA-binding protein 3</t>
  </si>
  <si>
    <t>RNA-binding motif, single-stranded-interacting protein 3</t>
  </si>
  <si>
    <t xml:space="preserve">The acetyltransferase CREB-binding protein (CBP) is essential for Wnt/β-catenin signaling–mediated chemoresistance via diverse mechanisms </t>
  </si>
  <si>
    <t>RECQ1, RECQL1</t>
  </si>
  <si>
    <t>ATP-dependent DNA helicase Q1</t>
  </si>
  <si>
    <t>RECQ4</t>
  </si>
  <si>
    <t>NFKB3</t>
  </si>
  <si>
    <t>NF-kappaB p65</t>
  </si>
  <si>
    <t>NF-kappa-B is a homo- or heterodimeric complex formed by the Rel-like domain-containing proteins RELA/p65, RELB, NFKB1/p105, NFKB1/p50, REL and NFKB2/p52. The heterodimeric RELA-NFKB1 complex appears to be most abundant one. </t>
  </si>
  <si>
    <t>CDHF12, CDHR16, PTC, RET51</t>
  </si>
  <si>
    <t>Proto-oncogene tyrosine-protein kinase receptor Ret</t>
  </si>
  <si>
    <t>interacts with Y-type DNA polymerases (Pol) and Pol zeta to bypass many types of adducts that block the replicative DNA polymerases</t>
  </si>
  <si>
    <t>POLZ, REV3</t>
  </si>
  <si>
    <t>DNA polymerase zeta catalytic subunit</t>
  </si>
  <si>
    <t>Regulator of G-protein signaling 10</t>
  </si>
  <si>
    <t>Regulates G protein-coupled receptor signaling cascades, such as CHRM2. Inhibits signal transduction by increasing the GTPase activity of G protein alpha subunits</t>
  </si>
  <si>
    <t>RGSZ2</t>
  </si>
  <si>
    <t>Regulator of G-protein signaling 17</t>
  </si>
  <si>
    <t>As Rgs10</t>
  </si>
  <si>
    <t>ARH12, ARHA, RHO12</t>
  </si>
  <si>
    <t>ras homolog family member A / Transforming protein RhoA</t>
  </si>
  <si>
    <t>Regulates a signal transduction pathway linking plasma membrane receptors to the assembly of focal adhesions and actin stress fibers. </t>
  </si>
  <si>
    <t>ARHJ, RASL7B, RHOI, TCL</t>
  </si>
  <si>
    <t>Rho-related GTP-binding protein / Ras-like protein family member 7B / Tc10-like GTP-binding protein)</t>
  </si>
  <si>
    <t>Plasma membrane-associated small GTPase specifically involved in angiogenesis</t>
  </si>
  <si>
    <t>Telomere-associated protein</t>
  </si>
  <si>
    <t>Key regulator of TP53BP1 that plays a key role in the repair of double-strand DNA breaks (DSBs) in response to DNA damage: acts by promoting non-homologous end joining (NHEJ)-mediated repair of DSBs</t>
  </si>
  <si>
    <t>RIP, RIP1</t>
  </si>
  <si>
    <t>Receptor-interacting serine/threonine-protein kinase 1</t>
  </si>
  <si>
    <t>RIP3</t>
  </si>
  <si>
    <t>Receptor-interacting serine/threonine-protein kinase 3</t>
  </si>
  <si>
    <t>Essential for necroptosis, a programmed cell death process in response to death-inducing TNF-alpha family members. </t>
  </si>
  <si>
    <t>RNASE6PL</t>
  </si>
  <si>
    <t>Ribonuclease T2</t>
  </si>
  <si>
    <t>Has ribonuclease activity, with higher activity at acidic pH. Probably is involved in lysosomal degradation of ribosomal RNA, tumor suppressor genes</t>
  </si>
  <si>
    <t>BAP1, DING, HIPI3, RING1B</t>
  </si>
  <si>
    <t>E3 ubiquitin-protein ligase RING2</t>
  </si>
  <si>
    <t>NTRKR1</t>
  </si>
  <si>
    <t>Tyrosine-protein kinase transmembrane receptor ROR1, WNT receptor</t>
  </si>
  <si>
    <t>NTRKR2</t>
  </si>
  <si>
    <t>Tyrosine-protein kinase transmembrane receptor ROR2, WNT receptor</t>
  </si>
  <si>
    <t>NR1F3, RORG, RZRG</t>
  </si>
  <si>
    <t>Nuclear receptor ROR-gamma</t>
  </si>
  <si>
    <t>Nuclear receptor that binds DNA as a monomer to ROR response elements (RORE) containing a single core motif half-site 5'-AGGTCA-3' preceded by a short A-T-rich sequence. Key regulator of cellular differentiation, immunity, peripheral circadian rhythm as well as lipid, steroid, xenobiotics and glucose metabolism</t>
  </si>
  <si>
    <t>REPA1, RPA70</t>
  </si>
  <si>
    <t>Replication protein A 70 kDa DNA-binding subunit</t>
  </si>
  <si>
    <t xml:space="preserve">As part of the heterotrimeric replication protein A complex (RPA/RP-A), binds and stabilizes single-stranded DNA intermediates, that form during DNA replication or upon DNA stress. </t>
  </si>
  <si>
    <t>60S ribosomal protein L36</t>
  </si>
  <si>
    <t>60S ribosomal protein L37</t>
  </si>
  <si>
    <t>Binds to the 23S rRNA. RPL37, RPS15, and RPS20 as RPs that can also bind Mdm2 and activate p53. (23874713)</t>
  </si>
  <si>
    <t>40S ribosomal protein S20</t>
  </si>
  <si>
    <t>CCG2, RPS4, SCAR</t>
  </si>
  <si>
    <t>40S ribosomal protein S4, X isoform</t>
  </si>
  <si>
    <t>MAPKAPK1A, RSK1</t>
  </si>
  <si>
    <t>S6K-alpha-1 (p90)</t>
  </si>
  <si>
    <t>downstream of ERK (MAPK1/ERK2 and MAPK3/ERK1) and activates CREB1, ETV1/ER81 and NR4A1/NUR77, regulates translation through RPS6 and EIF4B, and modulating mTOR signaling and repressing pro-apoptotic function of BAD and DAPK1.</t>
  </si>
  <si>
    <t>ISPK1, MAPKAPK1B, RSK2</t>
  </si>
  <si>
    <t>Ribosomal protein S6 kinase alpha-3 (p90)</t>
  </si>
  <si>
    <t>P70S6K1, STK14A</t>
  </si>
  <si>
    <t>Ribosomal protein S6 kinase beta-1</t>
  </si>
  <si>
    <t>Serine/threonine-protein kinase that acts downstream of mTOR signaling in response to growth factors and nutrients to promote cell proliferation, cell growth and cell cycle progression.</t>
  </si>
  <si>
    <t>p70S6KB, STK14B</t>
  </si>
  <si>
    <t>Ribosomal protein S6 kinase beta-2</t>
  </si>
  <si>
    <t>As RPS6KB1</t>
  </si>
  <si>
    <t>40S ribosomal protein S7</t>
  </si>
  <si>
    <t>Required for rRNA maturation</t>
  </si>
  <si>
    <t>LAMBR, LAMR1, LRP</t>
  </si>
  <si>
    <t>40S ribosomal protein SA / Laminin receptor protein</t>
  </si>
  <si>
    <t>RR2</t>
  </si>
  <si>
    <t>Ribonucleoside-diphosphate reductase subunit M2</t>
  </si>
  <si>
    <t>Provides the precursors necessary for DNA synthesis. Catalyzes the biosynthesis of deoxyribonucleotides from the corresponding ribonucleotides. Inhibits Wnt signaling.</t>
  </si>
  <si>
    <t>AML2, CBFA3, PEBP2A3</t>
  </si>
  <si>
    <t>Runt-related transcription factor 3</t>
  </si>
  <si>
    <t>S100 calcium binding protein A4</t>
  </si>
  <si>
    <t>PSOR1, S100A7C</t>
  </si>
  <si>
    <t>S100 calcium-binding protein A7 / psoriasin</t>
  </si>
  <si>
    <t>CAGB, CFAG, MRP14</t>
  </si>
  <si>
    <t>S100A9 is a calcium- and zinc-binding protein which plays a prominent role in the regulation of inflammatory processes and immune response. </t>
  </si>
  <si>
    <t>S100 calcium-binding protein B</t>
  </si>
  <si>
    <t>Binds to and initiates the activation of STK38; activating ERK1/2 and p53/TP53 signaling</t>
  </si>
  <si>
    <t>SSAT, SAT</t>
  </si>
  <si>
    <t>Diamine acetyltransferase 1</t>
  </si>
  <si>
    <t xml:space="preserve">catalyzes the acetylation of polyamines to produce H2O2 and 3-acetamidopropanal. </t>
  </si>
  <si>
    <t>WW45</t>
  </si>
  <si>
    <t>protein salvador homolog 1</t>
  </si>
  <si>
    <t>Regulator of STK3/MST2 and STK4/MST1 in the Hippo signaling pathway which plays a pivotal role in organ size control and tumor suppression by restricting proliferation and promoting apoptosis. </t>
  </si>
  <si>
    <t>C9orf126</t>
  </si>
  <si>
    <t>Suppressor of cancer cell invasion protein</t>
  </si>
  <si>
    <t>CRIB1, KIAA0147, LAP4, SCRB1, VARTUL</t>
  </si>
  <si>
    <t>Protein scribble homolog</t>
  </si>
  <si>
    <t xml:space="preserve">Scaffold protein involved in different aspects of polarized cell differentiation regulating epithelial and neuronal morphogenesis and T-cell polarization. </t>
  </si>
  <si>
    <t>Sentrin-specific protease 1</t>
  </si>
  <si>
    <t>PAI2, PLANH2</t>
  </si>
  <si>
    <t>Plasminogen activator inhibitor 2</t>
  </si>
  <si>
    <t>Inhibits urokinase-type plasminogen activator. The monocyte derived PAI-2 is distinct from the endothelial cell-derived PAI-1.</t>
  </si>
  <si>
    <t>SCCA, SCCA1</t>
  </si>
  <si>
    <t>Serpin peptidase inhibitor, clade B, member 3 / squamous cell carcinoma antigen 1</t>
  </si>
  <si>
    <t>PAI1, PLANH1</t>
  </si>
  <si>
    <t>Serpin E1 /Plasminogen activator inhibitor 1</t>
  </si>
  <si>
    <t>Serine protease inhibitor. Inhibits TMPRSS7. Is a primary inhibitor of tissue-type plasminogen activator (PLAT) and urokinase-type plasminogen activator (PLAU).</t>
  </si>
  <si>
    <t>PA26, SEST1</t>
  </si>
  <si>
    <t>Sestrin-1</t>
  </si>
  <si>
    <t>Sestrins are induced by the p53 and play a role in DDR and oxidative stress. The encoded protein mediates p53 inhibition of cell growth by activating AMPK, which inhibits mTOR. Also plays a critical role in antioxidant defense by regenerating overoxidized peroxiredoxins, and the expression of this gene is a potential marker for exposure to radiation. </t>
  </si>
  <si>
    <t>HIF1, HYPB, KIAA1732, KMT3A, SET2</t>
  </si>
  <si>
    <t>Histone-lysine N-methyltransferase</t>
  </si>
  <si>
    <t>Mkrn3, 14-3-3 sigma</t>
  </si>
  <si>
    <t>secreted frizzled-related protein 5</t>
  </si>
  <si>
    <t>SGK</t>
  </si>
  <si>
    <t>SHC SH2 domain-binding protein 1</t>
  </si>
  <si>
    <t>May play a role in signaling pathways governing cellular proliferation, cell growth and differentiation. May be a component of a novel signaling pathway downstream of Shc. </t>
  </si>
  <si>
    <t>QIK</t>
  </si>
  <si>
    <t>salt inducible kinase 2</t>
  </si>
  <si>
    <t>Phosphorylates 'Ser-794' of IRS1 in insulin-stimulated adipocytes, potentially modulating the efficiency of insulin signal transduction. Inhibits CREB activity by phosphorylating and repressing TORCs, the CREB-specific coactivators.</t>
  </si>
  <si>
    <t>SIR2L1</t>
  </si>
  <si>
    <t>NAD-dependent protein deacetylase sirtuin-1</t>
  </si>
  <si>
    <t>SIR2L3</t>
  </si>
  <si>
    <t>NAD-dependent protein deacetylase sirtuin-3, mitochondrial</t>
  </si>
  <si>
    <t>plays a crucial role modulating ROS production and scavenging by regulating key proteins implicated in mitochondrial turnover and in antioxidant defenses. </t>
  </si>
  <si>
    <t>Transcription factor in regulation of cell proliferation, apoptosis and embryonic development. </t>
  </si>
  <si>
    <t>SHC, SHCA</t>
  </si>
  <si>
    <t>SHC-transforming protein 1</t>
  </si>
  <si>
    <t>FLOT1, RFC1</t>
  </si>
  <si>
    <t>Folate transporter 1 / Reduced folate carrier protein</t>
  </si>
  <si>
    <t>intake of folate. Uptake of folate in human placental choriocarcinoma cells occurs by a novel mechanism called potocytosis which functionally couples three components, namely the folate receptor, the folate transporter, and a V-type H+-pump.</t>
  </si>
  <si>
    <t>ASCT2, M7V1, RDR, RDRC</t>
  </si>
  <si>
    <t>Neutral amino acid transporter B(0)</t>
  </si>
  <si>
    <t>GLUT1</t>
  </si>
  <si>
    <t>Solute carrier family 2, facilitated glucose transporter member 1 / Glucose transporter 1</t>
  </si>
  <si>
    <t>Facilitative glucose transporter. This isoform may be responsible for constitutive or basal glucose uptake. Has a very broad substrate specificity; can transport a wide range of aldoses including both pentoses and hexoses.</t>
  </si>
  <si>
    <t>OCT2</t>
  </si>
  <si>
    <t>EMTH, OCT3</t>
  </si>
  <si>
    <t>CIC, CTP, SLC20A3</t>
  </si>
  <si>
    <t>mitochondrial citrate transporter</t>
  </si>
  <si>
    <t>promotes the efflux of tricarboxylic citrate to the cytoplasm in exchange for dicarboxylic cytosolic malate; a key role in maintaining the mitochondrial pool of citrate and redox balance in CSCs (29651165); promotes mitochondrial respiratory activity (29651165)</t>
  </si>
  <si>
    <t>ACSVL1, FACVL1, FATP2, VLACS</t>
  </si>
  <si>
    <t>Very long-chain acyl-CoA synthetase</t>
  </si>
  <si>
    <t>GLUT14, GLUT3</t>
  </si>
  <si>
    <t>Facilitative glucose transporter </t>
  </si>
  <si>
    <t xml:space="preserve">CTR1, COPT1 </t>
  </si>
  <si>
    <t>CTR2</t>
  </si>
  <si>
    <t>low affinity copper uptake protein 2</t>
  </si>
  <si>
    <t>ZIP4</t>
  </si>
  <si>
    <t>Zinc transporter ZIP4</t>
  </si>
  <si>
    <t>Plays an important role in cellular zinc homeostasis as a zinc transporter. Regulated in response to zinc availability</t>
  </si>
  <si>
    <t>CD98hc, MDU1</t>
  </si>
  <si>
    <t>4F2 cell-surface antigen heavy chain</t>
  </si>
  <si>
    <t>FPN1, IREG1, SLC11A3, MSTP079</t>
  </si>
  <si>
    <t xml:space="preserve">Solute carrier family 40 member 1 </t>
  </si>
  <si>
    <t>May be involved in iron export from duodenal epithelial cell and also in transfer of iron between maternal and fetal circulation. Mediates iron efflux in the presence of a ferroxidase.  </t>
  </si>
  <si>
    <t>HCP1, PCFT</t>
  </si>
  <si>
    <t>Proton-coupled folate transporter</t>
  </si>
  <si>
    <t>exhibits an acidic pH optimum with high levels of transport activity at pHs characterizing the tumor microenvironment</t>
  </si>
  <si>
    <t>xCT</t>
  </si>
  <si>
    <t>System xc cystine/glutamate antiporter is a membrane amino acid transporter that mediates the exchange of extracellular cystine and intracellular glutamate, which is a heterodimer composed of the 4F2 heavy chain (SLC3A2) and the light chain xCT</t>
  </si>
  <si>
    <t>LST2, OATP1B3, OATP8, SLC21A8</t>
  </si>
  <si>
    <t>Solute carrier organic anion transporter family member 1B3</t>
  </si>
  <si>
    <t>Schlafen family member 11</t>
  </si>
  <si>
    <t>Inhibitor of DNA replication that promotes cell death in response to DNA damage. The SLNF11 C-terminal is constituted by a DNA/RNA helicase-like motif that has not been functionally characterized yet.</t>
  </si>
  <si>
    <t>GIYD1, SLX1</t>
  </si>
  <si>
    <t xml:space="preserve">Catalytic subunit of the SLX1-SLX4 structure-specific endonuclease </t>
  </si>
  <si>
    <t>resolves DNA secondary structures generated during DNA repair and recombination. </t>
  </si>
  <si>
    <t>FANCP, BTBD12, KIAA1784, KIAA1987</t>
  </si>
  <si>
    <t>BAF190B, BRM, SNF2A, SNF2L2</t>
  </si>
  <si>
    <t>Probable global transcription activator SNF2L2</t>
  </si>
  <si>
    <t>Involved in transcriptional activation and repression of select genes by chromatin remodeling (alteration of DNA-nucleosome topology). </t>
  </si>
  <si>
    <t>Brg1</t>
  </si>
  <si>
    <t>BAF57</t>
  </si>
  <si>
    <t xml:space="preserve">SWI / SNF-related, matrix-associated, and actin-dependent regulator of chromatin, subfamily e, member 1) </t>
  </si>
  <si>
    <t>SMOH</t>
  </si>
  <si>
    <t>Smoothened</t>
  </si>
  <si>
    <t>ASM</t>
  </si>
  <si>
    <t>Acid Sphingomyelinase</t>
  </si>
  <si>
    <t>Converts sphingomyelin to ceramide</t>
  </si>
  <si>
    <t>E3 ubiquitin-protein ligase</t>
  </si>
  <si>
    <t xml:space="preserve">Forms a stable complex with the TGF-beta receptor-mediated phosphorylated SMAD2 and SMAD3. </t>
  </si>
  <si>
    <t>SNAH, SNAIL</t>
  </si>
  <si>
    <t>Zinc finger protein SNAI1</t>
  </si>
  <si>
    <t xml:space="preserve">Involved in induction of the epithelial to mesenchymal transition (EMT), formation and maintenance of embryonic mesoderm, growth arrest, survival and cell migration. </t>
  </si>
  <si>
    <t>SLUG, SLUGH</t>
  </si>
  <si>
    <t>Zinc finger protein SNAI2</t>
  </si>
  <si>
    <t xml:space="preserve">Transcriptional repressor that modulates both activator-dependent and basal transcription. </t>
  </si>
  <si>
    <t>Superoxide dismutase [Cu-Zn]</t>
  </si>
  <si>
    <t>Destroys superoxide anion radicals which are normally produced within the cells and which are toxic to biological systems</t>
  </si>
  <si>
    <t>Transcription factor SOX-17</t>
  </si>
  <si>
    <t>Modulates transcriptional regulation via WNT3A. Inhibits Wnt signaling. Promotes degradation of activated CTNNB1. Plays a key role in the regulation of embryonic development. </t>
  </si>
  <si>
    <t>forms a trimeric complex with OCT4 on DNA and controls the expression of a number of genes involved in embryonic development</t>
  </si>
  <si>
    <t>Transcription factor that may play a role in central nervous system, limb and facial development. </t>
  </si>
  <si>
    <t>Transcription factor that plays a central role in developing and mature glia (By similarity). </t>
  </si>
  <si>
    <t>ON</t>
  </si>
  <si>
    <t>Secreted protein acidic and rich in cysteine</t>
  </si>
  <si>
    <t>ECRG2, ECG2</t>
  </si>
  <si>
    <t xml:space="preserve">Serine protease inhibitor Kazal-type 7 / Esophagus cancer-related gene 2 </t>
  </si>
  <si>
    <t>BNSP, OPN, PSEC0156</t>
  </si>
  <si>
    <t>Osteopontin / secreted phosphoprotein 1</t>
  </si>
  <si>
    <t>Acts as a cytokine involved in enhancing production of interferon-gamma and interleukin-12 and reducing production of interleukin-10 and is essential in the pathway that leads to type I immunity</t>
  </si>
  <si>
    <t>p62, ORCA, OSIL</t>
  </si>
  <si>
    <t>Sequestosome-1</t>
  </si>
  <si>
    <t>SRC1</t>
  </si>
  <si>
    <t>Proto-oncogene tyrosine-protein kinase Src</t>
  </si>
  <si>
    <t xml:space="preserve">non-receptor tyrosine kinase that regulates various aspects of tumor progression via multiple signaling pathways including cell survival (AKT), growth (Ras/MEK/ERK), metastasis (FAK/Paxillin/c-Jun), and angiogenesis (STAT3/VEGF).  </t>
  </si>
  <si>
    <t>BHLHD2, SREBP2</t>
  </si>
  <si>
    <t>Sterol regulatory element-binding protein 2</t>
  </si>
  <si>
    <t>Transcriptional activator required for lipid homeostasis. Regulates transcription of the LDL receptor gene as well as the cholesterol and to a lesser degree the fatty acid synthesis pathway</t>
  </si>
  <si>
    <t>SRSF protein kinase 1</t>
  </si>
  <si>
    <t>SFRS2</t>
  </si>
  <si>
    <t>Serine/arginine-rich splicing factor 2</t>
  </si>
  <si>
    <t>Necessary for the splicing of pre-mRNA. It is required for formation of the earliest ATP-dependent splicing complex and interacts with spliceosomal components bound to both the 5'- and 3'-splice sites during spliceosome assembly. </t>
  </si>
  <si>
    <t>SFRS4, SRP75</t>
  </si>
  <si>
    <t>Serine/arginine-rich splicing factor 4</t>
  </si>
  <si>
    <t xml:space="preserve">plays a role in alternative splice site selection during pre-mRNA splicing. </t>
  </si>
  <si>
    <t>SIAT1</t>
  </si>
  <si>
    <t>Beta-galactoside alpha-2,6-sialyltransferase 1</t>
  </si>
  <si>
    <t>Signal transducer and activator of transcription 1-alpha/beta</t>
  </si>
  <si>
    <t>APRF</t>
  </si>
  <si>
    <t>Signal transducer and activator of transcription 3</t>
  </si>
  <si>
    <t>STAT5</t>
  </si>
  <si>
    <t>Signal transducer and activator of transcription 5A</t>
  </si>
  <si>
    <t>Signal transducer and activator of transcription 5B</t>
  </si>
  <si>
    <t>Carries out a dual function: signal transduction and activation of transcription. Mediates cellular responses to the cytokine KITLG/SCF and other growth factors. Mediates cellular responses to ERBB4. </t>
  </si>
  <si>
    <t>Signal transducer and activator of transcription 6</t>
  </si>
  <si>
    <t>Involved in IL4/interleukin-4- and IL3/interleukin-3-mediated signaling</t>
  </si>
  <si>
    <t>GOK</t>
  </si>
  <si>
    <t>Stromal interaction molecule 1</t>
  </si>
  <si>
    <t>Ca2+ sensor in ER via its EF-hand domain. Upon Ca2+ depletion, translocates to the plasma membrane where it activates the Ca2+ release-activated Ca2+ (CRAC) channel subunit ORAI1</t>
  </si>
  <si>
    <t>ERIS, MITA, TMEM173</t>
  </si>
  <si>
    <t>Stimulator of interferon genes protein</t>
  </si>
  <si>
    <t>Facilitator of innate immune signaling that acts as a sensor of cytosolic DNA from bacteria and viruses and promotes the production of type I interferon (IFN-alpha and IFN-beta) </t>
  </si>
  <si>
    <t>LKB1, PJS</t>
  </si>
  <si>
    <t xml:space="preserve">Tumor suppressor serine/threonine-protein kinase </t>
  </si>
  <si>
    <t xml:space="preserve">controls the activity of AMP-activated protein kinase (AMPK) family members. interacts with p53/TP53 and recruited to the CDKN1A/WAF1 promoter to participate in transcription activation. </t>
  </si>
  <si>
    <t>DRAK1</t>
  </si>
  <si>
    <t>Serine/threonine-protein kinase 17A / DAPK-related apoptosis-inducing protein kinase</t>
  </si>
  <si>
    <t>KRS2, MST1</t>
  </si>
  <si>
    <t>Serine/threonine-protein kinase 4 / mammalian Ste20-like kinase-1</t>
  </si>
  <si>
    <t>Stress-activated, pro-apoptotic kinase which, following caspase-cleavage, enters the nucleus and induces chromatin condensation followed by internucleosomal DNA fragmentation. Key component of the Hippo signaling pathway which plays a pivotal role in organ size control and tumor suppression by restricting proliferation and promoting apoptosis. </t>
  </si>
  <si>
    <t>Sushi domain-containing protein 2</t>
  </si>
  <si>
    <t>MAP3K7IP1</t>
  </si>
  <si>
    <t>TGF-beta-activated kinase 1 and MAP3K7-binding protein 1</t>
  </si>
  <si>
    <t>MAP3K7IP3</t>
  </si>
  <si>
    <t>TGF-beta-activated kinase 1 and MAP3K7-binding protein 3</t>
  </si>
  <si>
    <t>ABCB2, PSF1, RING4, Y3</t>
  </si>
  <si>
    <t>Involved in the transport of antigens from the cytoplasm to the endoplasmic reticulum for association with MHC class I molecules. </t>
  </si>
  <si>
    <t>tubulin-specific chaperone E</t>
  </si>
  <si>
    <t>T-box 2 transcription factor</t>
  </si>
  <si>
    <t>TCF13, TEF1</t>
  </si>
  <si>
    <t>TEA domain transcription factor 1 / Transcriptional enhancer factor TEF-1</t>
  </si>
  <si>
    <t>Transcription factor which plays a key role in the Hippo signaling pathway, a pathway involved in organ size control and tumor suppression by restricting proliferation and promoting apoptosis. </t>
  </si>
  <si>
    <t>TEAD5, TEF5</t>
  </si>
  <si>
    <t>Transcriptional enhancer factor TEF-5</t>
  </si>
  <si>
    <t>AS TEAD1</t>
  </si>
  <si>
    <t>RTEF1, TCF13L1, TEF3</t>
  </si>
  <si>
    <t>Transcriptional enhancer factor TEF-3</t>
  </si>
  <si>
    <t>EST2, TCS1, TRT</t>
  </si>
  <si>
    <t>Telomerase reverse transcriptase</t>
  </si>
  <si>
    <t>CXXC6, KIAA1676, LCX</t>
  </si>
  <si>
    <t>Methylcytosine dioxygenase TET1</t>
  </si>
  <si>
    <t>Dioxygenase that catalyzes the conversion of the modified genomic base 5-methylcytosine (5mC) into 5-hydroxymethylcytosine (5hmC) and plays a key role in active DNA demethylation. </t>
  </si>
  <si>
    <t>Methylcytosine dioxygenase TET2</t>
  </si>
  <si>
    <t>TCF6, TCF6L2</t>
  </si>
  <si>
    <t>Transcription factor A, mitochondrial</t>
  </si>
  <si>
    <t>a key mitochondrial transcription factor containing two high mobility group motifs. The encoded protein also functions in mitochondrial DNA replication and repair.</t>
  </si>
  <si>
    <t>Transferrin receptor protein 1</t>
  </si>
  <si>
    <t>Cellular uptake of iron occurs via receptor-mediated endocytosis of ligand-occupied transferrin receptor into specialized endosomes. </t>
  </si>
  <si>
    <t>TGFB, TGF-Beta</t>
  </si>
  <si>
    <t>Transforming growth factor beta-1 proprotein</t>
  </si>
  <si>
    <t>Transforming growth factor beta-2 proprotein</t>
  </si>
  <si>
    <t>Multifunctional protein that regulates various processes such as angiogenesis and heart development</t>
  </si>
  <si>
    <t>Multifunctional protein that regulates embryogenesis and cell differentiation and is required in various processes such as secondary palate development</t>
  </si>
  <si>
    <t>BIGH3</t>
  </si>
  <si>
    <t>Transforming growth factor-beta-induced protein ig-h3</t>
  </si>
  <si>
    <t>Plays a role in cell adhesion. May play a role in cell-collagen interactions</t>
  </si>
  <si>
    <t>ALK5, SKR4</t>
  </si>
  <si>
    <t>TGF-beta receptor type-1</t>
  </si>
  <si>
    <t>Transmembrane serine/threonine kinase forming with the TGF-beta type II serine/threonine kinase receptor, TGFBR2, the non-promiscuous receptor for the TGF-beta cytokines TGFB1, TGFB2 and TGFB3. </t>
  </si>
  <si>
    <t>TGF-beta receptor type-2</t>
  </si>
  <si>
    <t>TG2</t>
  </si>
  <si>
    <t>Tissue transglutaminase</t>
  </si>
  <si>
    <t>TG2 cross-links proteins by acyl transfer between glutamine and lysine residues and participates in Ca++-dependent post-translational protein modification by incorporating polyamines into peptide chains</t>
  </si>
  <si>
    <t>Protein-glutamine gamma-glutamyltransferase E</t>
  </si>
  <si>
    <t>Catalyzes the calcium-dependent formation of isopeptide cross-links between glutamine and lysine residues. Epidermal terminal differentiation and formation of the cornified cell envelope through cross-linking structural proteins. TGM3 functions as a tumor suppressor by repressing epithelial‑to‑mesenchymal transition and the PI3K/AKT signaling pathway in colorectal cancer (32020212)</t>
  </si>
  <si>
    <t>TSP, TSP1</t>
  </si>
  <si>
    <t>Thrombospondin-1</t>
  </si>
  <si>
    <t>Secreted adhesive glycoprotein that mediates cell-to-cell and cell-to-matrix interactions. Plays a role in ER stress response, via its interaction with the activating transcription factor 6 alpha (ATF6). (21765615)</t>
  </si>
  <si>
    <t>TIE</t>
  </si>
  <si>
    <t>tyrosine kinase with immunoglobulin-like and EGF-like domains 1</t>
  </si>
  <si>
    <t xml:space="preserve">Transmembrane tyrosine-protein kinase that may modulate TEK/TIE2 activity and contribute to the regulation of angiogenesis. </t>
  </si>
  <si>
    <t>C12orf5</t>
  </si>
  <si>
    <t>Fructose-2,6-bisphosphatase TIGAR / TP53-induced glycolysis and apoptosis
regulator</t>
  </si>
  <si>
    <t>TIM, TIM1, TIMELESS1</t>
  </si>
  <si>
    <t>Plays an important role in the control of DNA replication, maintenance of replication fork stability, maintenance of genome stability throughout normal DNA replication and in the regulation of the circadian clock.</t>
  </si>
  <si>
    <t>Metalloproteinase (collagenases) inhibitor 3</t>
  </si>
  <si>
    <t>Tousled-like kinase 1</t>
  </si>
  <si>
    <t>Toll-like receptor 4</t>
  </si>
  <si>
    <t>Cooperates with LY96 and CD14 to mediate the innate immune response</t>
  </si>
  <si>
    <t>HOX11L2</t>
  </si>
  <si>
    <t>T-cell leukemia homeobox protein 3</t>
  </si>
  <si>
    <t>UNQ501/PRO1018, MBC3205</t>
  </si>
  <si>
    <t>Transmembrane protein 205</t>
  </si>
  <si>
    <t>In cancer cells, plays a role in resistance to the chemotherapeutic agent cisplatin.</t>
  </si>
  <si>
    <t>TMEM88A</t>
  </si>
  <si>
    <t>Transmembrane protein 88</t>
  </si>
  <si>
    <t>Inhibits the Wnt/beta-catenin signaling pathway.</t>
  </si>
  <si>
    <t>MAC30, S2R</t>
  </si>
  <si>
    <t>Sigma intracellular receptor 2</t>
  </si>
  <si>
    <t>Intracellular orphan receptor that binds numerous drugs, highly expressed in various proliferating cancer cells. The sigma-2 receptor, regulating cell survival, morphology and differentiation</t>
  </si>
  <si>
    <t>UNQ536/PRO1079</t>
  </si>
  <si>
    <t>Transmembrane protein 98</t>
  </si>
  <si>
    <t>Functions as a negative regulator of MYRF in oligodendrocyte differentiation and myelination. Interacts with the C-terminal of MYRF inhibiting MYRF self-cleavage and N-fragment nuclear translocation. </t>
  </si>
  <si>
    <t>TNFA, TNFSF2</t>
  </si>
  <si>
    <t xml:space="preserve">Cytokine that binds to TNFRSF1A/TNFR1 and TNFRSF1B/TNFBR. It is mainly secreted by macrophages and can induce cell death of certain tumor cell lines. </t>
  </si>
  <si>
    <t>Tumor necrosis factor alpha-induced protein 8</t>
  </si>
  <si>
    <t>Acts as a negative mediator of apoptosis and may play a role in tumor progression. </t>
  </si>
  <si>
    <t>TIPE2</t>
  </si>
  <si>
    <t>Tumor necrosis factor alpha-induced protein 8-like protein 2</t>
  </si>
  <si>
    <t>Negative regulator of Toll-like receptor and T-cell receptor function. Inhibits JUN/AP1 and NF-kappa-B activation. Promotes Fas-induced apoptosis</t>
  </si>
  <si>
    <t>APO2, DR4, TRAILR1</t>
  </si>
  <si>
    <t>Tumor necrosis factor receptor superfamily member 10A / death receptor 4</t>
  </si>
  <si>
    <t xml:space="preserve">Receptor for TNFSF10/TRAIL. The adapter molecule FADD recruits caspase-8. The resulting death-inducing signaling complex (DISC) performs caspase-8 proteolytic activation </t>
  </si>
  <si>
    <t>DR5, KILLER, TRAILR2, TRICK2, ZTNFR9 </t>
  </si>
  <si>
    <t>Tumor necrosis factor receptor superfamily member 10B / death receptor 5</t>
  </si>
  <si>
    <t xml:space="preserve">As TNFRSF10A. One major physiologic role of TRAIL is the mediation of natural immunity and the elimination of developing tumors </t>
  </si>
  <si>
    <t>APO2L, TRAIL</t>
  </si>
  <si>
    <t>Tumor necrosis factor ligand superfamily member 10</t>
  </si>
  <si>
    <t>FN14</t>
  </si>
  <si>
    <t>Tumor necrosis factor receptor superfamily member 12A</t>
  </si>
  <si>
    <t>Receptor for TNFSF12/TWEAK. Weak inducer of apoptosis in some cell types. Promotes angiogenesis and the proliferation of endothelial cells. May modulate cellular adhesion to matrix proteins</t>
  </si>
  <si>
    <t>DNA topoisomerase 1</t>
  </si>
  <si>
    <t>Releases the supercoiling and torsional tension of DNA. </t>
  </si>
  <si>
    <t>TOP2</t>
  </si>
  <si>
    <t>DNA topoisomerase 2-alpha</t>
  </si>
  <si>
    <t>TOP3</t>
  </si>
  <si>
    <t>DNA topoisomerase 3-alpha</t>
  </si>
  <si>
    <t>Releases the supercoiling and torsional tension of DNA</t>
  </si>
  <si>
    <t>TOP3B1</t>
  </si>
  <si>
    <t>DNA topoisomerase 3-beta-1</t>
  </si>
  <si>
    <t>DNA topoisomerase 2-binding protein 1</t>
  </si>
  <si>
    <t xml:space="preserve">DNA topoisomerase 2-binding protein 1, required for DNA replication. Plays a role in the rescue of stalled replication forks and checkpoint control. </t>
  </si>
  <si>
    <t>TP53-binding protein 1</t>
  </si>
  <si>
    <t>P53DINP1, SIP</t>
  </si>
  <si>
    <t>Tumor protein p53-inducible nuclear protein 1</t>
  </si>
  <si>
    <t>Antiproliferative and proapoptotic protein involved in cell stress response which acts as a dual regulator of transcription and autophagy. Positively regulates p53/TP53 and p73/TP73 and stimulates their capacity to induce apoptosis and regulate cell cycle. In response to double-strand DNA breaks, promotes p53/TP53 phosphorylation on 'Ser-46' and subsequent apoptosis.</t>
  </si>
  <si>
    <t>KET, P63, P73H, P73L, TP73L</t>
  </si>
  <si>
    <t>Tumor protein 63</t>
  </si>
  <si>
    <t>Acts as a sequence specific DNA binding transcriptional activator or repressor. The isoforms contain a varying set of transactivation and auto-regulating transactivation inhibiting domains thus showing an isoform specific activity. Isoform 2 activates RIPK4 transcription. May be required in conjunction with TP73/p73 for initiation of p53/TP53 dependent apoptosis in response to genotoxic insults and the presence of activated oncogenes. </t>
  </si>
  <si>
    <t>P73</t>
  </si>
  <si>
    <t>Tumor protein p73</t>
  </si>
  <si>
    <t>Participates in the apoptotic response to DNA damage. Isoforms containing the transactivation domain are pro-apoptotic, isoforms lacking the domain are anti-apoptotic and block the function of p53 and transactivating p73 isoforms. May be a tumor suppressor protein.</t>
  </si>
  <si>
    <t>TCTP</t>
  </si>
  <si>
    <t>Translationally-controlled tumor protein</t>
  </si>
  <si>
    <t>TRAP3</t>
  </si>
  <si>
    <t>TNF receptor-associated factor 2</t>
  </si>
  <si>
    <t>Regulates activation of NF-kappa-B and JNK and plays a central role in the regulation of cell survival and apoptosis. </t>
  </si>
  <si>
    <t>HSP75</t>
  </si>
  <si>
    <t>Heat shock protein 75 kDa, mitochondrial / necrosis factor receptor-associated protein 1</t>
  </si>
  <si>
    <t>mitochondrial chaperone protein that is member of the heat shock protein 90 (HSP90) family. The encoded protein has ATPase activity and interacts with tumor necrosis factor type I. This protein may function in regulating cellular stress responses. </t>
  </si>
  <si>
    <t>TRB2</t>
  </si>
  <si>
    <t>Tribbles homolog 2</t>
  </si>
  <si>
    <t>RFP, RNF76</t>
  </si>
  <si>
    <t>Zinc finger protein RFP</t>
  </si>
  <si>
    <t>Tripartite motif-containing protein 65</t>
  </si>
  <si>
    <t>Tripartite motif (TRIM)-containing proteins have more than 80 members in humans, most of which could be defined as E3 ubiquitin ligase. </t>
  </si>
  <si>
    <t>PCH2</t>
  </si>
  <si>
    <t>Thyroid hormone receptor-interacting protein 13 / Pachytene checkpoint protein 2 homolog</t>
  </si>
  <si>
    <t>Promotes early steps of the DNA double-strand breaks (DSBs) repair process upstream of the assembly of RAD51 complexes. Required for depletion of HORMAD1 and HORMAD2 from synapsed chromosomes (By similarity). Plays a role in mitotic spindle assembly checkpoint (SAC) activation</t>
  </si>
  <si>
    <t>KIAA1114, MAGED3</t>
  </si>
  <si>
    <t>Trophinin</t>
  </si>
  <si>
    <t xml:space="preserve">a homophilic adhesion molecule, mediates an initial attachment of the blastocyst to uterine epithelial cells at the time of the embryo implantation. </t>
  </si>
  <si>
    <t>BHLHA38, TWIST</t>
  </si>
  <si>
    <t xml:space="preserve"> transcriptional regulator</t>
  </si>
  <si>
    <t>TRP14, TXNL5</t>
  </si>
  <si>
    <t>Thioredoxin domain-containing protein 17</t>
  </si>
  <si>
    <t>Disulfide reductase. May participate in various redox reactions. Modulates TNF-alpha signaling and NF-kappa-B activation. Has peroxidase activity and may contribute to the elimination of cellular hydrogen peroxide.</t>
  </si>
  <si>
    <t>GRIM12, KDRF</t>
  </si>
  <si>
    <t>Thioredoxin reductase 1, cytoplasmic</t>
  </si>
  <si>
    <t>Isoform 1 may possess glutaredoxin activity as well as thioredoxin reductase activity and induces actin and tubulin polymerization, leading to formation of cell membrane protrusions. </t>
  </si>
  <si>
    <t>KIAA1652, TRXR2</t>
  </si>
  <si>
    <t>Thioredoxin reductase 2, mitochondrial</t>
  </si>
  <si>
    <t>Involved in the control of reactive oxygen species levels and the regulation of mitochondrial redox homeostasis</t>
  </si>
  <si>
    <t>TGR, TRXR3</t>
  </si>
  <si>
    <t>Thioredoxin reductase 3</t>
  </si>
  <si>
    <t>TRP32, TXL, TXNL</t>
  </si>
  <si>
    <t>Thioredoxin-like protein 1</t>
  </si>
  <si>
    <t>E2EPF, UCP</t>
  </si>
  <si>
    <t>Ubiquitin-conjugating enzyme E2 S / E2-EPF ubiquitin carrier protein</t>
  </si>
  <si>
    <t>HECT family E3 ubiquitin ligase</t>
  </si>
  <si>
    <t xml:space="preserve">protein kinase DYRK2, with some substrates being targeted for phosphorylation by DYRK2 prior to ubiquitination by UBR5. </t>
  </si>
  <si>
    <t>Ubiquitin carboxyl terminal hydrolase 1</t>
  </si>
  <si>
    <t>processing of ubiquitin precursors and of ubiquitinated proteins</t>
  </si>
  <si>
    <t>SLC25A8</t>
  </si>
  <si>
    <t>Uncoupling protein 2</t>
  </si>
  <si>
    <t>Ceramide glucosyltransferase</t>
  </si>
  <si>
    <t>RAP80, RXRIP110</t>
  </si>
  <si>
    <t>BRCA1-A complex subunit RAP80 / Receptor-associated protein 80</t>
  </si>
  <si>
    <t>Plays a central role in the BRCA1-A complex by specifically binding 'Lys-63'-linked ubiquitinated histones H2A and H2AX at DNA lesions sites, leading to target the BRCA1-BARD1 heterodimer to sites of DNA damage at double-strand breaks (DSBs). </t>
  </si>
  <si>
    <t>DGU, UNG1, UNG15</t>
  </si>
  <si>
    <t>C19orf2, NNX3, PPP1R19, RMP, URI</t>
  </si>
  <si>
    <t>Unconventional prefoldin RPB5 interactor 1</t>
  </si>
  <si>
    <t>Ubiquitin carboxyl-terminal hydrolase 1</t>
  </si>
  <si>
    <t>Negative regulator of DNA damage repair which specifically deubiquitinates monoubiquitinated FANCD2</t>
  </si>
  <si>
    <t>ISOT3</t>
  </si>
  <si>
    <t>Ubiquitin carboxyl-terminal hydrolase 13</t>
  </si>
  <si>
    <t>Deubiquitinase that mediates deubiquitination of target proteins such as BECN1, MITF, SKP2 and USP10 and is involved in various processes such as autophagy and endoplasmic reticulum-associated degradation (ERAD). </t>
  </si>
  <si>
    <t>USP3L</t>
  </si>
  <si>
    <t>Ubiquitin carboxyl-terminal hydrolase 22</t>
  </si>
  <si>
    <t>USP34</t>
  </si>
  <si>
    <t>Ubiquitin carboxyl-terminal hydrolase 35</t>
  </si>
  <si>
    <t>Ubiquitin carboxyl-terminal hydrolase 37</t>
  </si>
  <si>
    <t>Deubiquitinase that antagonizes the anaphase-promoting complex (APC/C) during G1/S transition by mediating deubiquitination of cyclin-A (CCNA1 and CCNA2), thereby promoting S phase entry. </t>
  </si>
  <si>
    <t>p63, DHTX, VPS38</t>
  </si>
  <si>
    <t>UV radiation resistance-associated gene protein</t>
  </si>
  <si>
    <t>This gene complements the ultraviolet sensitivity of xeroderma pigmentosum group C cells and encodes a protein with a C2 domain. The protein activates the Beclin1-PI(3)KC3 complex, promoting autophagy</t>
  </si>
  <si>
    <t>Vascular cell adhesion protein 1</t>
  </si>
  <si>
    <t>VDAC</t>
  </si>
  <si>
    <t>Voltage-dependent anion-selective channel protein 1</t>
  </si>
  <si>
    <t>Forms a channel through the mitochondrial outer membrane and also the plasma membrane. The channel at the outer mitochondrial membrane allows diffusion of small hydrophilic molecules; in the plasma membrane it is involved in cell volume regulation and apoptosis.</t>
  </si>
  <si>
    <t>VEGF</t>
  </si>
  <si>
    <t>vascular endothelial growth factor</t>
  </si>
  <si>
    <t>Growth factor active in angiogenesis, vasculogenesis and endothelial cell growth. </t>
  </si>
  <si>
    <t>VEGFR3</t>
  </si>
  <si>
    <t xml:space="preserve">vascular endothelial growth factor receptor 3, </t>
  </si>
  <si>
    <t xml:space="preserve">primary receptor for VEGF-C/VEGF-D secreted by Tumor-associated macrophages (TAMs) </t>
  </si>
  <si>
    <t>von Hippel-Lindau disease tumor suppressor</t>
  </si>
  <si>
    <t>vimentin</t>
  </si>
  <si>
    <t>Vimentins are class-III intermediate filaments found in various non-epithelial cells, especially mesenchymal cells. </t>
  </si>
  <si>
    <t>UAF1</t>
  </si>
  <si>
    <t>WD repeat-containing protein 48 (USP1-associated factor 1)</t>
  </si>
  <si>
    <t xml:space="preserve">Regulator of deubiquitinating complexes. Acts as a strong activator of USP1 and USP46. </t>
  </si>
  <si>
    <t>HE4, WAP5</t>
  </si>
  <si>
    <t>WAP four-disulfide core domain protein 2 / Human epididymal secretory protein E4</t>
  </si>
  <si>
    <t>FOR, SDR41C1, WOX1</t>
  </si>
  <si>
    <t>WW domain-containing oxidoreductase</t>
  </si>
  <si>
    <t xml:space="preserve">Plays a role in TGFB1 signaling and TGFB1-mediated cell death. </t>
  </si>
  <si>
    <t>NEDD4-like E3 ubiquitin-protein ligase</t>
  </si>
  <si>
    <t>E3 ubiquitin-protein ligase which accepts ubiquitin from an E2 ubiquitin-conjugating enzyme in the form of a thioester and then directly transfers the ubiquitin to targeted substrates. </t>
  </si>
  <si>
    <t>TAZ</t>
  </si>
  <si>
    <t>WW domain-containing transcription regulator protein 1</t>
  </si>
  <si>
    <t xml:space="preserve">Transcriptional coactivator which acts as a downstream regulatory target in the Hippo signaling pathway that plays a pivotal role in organ size control and tumor suppression by restricting proliferation and promoting apoptosis. </t>
  </si>
  <si>
    <t>BIRC4BP, XIAPAF1</t>
  </si>
  <si>
    <t>XIAP-associated factor 1</t>
  </si>
  <si>
    <t>TREB5, XBP2</t>
  </si>
  <si>
    <t>X-box-binding protein 1</t>
  </si>
  <si>
    <t>Functions as a transcription factor during endoplasmic reticulum (ER) stress by regulating the unfolded protein response (UPR). </t>
  </si>
  <si>
    <t>X-linked inhibitor of apoptosis protein</t>
  </si>
  <si>
    <t>XPAC</t>
  </si>
  <si>
    <t>Initiates repair by binding to damaged sites with various affinities, depending on the photoproduct and the transcriptional state of the region. </t>
  </si>
  <si>
    <t>XPCC</t>
  </si>
  <si>
    <t>xeroderma pigmentosum group C </t>
  </si>
  <si>
    <t>A DNA damage recognition protein that binds to damaged DNA templates at a very early stage during the DNA repair process. </t>
  </si>
  <si>
    <t>CRM1</t>
  </si>
  <si>
    <t>Exportin-1</t>
  </si>
  <si>
    <t>X-ray repair cross complementing group1</t>
  </si>
  <si>
    <t>Involved in DNA single-strand break repair by mediating the assembly of DNA break repair protein complexes.</t>
  </si>
  <si>
    <t>XRCC4 is indispensable to NHEJ and functions together with DNA ligase IV in the rejoining of broken DNA ends. </t>
  </si>
  <si>
    <t>Ku80</t>
  </si>
  <si>
    <t>Ku70</t>
  </si>
  <si>
    <t>YAP65</t>
  </si>
  <si>
    <t>NSEP1, YB1</t>
  </si>
  <si>
    <t>DACA-1</t>
  </si>
  <si>
    <t>YTH domain-containing family protein 1</t>
  </si>
  <si>
    <t>Adapter protein implicated in a large spectrum of signaling pathways. Binds to a phosphoserine or phosphothreonine motif. </t>
  </si>
  <si>
    <t>14-3-3 protein eta</t>
  </si>
  <si>
    <t>Adapter protein implicated in the regulation of a large spectrum of signaling pathways in cell signaling, cycle control, and apoptotic death. </t>
  </si>
  <si>
    <t>14-3-3 protein theta</t>
  </si>
  <si>
    <t>14-3-3zeta/delta</t>
  </si>
  <si>
    <t>INO80S</t>
  </si>
  <si>
    <t>Transcriptional repressor, GLI-Krüppel type zinc finger protein</t>
  </si>
  <si>
    <t>AREB6, TCF8</t>
  </si>
  <si>
    <t>Zinc finger E-box-binding homeobox 1</t>
  </si>
  <si>
    <t>SIP1, SMADIP1</t>
  </si>
  <si>
    <t>Zinc finger E-box-binding homeobox 2 / Smad-interacting protein 1</t>
  </si>
  <si>
    <t>SBF, STAF</t>
  </si>
  <si>
    <t>Zinc finger protein 143</t>
  </si>
  <si>
    <t>involved in selenocystyl tRNA transcription; ZNF143 expression is induced by treatment with DNA-damaging agents and that it preferentially binds to cisplatin-modified DNA.</t>
  </si>
  <si>
    <t>ZNF505</t>
  </si>
  <si>
    <t>Cyclic AMP-dependent transcription factor ATF-6 alpha</t>
  </si>
  <si>
    <t>Transmembrane glycoprotein of the endoplasmic reticulum that functions as a transcription activator and initiates the unfolded protein response (UPR) during endoplasmic reticulum stress.</t>
  </si>
  <si>
    <t>Apoptotic signaling</t>
  </si>
  <si>
    <t>p53 signaling</t>
  </si>
  <si>
    <t>DDR</t>
  </si>
  <si>
    <t>CSC</t>
  </si>
  <si>
    <t>Apoptosis</t>
  </si>
  <si>
    <t>EMT</t>
  </si>
  <si>
    <t>ECM signaling</t>
  </si>
  <si>
    <t>WNT signaling</t>
  </si>
  <si>
    <t>TGF-β signaling</t>
  </si>
  <si>
    <t>Notch signaling</t>
  </si>
  <si>
    <t>NF-kB signaling</t>
  </si>
  <si>
    <t>Oncogene signaling</t>
  </si>
  <si>
    <t>Redox</t>
  </si>
  <si>
    <t>mTOR signaling</t>
  </si>
  <si>
    <t>Autophagy</t>
  </si>
  <si>
    <t>Hypoxia signaling</t>
  </si>
  <si>
    <t>ER stress response</t>
  </si>
  <si>
    <t>PKA signaling</t>
  </si>
  <si>
    <t>Immune response</t>
  </si>
  <si>
    <t>pH/Pt-toxicity</t>
  </si>
  <si>
    <t>ECM/stroma</t>
  </si>
  <si>
    <t>Hippo signaling</t>
  </si>
  <si>
    <t>Cell cycle</t>
  </si>
  <si>
    <t>Oncogene signaling/AKT</t>
  </si>
  <si>
    <t>Oncogene signaling/MAPK</t>
  </si>
  <si>
    <t>Oncogene signaling/EGFR</t>
  </si>
  <si>
    <t>RNA processing</t>
  </si>
  <si>
    <t>Oncogene signaling/FGF</t>
  </si>
  <si>
    <t>Hedgehog signaling</t>
  </si>
  <si>
    <t>Oncogene signaling/HGF</t>
  </si>
  <si>
    <t>Oncogene signaling/PDGF</t>
  </si>
  <si>
    <t>Chaperone</t>
  </si>
  <si>
    <t>Hormone receptor signaling</t>
  </si>
  <si>
    <t>Apoptotic signaling/PKC</t>
  </si>
  <si>
    <t>proteasome</t>
  </si>
  <si>
    <t>DDR/FA</t>
  </si>
  <si>
    <t>PMID</t>
  </si>
  <si>
    <t>22909821, 18004398</t>
  </si>
  <si>
    <t>14973057, 28112439</t>
  </si>
  <si>
    <t>20354527,  22112610, 23423781, 15014021</t>
  </si>
  <si>
    <t>23117882, 10098743, 23660976</t>
  </si>
  <si>
    <t>25960282, 22110952, 17873890, 29867145</t>
  </si>
  <si>
    <t>24935471, 28703811</t>
  </si>
  <si>
    <t>29662625, 29171106</t>
  </si>
  <si>
    <t>29247567, 20672324</t>
  </si>
  <si>
    <t>23165153, 15790446, 27698389</t>
  </si>
  <si>
    <t>23165153, 15790446</t>
  </si>
  <si>
    <t>As AKR1C1</t>
  </si>
  <si>
    <t>20032415, 27935869, 28664915</t>
  </si>
  <si>
    <t>12697749, 12517798</t>
  </si>
  <si>
    <t>25215901, 21080034, 25096996</t>
  </si>
  <si>
    <t>21285982, 22826605, 29415318</t>
  </si>
  <si>
    <t>26763392, 28224423</t>
  </si>
  <si>
    <t>9610690, 25149074, 30439707</t>
  </si>
  <si>
    <t>18980987, 24531715</t>
  </si>
  <si>
    <t>28886730, 28224423</t>
  </si>
  <si>
    <t>30868675, 24375474</t>
  </si>
  <si>
    <t>19598262, 24244679</t>
  </si>
  <si>
    <t>20925046, 12543167</t>
  </si>
  <si>
    <t>26049416, 33423038</t>
  </si>
  <si>
    <t>26164266, 20087352, 21357694</t>
  </si>
  <si>
    <t>27933604, 24643204</t>
  </si>
  <si>
    <t>25327563, 19881956, 30139993</t>
  </si>
  <si>
    <t>25476899, 25925371</t>
  </si>
  <si>
    <t>26967059, 10928066, 23907215</t>
  </si>
  <si>
    <t>19533750, 26982031, 27765932</t>
  </si>
  <si>
    <t>28120035, 25359574</t>
  </si>
  <si>
    <t>14695168, 17297441, 22338651</t>
  </si>
  <si>
    <t>31160576, 28553083</t>
  </si>
  <si>
    <t>26674120, 22312557</t>
  </si>
  <si>
    <t>11519050, 15547183, 28592880</t>
  </si>
  <si>
    <t>11519050, 15547183</t>
  </si>
  <si>
    <t>As ATP6V1A</t>
  </si>
  <si>
    <t>24992675, 28628188</t>
  </si>
  <si>
    <t>21823019, 26406239</t>
  </si>
  <si>
    <t xml:space="preserve">23147994, 21693656, 18089818 </t>
  </si>
  <si>
    <t>21561860, 22924699</t>
  </si>
  <si>
    <t>29512762, 29399172, 26458502</t>
  </si>
  <si>
    <t>25876658, 23423709</t>
  </si>
  <si>
    <t>21447800, 30733337, 22778941</t>
  </si>
  <si>
    <t>29769618, 11145600, 22669575, 28804784</t>
  </si>
  <si>
    <t>29685168, 26294655, 21445297</t>
  </si>
  <si>
    <t>22535375, 21674241</t>
  </si>
  <si>
    <t>15547178, 17956347, 18413725, 20940403, 22253870, 24168967</t>
  </si>
  <si>
    <t>18264087, 22711857, 20877358, 29066501</t>
  </si>
  <si>
    <t>28714904, 32457312</t>
  </si>
  <si>
    <t>28056551, 17671123, 28703811</t>
  </si>
  <si>
    <t>22771308, 16544101, 23692256</t>
  </si>
  <si>
    <t>18214855, 28089626, 30448882, 27994509</t>
  </si>
  <si>
    <t>11703590, 30816202, 9787143</t>
  </si>
  <si>
    <t>11703590, 27384994, 9787143</t>
  </si>
  <si>
    <t>18842681, 16357177</t>
  </si>
  <si>
    <t>18064040, 22986525</t>
  </si>
  <si>
    <t>21487429, 14695141</t>
  </si>
  <si>
    <t>12543167, 10680594, 27935869</t>
  </si>
  <si>
    <t>29254192, 30651135</t>
  </si>
  <si>
    <t>24816187, 26629063</t>
  </si>
  <si>
    <t>20565782, 25296976</t>
  </si>
  <si>
    <t>29207607, 19583808</t>
  </si>
  <si>
    <t>21103391, 16572426</t>
  </si>
  <si>
    <t>20565782, 21637913</t>
  </si>
  <si>
    <t>28440503, 27276062</t>
  </si>
  <si>
    <t>32024543, 25597412, 30808674</t>
  </si>
  <si>
    <t>27044825, 22010829, 24885116</t>
  </si>
  <si>
    <t>Same as CD40</t>
  </si>
  <si>
    <t xml:space="preserve">18931700, 29331417 </t>
  </si>
  <si>
    <t>25432132, 20930109</t>
  </si>
  <si>
    <t>29581579, 30653577, 15102685</t>
  </si>
  <si>
    <t>21618587, 19190132, 29731893</t>
  </si>
  <si>
    <t xml:space="preserve">25557169, 11585414 </t>
  </si>
  <si>
    <t>29666673, 21477379</t>
  </si>
  <si>
    <t>26698249, 30621723</t>
  </si>
  <si>
    <t>25411854, 28455421</t>
  </si>
  <si>
    <t xml:space="preserve">27314502, 11585414 </t>
  </si>
  <si>
    <t>22289679, 19239430</t>
  </si>
  <si>
    <t>26087191, 29748013</t>
  </si>
  <si>
    <t>23313194, 23167276</t>
  </si>
  <si>
    <t>25737278, 27443740</t>
  </si>
  <si>
    <t>22537224, 30771522</t>
  </si>
  <si>
    <t>18560356, 29950928, 17785555</t>
  </si>
  <si>
    <t>30106121, 29103022, 30410608, 26629248</t>
  </si>
  <si>
    <t>28614291, 32754286</t>
  </si>
  <si>
    <t>23053666, 24482188, 17647191</t>
  </si>
  <si>
    <t>23053666, 23599806, 21508375</t>
  </si>
  <si>
    <t>27825122, 29805518</t>
  </si>
  <si>
    <t xml:space="preserve">17297441, 25485508 </t>
  </si>
  <si>
    <t>24943969, 20497247, 33160989</t>
  </si>
  <si>
    <t>28815582, 29769618, 26087191, 32312965</t>
  </si>
  <si>
    <t>27390605, 29050298</t>
  </si>
  <si>
    <t>30093630, 30069985, 25825983</t>
  </si>
  <si>
    <t>27194715, 25337251</t>
  </si>
  <si>
    <t>29372560, 22005523</t>
  </si>
  <si>
    <t>As in CSF1</t>
  </si>
  <si>
    <t>24973089, 8205352, 27229528</t>
  </si>
  <si>
    <t xml:space="preserve">27384994, 26860078, 25214561 </t>
  </si>
  <si>
    <t>23939375, 31548347</t>
  </si>
  <si>
    <t>28095394, 30562757</t>
  </si>
  <si>
    <t>27922681, 24408020</t>
  </si>
  <si>
    <t>16251482, 12675844, 15239125</t>
  </si>
  <si>
    <t>18800188, 11751417</t>
  </si>
  <si>
    <t>29048400, 15572677</t>
  </si>
  <si>
    <t>20013802, 24574518</t>
  </si>
  <si>
    <t>19446547, 23903781, 26887775</t>
  </si>
  <si>
    <t>26898799, 29856124</t>
  </si>
  <si>
    <t>30221734, 15723655, 19092150</t>
  </si>
  <si>
    <t>26353782, 19303159</t>
  </si>
  <si>
    <t>30166592, 29704517</t>
  </si>
  <si>
    <t>18089824, 26581245</t>
  </si>
  <si>
    <r>
      <rPr>
        <b/>
        <sz val="11"/>
        <color rgb="FF000000"/>
        <rFont val="Calibri"/>
        <family val="2"/>
        <scheme val="minor"/>
      </rPr>
      <t xml:space="preserve">1) MKP3 </t>
    </r>
    <r>
      <rPr>
        <sz val="11"/>
        <color rgb="FF000000"/>
        <rFont val="Calibri"/>
        <family val="2"/>
        <scheme val="minor"/>
      </rPr>
      <t xml:space="preserve">is underexpressed in </t>
    </r>
    <r>
      <rPr>
        <b/>
        <sz val="11"/>
        <color rgb="FF000000"/>
        <rFont val="Calibri"/>
        <family val="2"/>
        <scheme val="minor"/>
      </rPr>
      <t xml:space="preserve">ovarian </t>
    </r>
    <r>
      <rPr>
        <sz val="11"/>
        <color rgb="FF000000"/>
        <rFont val="Calibri"/>
        <family val="2"/>
        <scheme val="minor"/>
      </rPr>
      <t xml:space="preserve">cancer. </t>
    </r>
    <r>
      <rPr>
        <b/>
        <sz val="11"/>
        <color rgb="FF000000"/>
        <rFont val="Calibri"/>
        <family val="2"/>
        <scheme val="minor"/>
      </rPr>
      <t xml:space="preserve">2) </t>
    </r>
    <r>
      <rPr>
        <sz val="11"/>
        <color rgb="FF000000"/>
        <rFont val="Calibri"/>
        <family val="2"/>
        <scheme val="minor"/>
      </rPr>
      <t xml:space="preserve">Both </t>
    </r>
    <r>
      <rPr>
        <b/>
        <sz val="11"/>
        <color rgb="FF000000"/>
        <rFont val="Calibri"/>
        <family val="2"/>
        <scheme val="minor"/>
      </rPr>
      <t>cispaltin</t>
    </r>
    <r>
      <rPr>
        <sz val="11"/>
        <color rgb="FF000000"/>
        <rFont val="Calibri"/>
        <family val="2"/>
        <scheme val="minor"/>
      </rPr>
      <t xml:space="preserve">-resistant A2780cp and C13* cell lines had relatively low expression protein levels of MKP3. </t>
    </r>
    <r>
      <rPr>
        <b/>
        <sz val="11"/>
        <color rgb="FF000000"/>
        <rFont val="Calibri"/>
        <family val="2"/>
        <scheme val="minor"/>
      </rPr>
      <t>3) MKP3</t>
    </r>
    <r>
      <rPr>
        <sz val="11"/>
        <color indexed="8"/>
        <rFont val="Calibri"/>
        <family val="2"/>
        <scheme val="minor"/>
      </rPr>
      <t xml:space="preserve">, a negative regulator of ERK1/2, lost its expression particularly in the protein level, was significantly correlated with high ERK1/2 activity in primary human </t>
    </r>
    <r>
      <rPr>
        <b/>
        <sz val="11"/>
        <color rgb="FF000000"/>
        <rFont val="Calibri"/>
        <family val="2"/>
        <scheme val="minor"/>
      </rPr>
      <t>ovarian</t>
    </r>
    <r>
      <rPr>
        <sz val="11"/>
        <color indexed="8"/>
        <rFont val="Calibri"/>
        <family val="2"/>
        <scheme val="minor"/>
      </rPr>
      <t xml:space="preserve"> cancer cells. </t>
    </r>
    <r>
      <rPr>
        <b/>
        <sz val="11"/>
        <color rgb="FF000000"/>
        <rFont val="Calibri"/>
        <family val="2"/>
        <scheme val="minor"/>
      </rPr>
      <t>4)</t>
    </r>
    <r>
      <rPr>
        <sz val="11"/>
        <color indexed="8"/>
        <rFont val="Calibri"/>
        <family val="2"/>
        <scheme val="minor"/>
      </rPr>
      <t xml:space="preserve"> the loss of </t>
    </r>
    <r>
      <rPr>
        <b/>
        <sz val="11"/>
        <color rgb="FF000000"/>
        <rFont val="Calibri"/>
        <family val="2"/>
        <scheme val="minor"/>
      </rPr>
      <t>MKP3</t>
    </r>
    <r>
      <rPr>
        <sz val="11"/>
        <color indexed="8"/>
        <rFont val="Calibri"/>
        <family val="2"/>
        <scheme val="minor"/>
      </rPr>
      <t xml:space="preserve"> protein was associated with high intracellular ROS accumulation such as hydrogen peroxide. </t>
    </r>
    <r>
      <rPr>
        <b/>
        <sz val="11"/>
        <color rgb="FF000000"/>
        <rFont val="Calibri"/>
        <family val="2"/>
        <scheme val="minor"/>
      </rPr>
      <t xml:space="preserve">5) </t>
    </r>
    <r>
      <rPr>
        <sz val="11"/>
        <color indexed="8"/>
        <rFont val="Calibri"/>
        <family val="2"/>
        <scheme val="minor"/>
      </rPr>
      <t xml:space="preserve">shRNA knock down of </t>
    </r>
    <r>
      <rPr>
        <b/>
        <sz val="11"/>
        <color rgb="FF000000"/>
        <rFont val="Calibri"/>
        <family val="2"/>
        <scheme val="minor"/>
      </rPr>
      <t>MKP3</t>
    </r>
    <r>
      <rPr>
        <sz val="11"/>
        <color indexed="8"/>
        <rFont val="Calibri"/>
        <family val="2"/>
        <scheme val="minor"/>
      </rPr>
      <t xml:space="preserve"> resulted in increased ERK1/2 activity, cell proliferation rate, anchorage-independent growth ability and resistance to </t>
    </r>
    <r>
      <rPr>
        <b/>
        <sz val="11"/>
        <color rgb="FF000000"/>
        <rFont val="Calibri"/>
        <family val="2"/>
        <scheme val="minor"/>
      </rPr>
      <t>cisplatin</t>
    </r>
    <r>
      <rPr>
        <sz val="11"/>
        <color indexed="8"/>
        <rFont val="Calibri"/>
        <family val="2"/>
        <scheme val="minor"/>
      </rPr>
      <t xml:space="preserve"> in ovarian cancer cells. </t>
    </r>
    <r>
      <rPr>
        <b/>
        <sz val="11"/>
        <color rgb="FF000000"/>
        <rFont val="Calibri"/>
        <family val="2"/>
        <scheme val="minor"/>
      </rPr>
      <t xml:space="preserve">6) </t>
    </r>
    <r>
      <rPr>
        <sz val="11"/>
        <color indexed="8"/>
        <rFont val="Calibri"/>
        <family val="2"/>
        <scheme val="minor"/>
      </rPr>
      <t xml:space="preserve">enforced expression of MKP3 in MKP3-deficient ovarian cancer cells significantly reduced ERK1/2 activity and inhibited cell proliferation, anchorage-independent growth ability and tumor development in nude mice. </t>
    </r>
    <r>
      <rPr>
        <b/>
        <sz val="11"/>
        <color rgb="FF000000"/>
        <rFont val="Calibri"/>
        <family val="2"/>
        <scheme val="minor"/>
      </rPr>
      <t>7)</t>
    </r>
    <r>
      <rPr>
        <sz val="11"/>
        <color indexed="8"/>
        <rFont val="Calibri"/>
        <family val="2"/>
        <scheme val="minor"/>
      </rPr>
      <t xml:space="preserve"> the enforced expression of MKP3 succeeded to sensitize ovarian cancer cells to cisplatin-induced apoptosis in vitro and in vivo. </t>
    </r>
  </si>
  <si>
    <t>18225596, 20572159</t>
  </si>
  <si>
    <t>30464262, 30559443</t>
  </si>
  <si>
    <t>17200349, 25139024</t>
  </si>
  <si>
    <t>17200349, 26458859</t>
  </si>
  <si>
    <t>17200349, 15611646</t>
  </si>
  <si>
    <t>17200349, 30032296</t>
  </si>
  <si>
    <t>26351843, 27384994, 11597399</t>
  </si>
  <si>
    <t xml:space="preserve">29039478, 28499449 </t>
  </si>
  <si>
    <t>24080033, 26935993</t>
  </si>
  <si>
    <t>26573761, 26679694, 19267403</t>
  </si>
  <si>
    <t>23147994, 28944897</t>
  </si>
  <si>
    <t>20100569, 11593532</t>
  </si>
  <si>
    <t>28341962, 20210796, 21310163</t>
  </si>
  <si>
    <t>20301390, 21618587, 28574829</t>
  </si>
  <si>
    <t>18803287, 22841590, 30621788</t>
  </si>
  <si>
    <t>28178720, 11280782</t>
  </si>
  <si>
    <t>20944091, 12915808, 25941922</t>
  </si>
  <si>
    <t>25634215, 25634215</t>
  </si>
  <si>
    <t>29247747, 30417012, 12208738</t>
  </si>
  <si>
    <t>27322083, 30248920</t>
  </si>
  <si>
    <t>23192269, 14519635</t>
  </si>
  <si>
    <t>15252143, 29950928,  29974077, 11066046</t>
  </si>
  <si>
    <t>24824601, 24147022</t>
  </si>
  <si>
    <t>20686362, 27610467, 16330673, 30166592, 29630768</t>
  </si>
  <si>
    <t>FANCM−/−FAAP24−/− double mutant exhibited markedly increased sensitivity to cisplatin compared to the single mutants </t>
  </si>
  <si>
    <t>28454268, 28859669</t>
  </si>
  <si>
    <t>28864460, 24486548</t>
  </si>
  <si>
    <t>26385482, 16648566, 22253870</t>
  </si>
  <si>
    <t>26385482, 12692539</t>
  </si>
  <si>
    <t>26385482, 17106252</t>
  </si>
  <si>
    <t>19830698, 19671159</t>
  </si>
  <si>
    <t>26718738, 24880630</t>
  </si>
  <si>
    <t>16098467, 17418408, 19470762, 22534668, 30013182, 31138787</t>
  </si>
  <si>
    <t>27633497, 14734480</t>
  </si>
  <si>
    <t>16061661, 28220783</t>
  </si>
  <si>
    <t>24576622, 24202965, 28664915</t>
  </si>
  <si>
    <t>24814195, 29716743, 20210796, 19160093, 28664915, 26857210</t>
  </si>
  <si>
    <t>25502083, 25895457, 26654944</t>
  </si>
  <si>
    <t>23445611, 28368389</t>
  </si>
  <si>
    <t>8950993, 15837757</t>
  </si>
  <si>
    <r>
      <rPr>
        <b/>
        <sz val="11"/>
        <color rgb="FF333333"/>
        <rFont val="Calibri"/>
        <family val="2"/>
        <scheme val="minor"/>
      </rPr>
      <t xml:space="preserve">1) </t>
    </r>
    <r>
      <rPr>
        <sz val="11"/>
        <color rgb="FF333333"/>
        <rFont val="Calibri"/>
        <family val="2"/>
        <scheme val="minor"/>
      </rPr>
      <t xml:space="preserve">TWIST1 expression resulted in upregulation of GAS6 and L1CAM. </t>
    </r>
    <r>
      <rPr>
        <b/>
        <sz val="11"/>
        <color rgb="FF333333"/>
        <rFont val="Calibri"/>
        <family val="2"/>
        <scheme val="minor"/>
      </rPr>
      <t xml:space="preserve">2) </t>
    </r>
    <r>
      <rPr>
        <sz val="11"/>
        <color rgb="FF333333"/>
        <rFont val="Calibri"/>
        <family val="2"/>
        <scheme val="minor"/>
      </rPr>
      <t xml:space="preserve">Knockdown studies of these genes demonstrated that loss of </t>
    </r>
    <r>
      <rPr>
        <b/>
        <sz val="11"/>
        <color rgb="FF333333"/>
        <rFont val="Calibri"/>
        <family val="2"/>
        <scheme val="minor"/>
      </rPr>
      <t>GAS6</t>
    </r>
    <r>
      <rPr>
        <sz val="11"/>
        <color rgb="FF333333"/>
        <rFont val="Calibri"/>
        <family val="2"/>
        <scheme val="minor"/>
      </rPr>
      <t xml:space="preserve"> or L1CAM sensitized cells to </t>
    </r>
    <r>
      <rPr>
        <b/>
        <sz val="11"/>
        <color rgb="FF333333"/>
        <rFont val="Calibri"/>
        <family val="2"/>
        <scheme val="minor"/>
      </rPr>
      <t>cisplatin</t>
    </r>
    <r>
      <rPr>
        <sz val="11"/>
        <color rgb="FF333333"/>
        <rFont val="Calibri"/>
        <family val="2"/>
        <scheme val="minor"/>
      </rPr>
      <t xml:space="preserve">. </t>
    </r>
    <r>
      <rPr>
        <b/>
        <sz val="11"/>
        <color rgb="FF333333"/>
        <rFont val="Calibri"/>
        <family val="2"/>
        <scheme val="minor"/>
      </rPr>
      <t>3)</t>
    </r>
    <r>
      <rPr>
        <sz val="11"/>
        <color rgb="FF333333"/>
        <rFont val="Calibri"/>
        <family val="2"/>
        <scheme val="minor"/>
      </rPr>
      <t xml:space="preserve"> a new lncRNA </t>
    </r>
    <r>
      <rPr>
        <b/>
        <sz val="11"/>
        <color rgb="FF333333"/>
        <rFont val="Calibri"/>
        <family val="2"/>
        <scheme val="minor"/>
      </rPr>
      <t>GAS6</t>
    </r>
    <r>
      <rPr>
        <sz val="11"/>
        <color rgb="FF333333"/>
        <rFont val="Calibri"/>
        <family val="2"/>
        <scheme val="minor"/>
      </rPr>
      <t xml:space="preserve">-AS1 (GAS6 antisense RNA 1), whose expression was downregulated in tumor tissues in 50 patients with non-small cell </t>
    </r>
    <r>
      <rPr>
        <b/>
        <sz val="11"/>
        <color rgb="FF333333"/>
        <rFont val="Calibri"/>
        <family val="2"/>
        <scheme val="minor"/>
      </rPr>
      <t>lung</t>
    </r>
    <r>
      <rPr>
        <sz val="11"/>
        <color rgb="FF333333"/>
        <rFont val="Calibri"/>
        <family val="2"/>
        <scheme val="minor"/>
      </rPr>
      <t xml:space="preserve"> cancer (NSCLC) (P &lt; 0.001). </t>
    </r>
    <r>
      <rPr>
        <b/>
        <sz val="11"/>
        <color rgb="FF333333"/>
        <rFont val="Calibri"/>
        <family val="2"/>
        <scheme val="minor"/>
      </rPr>
      <t xml:space="preserve">4) </t>
    </r>
    <r>
      <rPr>
        <sz val="11"/>
        <color rgb="FF333333"/>
        <rFont val="Calibri"/>
        <family val="2"/>
        <scheme val="minor"/>
      </rPr>
      <t>decreased GAS6-AS1 expression was negatively correlated with lymph node metastasis (P = 0.032) and advanced tumor node metastasis stage (P = 0.003).</t>
    </r>
    <r>
      <rPr>
        <b/>
        <sz val="11"/>
        <color rgb="FF333333"/>
        <rFont val="Calibri"/>
        <family val="2"/>
        <scheme val="minor"/>
      </rPr>
      <t xml:space="preserve"> 5) </t>
    </r>
    <r>
      <rPr>
        <sz val="11"/>
        <color rgb="FF333333"/>
        <rFont val="Calibri"/>
        <family val="2"/>
        <scheme val="minor"/>
      </rPr>
      <t xml:space="preserve">GAS6-AS1 expression served as an independent predictor for overall survival (P = 0.036). </t>
    </r>
    <r>
      <rPr>
        <b/>
        <sz val="11"/>
        <color rgb="FF333333"/>
        <rFont val="Calibri"/>
        <family val="2"/>
        <scheme val="minor"/>
      </rPr>
      <t xml:space="preserve">6) </t>
    </r>
    <r>
      <rPr>
        <sz val="11"/>
        <color rgb="FF333333"/>
        <rFont val="Calibri"/>
        <family val="2"/>
        <scheme val="minor"/>
      </rPr>
      <t xml:space="preserve">GAS6-AS1 level was inversely correlated with GAS6 (growth-arrest-specific gene6) mRNA level (Pearson’s correlation −0.620). </t>
    </r>
  </si>
  <si>
    <t>7488097, 29474642, 27133165</t>
  </si>
  <si>
    <t>14532974, 26356271, 16012725</t>
  </si>
  <si>
    <t>29580231, 25490861, 26018318</t>
  </si>
  <si>
    <t xml:space="preserve">27754745, 25575823, 30040982 </t>
  </si>
  <si>
    <t>12123741, 24664430</t>
  </si>
  <si>
    <t>17072341, 30279363, 19056535, 29495625</t>
  </si>
  <si>
    <t>24366538, 29552194, 23423781</t>
  </si>
  <si>
    <t>31697978, 22142828</t>
  </si>
  <si>
    <t>30015866, 24458516</t>
  </si>
  <si>
    <t>22017790, 27918237</t>
  </si>
  <si>
    <t>17003113, 29968778</t>
  </si>
  <si>
    <t>22792399, 30364292</t>
  </si>
  <si>
    <t>23330092, 29845423</t>
  </si>
  <si>
    <t>22609777, 25115341, 30285805</t>
  </si>
  <si>
    <t>24475290, 29456726, 29561664, 30071534</t>
  </si>
  <si>
    <t>14996735, 25351134</t>
  </si>
  <si>
    <t>18395248, 24846322</t>
  </si>
  <si>
    <t xml:space="preserve">26397184, 29844838 </t>
  </si>
  <si>
    <t>16678019, 28808929</t>
  </si>
  <si>
    <t>24968817, 25952785</t>
  </si>
  <si>
    <t>29402501, 27186281</t>
  </si>
  <si>
    <t>32528060, 31467087</t>
  </si>
  <si>
    <t>27194715, 30131848</t>
  </si>
  <si>
    <t>24756776, 29650944</t>
  </si>
  <si>
    <t>23832872, 18271937</t>
  </si>
  <si>
    <t>19318572, 24727326</t>
  </si>
  <si>
    <t>28685895, 29660014</t>
  </si>
  <si>
    <t>8938138, 17096856</t>
  </si>
  <si>
    <t>23079474,  24995581, 31078735</t>
  </si>
  <si>
    <t>28328815, 30930993</t>
  </si>
  <si>
    <t>27589736, 19158362</t>
  </si>
  <si>
    <t>27294003, 29100351</t>
  </si>
  <si>
    <t>28721072, 24782986, 24764577</t>
  </si>
  <si>
    <t>11916245, 28358415</t>
  </si>
  <si>
    <t>As JUN</t>
  </si>
  <si>
    <t>20530585, 20491776</t>
  </si>
  <si>
    <t>28634400, 26915295, 18458078</t>
  </si>
  <si>
    <t>28383032, 16697074</t>
  </si>
  <si>
    <t>27296948, 28108288</t>
  </si>
  <si>
    <t>24434152, 26125866</t>
  </si>
  <si>
    <t>23449973,  22699783</t>
  </si>
  <si>
    <t>26495758, 28147318</t>
  </si>
  <si>
    <t>23449973, 29100303</t>
  </si>
  <si>
    <t>27876874, 29152102, 21097529, 22088438</t>
  </si>
  <si>
    <t>29168038, 22909338</t>
  </si>
  <si>
    <t>24533712, 17643379, 19053130</t>
  </si>
  <si>
    <t>20487264, 24722796, 26134445</t>
  </si>
  <si>
    <t>26530471, 30015914</t>
  </si>
  <si>
    <t>26597704, 29898809</t>
  </si>
  <si>
    <t>10631324, 12565863</t>
  </si>
  <si>
    <t>26681060, 30515418</t>
  </si>
  <si>
    <t>15897565, 28545541</t>
  </si>
  <si>
    <t>9926932, 17406030</t>
  </si>
  <si>
    <t>9926932, 28446401</t>
  </si>
  <si>
    <t>21996734, 22584435, 20651982</t>
  </si>
  <si>
    <t>21996734, 20651982</t>
  </si>
  <si>
    <t>19634140, 12036450, 16361547</t>
  </si>
  <si>
    <t>27646943, 26876197, 15790436</t>
  </si>
  <si>
    <t>27646943, 26876197, 22937789</t>
  </si>
  <si>
    <t>19830698, 19671159, 28214016</t>
  </si>
  <si>
    <t>27384994, 9215689, 22820099</t>
  </si>
  <si>
    <t>23880825, 24997554</t>
  </si>
  <si>
    <t>19784067, 23921446</t>
  </si>
  <si>
    <t>30665945, 30108106</t>
  </si>
  <si>
    <t>19874802, 27384994, 31157304</t>
  </si>
  <si>
    <t>23056490, 18211683, 23340649, 24408020</t>
  </si>
  <si>
    <t>27798884, 24215868</t>
  </si>
  <si>
    <t>21696631, 15947132, 26519826</t>
  </si>
  <si>
    <t xml:space="preserve">27578576, 25966119, 30038702, 10470370, 21285347 </t>
  </si>
  <si>
    <t>19286655, 26519826, 29063235</t>
  </si>
  <si>
    <t>22372608, 25684730</t>
  </si>
  <si>
    <t>14998492, 12578901</t>
  </si>
  <si>
    <t>19747716, 29552305</t>
  </si>
  <si>
    <t>26984395,  21136676, 25733373</t>
  </si>
  <si>
    <t>27255997, 28291626</t>
  </si>
  <si>
    <t xml:space="preserve">26336131, 23677513, 31578574 </t>
  </si>
  <si>
    <t>18176604, 24977712, 25308861</t>
  </si>
  <si>
    <t>19305429, 21743489, 17130457</t>
  </si>
  <si>
    <t>21342274, 27884977, 27105520, 32710593</t>
  </si>
  <si>
    <t>26130719, 21909941</t>
  </si>
  <si>
    <t>23633453, 28569775</t>
  </si>
  <si>
    <t>24969318, 26501353</t>
  </si>
  <si>
    <t>29203787, 30543142</t>
  </si>
  <si>
    <t>28112439, 24837013</t>
  </si>
  <si>
    <t>18667446, 29813121</t>
  </si>
  <si>
    <t>24554706, 16260623</t>
  </si>
  <si>
    <t>mutp53 (e.g. R175H) induces NFKB2 expression to activate prosurvival NFκB signaling. The gene NF-κB2 is a prominent member of NF-kB group, whose overexpression in H1299 cells also leads to chemoresistance. </t>
  </si>
  <si>
    <t>18506185, 30675218, 29517684, 31153640</t>
  </si>
  <si>
    <t>18506185, 29512753</t>
  </si>
  <si>
    <t xml:space="preserve">25179844, 27626163 </t>
  </si>
  <si>
    <t xml:space="preserve">29865885, 23831944, 24533712 </t>
  </si>
  <si>
    <t>10604725, 29495918, 2113532</t>
  </si>
  <si>
    <t>31235595, 32038994</t>
  </si>
  <si>
    <t>As NTS</t>
  </si>
  <si>
    <t>21364678, 25015419</t>
  </si>
  <si>
    <t>26364260, 29207176</t>
  </si>
  <si>
    <t>27713506, 28535002, 10531298</t>
  </si>
  <si>
    <t>25560489, 23877225, 29391894</t>
  </si>
  <si>
    <t>30472259, 29872499</t>
  </si>
  <si>
    <t xml:space="preserve">27170529, 22526154, 21747690 </t>
  </si>
  <si>
    <t xml:space="preserve">28281524, 28650468 </t>
  </si>
  <si>
    <t>PARP knockdown sensitizes cells to gemcitabine and cisplatin</t>
  </si>
  <si>
    <t>16609680, 18439754</t>
  </si>
  <si>
    <t>25253786, 24474685, 29721165, 9790789</t>
  </si>
  <si>
    <t>29207176, 26364260, 24478030</t>
  </si>
  <si>
    <t>22854025, 23287530</t>
  </si>
  <si>
    <t>Silencing of CHMP2B and PDZK1 in both A2780-DR and HO-8910 cells led to decreased cellular cisplatin accumulation</t>
  </si>
  <si>
    <t>32102425, 30569123, 23481023</t>
  </si>
  <si>
    <t>29410405, 30226266</t>
  </si>
  <si>
    <t>19797399, 28197632</t>
  </si>
  <si>
    <t>20957754, 18183577, 28562344, 25112877</t>
  </si>
  <si>
    <t>15790433, 16275998, 19701705, 23266353, 27489350</t>
  </si>
  <si>
    <r>
      <rPr>
        <b/>
        <sz val="11"/>
        <color rgb="FF333333"/>
        <rFont val="Calibri"/>
        <family val="2"/>
        <scheme val="minor"/>
      </rPr>
      <t>1) OVC</t>
    </r>
    <r>
      <rPr>
        <sz val="11"/>
        <color rgb="FF333333"/>
        <rFont val="Calibri"/>
        <family val="2"/>
        <scheme val="minor"/>
      </rPr>
      <t xml:space="preserve">AR-3/CDDP cells were 4.8-fold more resistant to cisplatin compared to OVCAR-3 cells following 72 h exposure to this drug. </t>
    </r>
    <r>
      <rPr>
        <b/>
        <sz val="11"/>
        <color rgb="FF333333"/>
        <rFont val="Calibri"/>
        <family val="2"/>
        <scheme val="minor"/>
      </rPr>
      <t>2)</t>
    </r>
    <r>
      <rPr>
        <sz val="11"/>
        <color rgb="FF333333"/>
        <rFont val="Calibri"/>
        <family val="2"/>
        <scheme val="minor"/>
      </rPr>
      <t xml:space="preserve"> </t>
    </r>
    <r>
      <rPr>
        <b/>
        <sz val="11"/>
        <color rgb="FF333333"/>
        <rFont val="Calibri"/>
        <family val="2"/>
        <scheme val="minor"/>
      </rPr>
      <t>Cisplatin</t>
    </r>
    <r>
      <rPr>
        <sz val="11"/>
        <color rgb="FF333333"/>
        <rFont val="Calibri"/>
        <family val="2"/>
        <scheme val="minor"/>
      </rPr>
      <t xml:space="preserve"> inhibited Akt phosphorylation and activation in OVCAR-3 cells but not in OVCAR-3/CDDP cells. </t>
    </r>
    <r>
      <rPr>
        <b/>
        <sz val="11"/>
        <color rgb="FF333333"/>
        <rFont val="Calibri"/>
        <family val="2"/>
        <scheme val="minor"/>
      </rPr>
      <t xml:space="preserve">3) </t>
    </r>
    <r>
      <rPr>
        <sz val="11"/>
        <color rgb="FF333333"/>
        <rFont val="Calibri"/>
        <family val="2"/>
        <scheme val="minor"/>
      </rPr>
      <t xml:space="preserve">The specific </t>
    </r>
    <r>
      <rPr>
        <b/>
        <sz val="11"/>
        <color rgb="FF333333"/>
        <rFont val="Calibri"/>
        <family val="2"/>
        <scheme val="minor"/>
      </rPr>
      <t>PI3K</t>
    </r>
    <r>
      <rPr>
        <sz val="11"/>
        <color rgb="FF333333"/>
        <rFont val="Calibri"/>
        <family val="2"/>
        <scheme val="minor"/>
      </rPr>
      <t xml:space="preserve"> inhibitors LY294002 and wortmannin sensitized OVCAR-3/CDDP cells to cisplatin-induced apoptosis and decreased cell viability. </t>
    </r>
    <r>
      <rPr>
        <b/>
        <sz val="11"/>
        <color rgb="FF333333"/>
        <rFont val="Calibri"/>
        <family val="2"/>
        <scheme val="minor"/>
      </rPr>
      <t xml:space="preserve">4) </t>
    </r>
    <r>
      <rPr>
        <sz val="11"/>
        <color rgb="FF333333"/>
        <rFont val="Calibri"/>
        <family val="2"/>
        <scheme val="minor"/>
      </rPr>
      <t xml:space="preserve">A low level of PTEN expression was strongly associated with amplified </t>
    </r>
    <r>
      <rPr>
        <b/>
        <sz val="11"/>
        <color rgb="FF333333"/>
        <rFont val="Calibri"/>
        <family val="2"/>
        <scheme val="minor"/>
      </rPr>
      <t>PIK3CA</t>
    </r>
    <r>
      <rPr>
        <sz val="11"/>
        <color rgb="FF333333"/>
        <rFont val="Calibri"/>
        <family val="2"/>
        <scheme val="minor"/>
      </rPr>
      <t xml:space="preserve"> and PI3K/Akt activities in OVCAR-3/CDDP cells. </t>
    </r>
    <r>
      <rPr>
        <b/>
        <sz val="11"/>
        <color rgb="FF333333"/>
        <rFont val="Calibri"/>
        <family val="2"/>
        <scheme val="minor"/>
      </rPr>
      <t xml:space="preserve">5) </t>
    </r>
    <r>
      <rPr>
        <sz val="11"/>
        <color rgb="FF333333"/>
        <rFont val="Calibri"/>
        <family val="2"/>
        <scheme val="minor"/>
      </rPr>
      <t xml:space="preserve">siRNA knockdown of PTEN and the expression of active p110alpha resulted in a blockade of apoptosis by cisplatin in OVCAR-3 cells. </t>
    </r>
    <r>
      <rPr>
        <b/>
        <sz val="11"/>
        <color rgb="FF333333"/>
        <rFont val="Calibri"/>
        <family val="2"/>
        <scheme val="minor"/>
      </rPr>
      <t xml:space="preserve">6) </t>
    </r>
    <r>
      <rPr>
        <sz val="11"/>
        <color rgb="FF333333"/>
        <rFont val="Calibri"/>
        <family val="2"/>
        <scheme val="minor"/>
      </rPr>
      <t xml:space="preserve">LY294002 in combination with carboplatin was more effective in inhibiting ovarian cancer cell xenograft growth than either agent alone. </t>
    </r>
    <r>
      <rPr>
        <b/>
        <sz val="11"/>
        <color rgb="FF333333"/>
        <rFont val="Calibri"/>
        <family val="2"/>
        <scheme val="minor"/>
      </rPr>
      <t>7)</t>
    </r>
    <r>
      <rPr>
        <sz val="11"/>
        <color rgb="FF333333"/>
        <rFont val="Calibri"/>
        <family val="2"/>
        <scheme val="minor"/>
      </rPr>
      <t xml:space="preserve"> PIK3CA protein expression was assessed in a well-characterized series of early stage </t>
    </r>
    <r>
      <rPr>
        <b/>
        <sz val="11"/>
        <color rgb="FF333333"/>
        <rFont val="Calibri"/>
        <family val="2"/>
        <scheme val="minor"/>
      </rPr>
      <t>BC</t>
    </r>
    <r>
      <rPr>
        <sz val="11"/>
        <color rgb="FF333333"/>
        <rFont val="Calibri"/>
        <family val="2"/>
        <scheme val="minor"/>
      </rPr>
      <t xml:space="preserve"> (n = 1,394) with long-term follow-up, using tissue microarrays and immunohistochemistry. </t>
    </r>
    <r>
      <rPr>
        <b/>
        <sz val="11"/>
        <color rgb="FF333333"/>
        <rFont val="Calibri"/>
        <family val="2"/>
        <scheme val="minor"/>
      </rPr>
      <t xml:space="preserve">8) </t>
    </r>
    <r>
      <rPr>
        <sz val="11"/>
        <color rgb="FF333333"/>
        <rFont val="Calibri"/>
        <family val="2"/>
        <scheme val="minor"/>
      </rPr>
      <t xml:space="preserve">Patients with PIK3CA positive tumors had shorter BC specific and disease free survival, independent of other prognostic factors except grade. </t>
    </r>
    <r>
      <rPr>
        <b/>
        <sz val="11"/>
        <color rgb="FF333333"/>
        <rFont val="Calibri"/>
        <family val="2"/>
        <scheme val="minor"/>
      </rPr>
      <t>9) PIK3CA</t>
    </r>
    <r>
      <rPr>
        <sz val="11"/>
        <color rgb="FF333333"/>
        <rFont val="Calibri"/>
        <family val="2"/>
        <scheme val="minor"/>
      </rPr>
      <t xml:space="preserve"> mutation in patients with early stage (IB/II) </t>
    </r>
    <r>
      <rPr>
        <b/>
        <sz val="11"/>
        <color rgb="FF333333"/>
        <rFont val="Calibri"/>
        <family val="2"/>
        <scheme val="minor"/>
      </rPr>
      <t>cervical</t>
    </r>
    <r>
      <rPr>
        <sz val="11"/>
        <color rgb="FF333333"/>
        <rFont val="Calibri"/>
        <family val="2"/>
        <scheme val="minor"/>
      </rPr>
      <t xml:space="preserve"> cancer was associated with poor survival after treatment with radiation and </t>
    </r>
    <r>
      <rPr>
        <b/>
        <sz val="11"/>
        <color rgb="FF333333"/>
        <rFont val="Calibri"/>
        <family val="2"/>
        <scheme val="minor"/>
      </rPr>
      <t>cisplatin</t>
    </r>
    <r>
      <rPr>
        <sz val="11"/>
        <color rgb="FF333333"/>
        <rFont val="Calibri"/>
        <family val="2"/>
        <scheme val="minor"/>
      </rPr>
      <t xml:space="preserve">, </t>
    </r>
    <r>
      <rPr>
        <b/>
        <sz val="11"/>
        <color rgb="FF333333"/>
        <rFont val="Calibri"/>
        <family val="2"/>
        <scheme val="minor"/>
      </rPr>
      <t xml:space="preserve">10) </t>
    </r>
    <r>
      <rPr>
        <sz val="11"/>
        <color rgb="FF333333"/>
        <rFont val="Calibri"/>
        <family val="2"/>
        <scheme val="minor"/>
      </rPr>
      <t xml:space="preserve">PIK3CA-E545K (activating) mutation renders cervical cancer cells more resistant to </t>
    </r>
    <r>
      <rPr>
        <b/>
        <sz val="11"/>
        <color rgb="FF333333"/>
        <rFont val="Calibri"/>
        <family val="2"/>
        <scheme val="minor"/>
      </rPr>
      <t>cisplatin</t>
    </r>
    <r>
      <rPr>
        <sz val="11"/>
        <color rgb="FF333333"/>
        <rFont val="Calibri"/>
        <family val="2"/>
        <scheme val="minor"/>
      </rPr>
      <t xml:space="preserve">. </t>
    </r>
    <r>
      <rPr>
        <b/>
        <sz val="11"/>
        <color rgb="FF333333"/>
        <rFont val="Calibri"/>
        <family val="2"/>
        <scheme val="minor"/>
      </rPr>
      <t>11)</t>
    </r>
    <r>
      <rPr>
        <sz val="11"/>
        <color rgb="FF333333"/>
        <rFont val="Calibri"/>
        <family val="2"/>
        <scheme val="minor"/>
      </rPr>
      <t xml:space="preserve"> these phenotypes were reversed by the PI3K inhibitor GDC-0941. </t>
    </r>
  </si>
  <si>
    <t>29327155, 21571862</t>
  </si>
  <si>
    <t>As PI3KR1</t>
  </si>
  <si>
    <t xml:space="preserve">25342548, 30349298 </t>
  </si>
  <si>
    <t xml:space="preserve">30385753, 28259921 </t>
  </si>
  <si>
    <t>21310163, 22110608</t>
  </si>
  <si>
    <t>19258036, 19276398</t>
  </si>
  <si>
    <r>
      <rPr>
        <b/>
        <sz val="11"/>
        <color rgb="FF333333"/>
        <rFont val="Calibri"/>
        <family val="2"/>
        <scheme val="minor"/>
      </rPr>
      <t>1)</t>
    </r>
    <r>
      <rPr>
        <sz val="11"/>
        <color rgb="FF333333"/>
        <rFont val="Calibri"/>
        <family val="2"/>
        <scheme val="minor"/>
      </rPr>
      <t xml:space="preserve"> </t>
    </r>
    <r>
      <rPr>
        <b/>
        <sz val="11"/>
        <color rgb="FF333333"/>
        <rFont val="Calibri"/>
        <family val="2"/>
        <scheme val="minor"/>
      </rPr>
      <t>Cisplatin</t>
    </r>
    <r>
      <rPr>
        <sz val="11"/>
        <color rgb="FF333333"/>
        <rFont val="Calibri"/>
        <family val="2"/>
        <scheme val="minor"/>
      </rPr>
      <t xml:space="preserve">-stimulated </t>
    </r>
    <r>
      <rPr>
        <b/>
        <sz val="11"/>
        <color rgb="FF333333"/>
        <rFont val="Calibri"/>
        <family val="2"/>
        <scheme val="minor"/>
      </rPr>
      <t>plaa</t>
    </r>
    <r>
      <rPr>
        <sz val="11"/>
        <color rgb="FF333333"/>
        <rFont val="Calibri"/>
        <family val="2"/>
        <scheme val="minor"/>
      </rPr>
      <t xml:space="preserve">(high) cells contained significantly higher levels of DNA fragmentation, caspase 3, 8 and 9 activities, PLA(2) enzyme activity, and cytochrome c leakage from mitochondria than did the cisplatin-stimulated plaa(low) cells. </t>
    </r>
    <r>
      <rPr>
        <b/>
        <sz val="11"/>
        <color rgb="FF333333"/>
        <rFont val="Calibri"/>
        <family val="2"/>
        <scheme val="minor"/>
      </rPr>
      <t>2)</t>
    </r>
    <r>
      <rPr>
        <sz val="11"/>
        <color rgb="FF333333"/>
        <rFont val="Calibri"/>
        <family val="2"/>
        <scheme val="minor"/>
      </rPr>
      <t xml:space="preserve"> siRNA against PLAA (siRNA-PLAA) reduced the levels of cisplatin-induced PLAA, DNA fragmentation, and PLA(2) activation, while promoting cell viability in both plaa(high) and plaa(low) cells. </t>
    </r>
    <r>
      <rPr>
        <b/>
        <sz val="11"/>
        <color rgb="FF333333"/>
        <rFont val="Calibri"/>
        <family val="2"/>
        <scheme val="minor"/>
      </rPr>
      <t>3)</t>
    </r>
    <r>
      <rPr>
        <sz val="11"/>
        <color rgb="FF333333"/>
        <rFont val="Calibri"/>
        <family val="2"/>
        <scheme val="minor"/>
      </rPr>
      <t xml:space="preserve"> Of 116 colorectal cancer (CRC) patients with PLA2-negative tumors living significantly longer (P = 0.025).</t>
    </r>
  </si>
  <si>
    <t>27748936, 29663364, 30876762, 30488440</t>
  </si>
  <si>
    <t>22289679, 32349184, 21402713</t>
  </si>
  <si>
    <t>25143433, 23302226, 22509021</t>
  </si>
  <si>
    <t>23921446, 26066081</t>
  </si>
  <si>
    <t>9398618, 28744813, 30244973</t>
  </si>
  <si>
    <t>26423401, 21528244, 12601175</t>
  </si>
  <si>
    <t>26336131, 19364127</t>
  </si>
  <si>
    <t>1) SiRNAs targeting pnkp significantly sensitized Gliomas cells to cDDP. 2) Photoaffinity labeling reveals nuclear proteins (including PNK) that uniquely recognize cisplatin-DNA interstrand cross-links.</t>
  </si>
  <si>
    <t>28074003, 21357694, 25561897</t>
  </si>
  <si>
    <t xml:space="preserve">30214636, 30344713, 30388038 </t>
  </si>
  <si>
    <r>
      <rPr>
        <b/>
        <sz val="11"/>
        <color rgb="FF333333"/>
        <rFont val="Calibri"/>
        <family val="2"/>
        <scheme val="minor"/>
      </rPr>
      <t xml:space="preserve">1) </t>
    </r>
    <r>
      <rPr>
        <sz val="11"/>
        <color rgb="FF333333"/>
        <rFont val="Calibri"/>
        <family val="2"/>
        <scheme val="minor"/>
      </rPr>
      <t xml:space="preserve">protein expression levels of </t>
    </r>
    <r>
      <rPr>
        <b/>
        <sz val="11"/>
        <color rgb="FF333333"/>
        <rFont val="Calibri"/>
        <family val="2"/>
        <scheme val="minor"/>
      </rPr>
      <t>POLD1</t>
    </r>
    <r>
      <rPr>
        <sz val="11"/>
        <color rgb="FF333333"/>
        <rFont val="Calibri"/>
        <family val="2"/>
        <scheme val="minor"/>
      </rPr>
      <t xml:space="preserve"> were significantly elevated in </t>
    </r>
    <r>
      <rPr>
        <b/>
        <sz val="11"/>
        <color rgb="FF333333"/>
        <rFont val="Calibri"/>
        <family val="2"/>
        <scheme val="minor"/>
      </rPr>
      <t>breast</t>
    </r>
    <r>
      <rPr>
        <sz val="11"/>
        <color rgb="FF333333"/>
        <rFont val="Calibri"/>
        <family val="2"/>
        <scheme val="minor"/>
      </rPr>
      <t xml:space="preserve"> cancer tissues compared with those in adjacent normal tissues. </t>
    </r>
    <r>
      <rPr>
        <b/>
        <sz val="11"/>
        <color rgb="FF333333"/>
        <rFont val="Calibri"/>
        <family val="2"/>
        <scheme val="minor"/>
      </rPr>
      <t xml:space="preserve">2) </t>
    </r>
    <r>
      <rPr>
        <sz val="11"/>
        <color rgb="FF333333"/>
        <rFont val="Calibri"/>
        <family val="2"/>
        <scheme val="minor"/>
      </rPr>
      <t xml:space="preserve">Increased expression of POLD1 was associated with poor DFS (P=0.033); with shorter DFS at early-stage (P=0.037), late-stage cases (P=0.023) and with the presence of triple-negative tumors (TNBC; P=0.049). </t>
    </r>
    <r>
      <rPr>
        <b/>
        <sz val="11"/>
        <color rgb="FF333333"/>
        <rFont val="Calibri"/>
        <family val="2"/>
        <scheme val="minor"/>
      </rPr>
      <t xml:space="preserve">3) </t>
    </r>
    <r>
      <rPr>
        <sz val="11"/>
        <color rgb="FF333333"/>
        <rFont val="Calibri"/>
        <family val="2"/>
        <scheme val="minor"/>
      </rPr>
      <t>Multivariate analysis revealed that POLD1 may be used as an independent prognostic factor in patients with breast cancer. </t>
    </r>
    <r>
      <rPr>
        <b/>
        <sz val="11"/>
        <color rgb="FF333333"/>
        <rFont val="Calibri"/>
        <family val="2"/>
        <scheme val="minor"/>
      </rPr>
      <t xml:space="preserve">4) </t>
    </r>
    <r>
      <rPr>
        <sz val="11"/>
        <color rgb="FF333333"/>
        <rFont val="Calibri"/>
        <family val="2"/>
        <scheme val="minor"/>
      </rPr>
      <t xml:space="preserve">POLD1 expression increased 1.54-fold in </t>
    </r>
    <r>
      <rPr>
        <b/>
        <sz val="11"/>
        <color rgb="FF333333"/>
        <rFont val="Calibri"/>
        <family val="2"/>
        <scheme val="minor"/>
      </rPr>
      <t>cisplatin</t>
    </r>
    <r>
      <rPr>
        <sz val="11"/>
        <color rgb="FF333333"/>
        <rFont val="Calibri"/>
        <family val="2"/>
        <scheme val="minor"/>
      </rPr>
      <t xml:space="preserve">-resistant T24R </t>
    </r>
    <r>
      <rPr>
        <b/>
        <sz val="11"/>
        <color rgb="FF333333"/>
        <rFont val="Calibri"/>
        <family val="2"/>
        <scheme val="minor"/>
      </rPr>
      <t>BC</t>
    </r>
    <r>
      <rPr>
        <sz val="11"/>
        <color rgb="FF333333"/>
        <rFont val="Calibri"/>
        <family val="2"/>
        <scheme val="minor"/>
      </rPr>
      <t xml:space="preserve"> cells. </t>
    </r>
    <r>
      <rPr>
        <b/>
        <sz val="11"/>
        <color rgb="FF333333"/>
        <rFont val="Calibri"/>
        <family val="2"/>
        <scheme val="minor"/>
      </rPr>
      <t xml:space="preserve">5) </t>
    </r>
    <r>
      <rPr>
        <sz val="11"/>
        <color rgb="FF333333"/>
        <rFont val="Calibri"/>
        <family val="2"/>
        <scheme val="minor"/>
      </rPr>
      <t xml:space="preserve">MDPL has been associated with heterozygous mutations in POLD1 gene resulting in loss of DNA polymerase δ activity. </t>
    </r>
    <r>
      <rPr>
        <b/>
        <sz val="11"/>
        <color rgb="FF333333"/>
        <rFont val="Calibri"/>
        <family val="2"/>
        <scheme val="minor"/>
      </rPr>
      <t>6)</t>
    </r>
    <r>
      <rPr>
        <sz val="11"/>
        <color rgb="FF333333"/>
        <rFont val="Calibri"/>
        <family val="2"/>
        <scheme val="minor"/>
      </rPr>
      <t xml:space="preserve"> A persistence of DNA damage after </t>
    </r>
    <r>
      <rPr>
        <b/>
        <sz val="11"/>
        <color rgb="FF333333"/>
        <rFont val="Calibri"/>
        <family val="2"/>
        <scheme val="minor"/>
      </rPr>
      <t>cisplatin</t>
    </r>
    <r>
      <rPr>
        <sz val="11"/>
        <color rgb="FF333333"/>
        <rFont val="Calibri"/>
        <family val="2"/>
        <scheme val="minor"/>
      </rPr>
      <t xml:space="preserve"> exposure in MDPL patients. </t>
    </r>
  </si>
  <si>
    <t>30038717, 24449906</t>
  </si>
  <si>
    <t>25190177, 27806724</t>
  </si>
  <si>
    <r>
      <rPr>
        <b/>
        <sz val="11"/>
        <color rgb="FF333333"/>
        <rFont val="Calibri"/>
        <family val="2"/>
        <scheme val="minor"/>
      </rPr>
      <t>1)</t>
    </r>
    <r>
      <rPr>
        <sz val="11"/>
        <color rgb="FF333333"/>
        <rFont val="Calibri"/>
        <family val="2"/>
        <scheme val="minor"/>
      </rPr>
      <t xml:space="preserve"> Endogenous expression of the peptide resulted in an increase in genomic DNA damage. </t>
    </r>
    <r>
      <rPr>
        <b/>
        <sz val="11"/>
        <color rgb="FF333333"/>
        <rFont val="Calibri"/>
        <family val="2"/>
        <scheme val="minor"/>
      </rPr>
      <t>2)</t>
    </r>
    <r>
      <rPr>
        <sz val="11"/>
        <color rgb="FF333333"/>
        <rFont val="Calibri"/>
        <family val="2"/>
        <scheme val="minor"/>
      </rPr>
      <t xml:space="preserve"> CaPeptide induction combined with treatment of sublethal doses of </t>
    </r>
    <r>
      <rPr>
        <b/>
        <sz val="11"/>
        <color rgb="FF333333"/>
        <rFont val="Calibri"/>
        <family val="2"/>
        <scheme val="minor"/>
      </rPr>
      <t>cisplatin</t>
    </r>
    <r>
      <rPr>
        <sz val="11"/>
        <color rgb="FF333333"/>
        <rFont val="Calibri"/>
        <family val="2"/>
        <scheme val="minor"/>
      </rPr>
      <t xml:space="preserve"> resulted in a marked increase in death of the cisplatin-resistant MDA-MB-231 cell line. </t>
    </r>
    <r>
      <rPr>
        <b/>
        <sz val="11"/>
        <color rgb="FF333333"/>
        <rFont val="Calibri"/>
        <family val="2"/>
        <scheme val="minor"/>
      </rPr>
      <t xml:space="preserve">3) </t>
    </r>
    <r>
      <rPr>
        <sz val="11"/>
        <color rgb="FF333333"/>
        <rFont val="Calibri"/>
        <family val="2"/>
        <scheme val="minor"/>
      </rPr>
      <t xml:space="preserve">CaPeptide was found to interact with </t>
    </r>
    <r>
      <rPr>
        <b/>
        <sz val="11"/>
        <color rgb="FF333333"/>
        <rFont val="Calibri"/>
        <family val="2"/>
        <scheme val="minor"/>
      </rPr>
      <t>POLD3</t>
    </r>
    <r>
      <rPr>
        <sz val="11"/>
        <color rgb="FF333333"/>
        <rFont val="Calibri"/>
        <family val="2"/>
        <scheme val="minor"/>
      </rPr>
      <t xml:space="preserve">, one of the subunits of DNA polymerase delta necessary for binding to PCNA. </t>
    </r>
    <r>
      <rPr>
        <b/>
        <sz val="11"/>
        <color rgb="FF333333"/>
        <rFont val="Calibri"/>
        <family val="2"/>
        <scheme val="minor"/>
      </rPr>
      <t xml:space="preserve">4) </t>
    </r>
    <r>
      <rPr>
        <sz val="11"/>
        <color rgb="FF333333"/>
        <rFont val="Calibri"/>
        <family val="2"/>
        <scheme val="minor"/>
      </rPr>
      <t xml:space="preserve">A set of 7 genes (DCLRE1A, EXO1, KIAA0101, KIN, PCNA, POLD3, POLD2) were included in the module 31. Kaplan-Meier plot demonstrated that higher gene expression in this module significantly associate the patients with shorter survivals. </t>
    </r>
  </si>
  <si>
    <t>29618620, 18302766</t>
  </si>
  <si>
    <r>
      <rPr>
        <b/>
        <sz val="11"/>
        <color rgb="FF333333"/>
        <rFont val="Calibri"/>
        <family val="2"/>
        <scheme val="minor"/>
      </rPr>
      <t xml:space="preserve">1) </t>
    </r>
    <r>
      <rPr>
        <sz val="11"/>
        <color rgb="FF333333"/>
        <rFont val="Calibri"/>
        <family val="2"/>
        <scheme val="minor"/>
      </rPr>
      <t xml:space="preserve">A clinical correlation between the presence of 9q32-q33.1 gains in </t>
    </r>
    <r>
      <rPr>
        <b/>
        <sz val="11"/>
        <color rgb="FF333333"/>
        <rFont val="Calibri"/>
        <family val="2"/>
        <scheme val="minor"/>
      </rPr>
      <t>cisplatin</t>
    </r>
    <r>
      <rPr>
        <sz val="11"/>
        <color rgb="FF333333"/>
        <rFont val="Calibri"/>
        <family val="2"/>
        <scheme val="minor"/>
      </rPr>
      <t>-refractory patients. </t>
    </r>
    <r>
      <rPr>
        <b/>
        <sz val="11"/>
        <color rgb="FF333333"/>
        <rFont val="Calibri"/>
        <family val="2"/>
        <scheme val="minor"/>
      </rPr>
      <t>2)</t>
    </r>
    <r>
      <rPr>
        <sz val="11"/>
        <color rgb="FF333333"/>
        <rFont val="Calibri"/>
        <family val="2"/>
        <scheme val="minor"/>
      </rPr>
      <t xml:space="preserve"> </t>
    </r>
    <r>
      <rPr>
        <sz val="11"/>
        <color rgb="FFFF0000"/>
        <rFont val="Calibri"/>
        <family val="2"/>
        <scheme val="minor"/>
      </rPr>
      <t>POLE3 </t>
    </r>
    <r>
      <rPr>
        <sz val="11"/>
        <color rgb="FF333333"/>
        <rFont val="Calibri"/>
        <family val="2"/>
        <scheme val="minor"/>
      </rPr>
      <t xml:space="preserve">and AKNA were the only two genes deregulated in resistant tumors harboring the 9q32-q33.1 gain. </t>
    </r>
    <r>
      <rPr>
        <b/>
        <sz val="11"/>
        <color rgb="FF333333"/>
        <rFont val="Calibri"/>
        <family val="2"/>
        <scheme val="minor"/>
      </rPr>
      <t xml:space="preserve">3) </t>
    </r>
    <r>
      <rPr>
        <sz val="11"/>
        <color rgb="FF333333"/>
        <rFont val="Calibri"/>
        <family val="2"/>
        <scheme val="minor"/>
      </rPr>
      <t xml:space="preserve">POLE3 was up-regulated (&gt;1.5-fold) in </t>
    </r>
    <r>
      <rPr>
        <b/>
        <sz val="11"/>
        <color rgb="FF333333"/>
        <rFont val="Calibri"/>
        <family val="2"/>
        <scheme val="minor"/>
      </rPr>
      <t>OC</t>
    </r>
    <r>
      <rPr>
        <sz val="11"/>
        <color rgb="FF333333"/>
        <rFont val="Calibri"/>
        <family val="2"/>
        <scheme val="minor"/>
      </rPr>
      <t xml:space="preserve"> spheroids following </t>
    </r>
    <r>
      <rPr>
        <b/>
        <sz val="11"/>
        <color rgb="FF333333"/>
        <rFont val="Calibri"/>
        <family val="2"/>
        <scheme val="minor"/>
      </rPr>
      <t>cisplatin</t>
    </r>
    <r>
      <rPr>
        <sz val="11"/>
        <color rgb="FF333333"/>
        <rFont val="Calibri"/>
        <family val="2"/>
        <scheme val="minor"/>
      </rPr>
      <t xml:space="preserve"> exposure. </t>
    </r>
  </si>
  <si>
    <t>25831546, 22529383, 31064846, 16267001</t>
  </si>
  <si>
    <t>28391554, 29715472</t>
  </si>
  <si>
    <t>19908865, 16787914, 19995904</t>
  </si>
  <si>
    <t>24954502, 23340171, 20683952, 21342274</t>
  </si>
  <si>
    <t>29749474, 29472690, 30880247</t>
  </si>
  <si>
    <t>21927021, 25154814</t>
  </si>
  <si>
    <t>23087057, 26800397, 31221814</t>
  </si>
  <si>
    <t>23503975, 23564483</t>
  </si>
  <si>
    <t>22955258, 20196784</t>
  </si>
  <si>
    <t>29212260, 22728651, 20196784</t>
  </si>
  <si>
    <t>8853907, 26543233</t>
  </si>
  <si>
    <r>
      <rPr>
        <b/>
        <sz val="11"/>
        <color rgb="FF333333"/>
        <rFont val="Calibri"/>
        <family val="2"/>
        <scheme val="minor"/>
      </rPr>
      <t xml:space="preserve">1) </t>
    </r>
    <r>
      <rPr>
        <sz val="11"/>
        <color rgb="FF333333"/>
        <rFont val="Calibri"/>
        <family val="2"/>
        <scheme val="minor"/>
      </rPr>
      <t xml:space="preserve">mutants of the Chinese hamster ovary (CHO) and the mouse adrenocortical carcinoma Y1 cells harboring a defective </t>
    </r>
    <r>
      <rPr>
        <b/>
        <sz val="11"/>
        <color rgb="FF333333"/>
        <rFont val="Calibri"/>
        <family val="2"/>
        <scheme val="minor"/>
      </rPr>
      <t>regulatory subunit (RI)</t>
    </r>
    <r>
      <rPr>
        <sz val="11"/>
        <color rgb="FF333333"/>
        <rFont val="Calibri"/>
        <family val="2"/>
        <scheme val="minor"/>
      </rPr>
      <t xml:space="preserve"> of the cAMP-dependent protein kinase (PKA) exhibited increased resistance to </t>
    </r>
    <r>
      <rPr>
        <b/>
        <sz val="11"/>
        <color rgb="FF333333"/>
        <rFont val="Calibri"/>
        <family val="2"/>
        <scheme val="minor"/>
      </rPr>
      <t>cisplatin. 2) </t>
    </r>
    <r>
      <rPr>
        <sz val="11"/>
        <color rgb="FF333333"/>
        <rFont val="Calibri"/>
        <family val="2"/>
        <scheme val="minor"/>
      </rPr>
      <t>These mutants are cross-resistant to other DNA-damaging chemotherapeutic agents, including bleomycin and melphalan.</t>
    </r>
    <r>
      <rPr>
        <b/>
        <sz val="11"/>
        <color rgb="FF333333"/>
        <rFont val="Calibri"/>
        <family val="2"/>
        <scheme val="minor"/>
      </rPr>
      <t xml:space="preserve"> 3) </t>
    </r>
    <r>
      <rPr>
        <sz val="11"/>
        <color rgb="FF333333"/>
        <rFont val="Calibri"/>
        <family val="2"/>
        <scheme val="minor"/>
      </rPr>
      <t xml:space="preserve">wild-type CHO cells transfected with and overexpressing the yeast phosphodiesterase gene or a dominant mutant Rl alpha subunit gene also displayed similar increased resistance to cisplatin. </t>
    </r>
    <r>
      <rPr>
        <b/>
        <sz val="11"/>
        <color rgb="FF333333"/>
        <rFont val="Calibri"/>
        <family val="2"/>
        <scheme val="minor"/>
      </rPr>
      <t xml:space="preserve">4) </t>
    </r>
    <r>
      <rPr>
        <sz val="11"/>
        <color rgb="FF333333"/>
        <rFont val="Calibri"/>
        <family val="2"/>
        <scheme val="minor"/>
      </rPr>
      <t xml:space="preserve">mutants with altered catalytic (C) subunits showed a sensitivity to cisplatin similar to the wild-type cells. </t>
    </r>
    <r>
      <rPr>
        <b/>
        <sz val="11"/>
        <color rgb="FF333333"/>
        <rFont val="Calibri"/>
        <family val="2"/>
        <scheme val="minor"/>
      </rPr>
      <t>5)</t>
    </r>
    <r>
      <rPr>
        <sz val="11"/>
        <color rgb="FF333333"/>
        <rFont val="Calibri"/>
        <family val="2"/>
        <scheme val="minor"/>
      </rPr>
      <t xml:space="preserve"> The Rl subunit mutants showed increased binding of nuclear factor(s) to the damaged DNA. </t>
    </r>
    <r>
      <rPr>
        <b/>
        <sz val="11"/>
        <color rgb="FF333333"/>
        <rFont val="Calibri"/>
        <family val="2"/>
        <scheme val="minor"/>
      </rPr>
      <t>6)</t>
    </r>
    <r>
      <rPr>
        <sz val="11"/>
        <color rgb="FF333333"/>
        <rFont val="Calibri"/>
        <family val="2"/>
        <scheme val="minor"/>
      </rPr>
      <t xml:space="preserve"> enhanced capacity for repair of DNA lesions in the PKA mutants. </t>
    </r>
    <r>
      <rPr>
        <b/>
        <sz val="11"/>
        <color rgb="FF333333"/>
        <rFont val="Calibri"/>
        <family val="2"/>
        <scheme val="minor"/>
      </rPr>
      <t xml:space="preserve">7) </t>
    </r>
    <r>
      <rPr>
        <sz val="11"/>
        <color rgb="FF333333"/>
        <rFont val="Calibri"/>
        <family val="2"/>
        <scheme val="minor"/>
      </rPr>
      <t xml:space="preserve">rs767649 (A &gt; T) located in miR-155 regulation region. </t>
    </r>
    <r>
      <rPr>
        <b/>
        <sz val="11"/>
        <color rgb="FF333333"/>
        <rFont val="Calibri"/>
        <family val="2"/>
        <scheme val="minor"/>
      </rPr>
      <t>8)</t>
    </r>
    <r>
      <rPr>
        <sz val="11"/>
        <color rgb="FF333333"/>
        <rFont val="Calibri"/>
        <family val="2"/>
        <scheme val="minor"/>
      </rPr>
      <t xml:space="preserve"> rs767649 exhibited the significant associations with the risk (adjusted OR = 1.12, 95% CI = 1.01–1.24, P = 0.031) and prognosis of</t>
    </r>
    <r>
      <rPr>
        <b/>
        <sz val="11"/>
        <color rgb="FF333333"/>
        <rFont val="Calibri"/>
        <family val="2"/>
        <scheme val="minor"/>
      </rPr>
      <t xml:space="preserve"> NSCLC.</t>
    </r>
    <r>
      <rPr>
        <sz val="11"/>
        <color rgb="FF333333"/>
        <rFont val="Calibri"/>
        <family val="2"/>
        <scheme val="minor"/>
      </rPr>
      <t xml:space="preserve"> </t>
    </r>
    <r>
      <rPr>
        <b/>
        <sz val="11"/>
        <color rgb="FF333333"/>
        <rFont val="Calibri"/>
        <family val="2"/>
        <scheme val="minor"/>
      </rPr>
      <t xml:space="preserve">9) </t>
    </r>
    <r>
      <rPr>
        <sz val="11"/>
        <color rgb="FF333333"/>
        <rFont val="Calibri"/>
        <family val="2"/>
        <scheme val="minor"/>
      </rPr>
      <t xml:space="preserve">rs767649 variant allele could increase the transcriptional activity of miR-155, which in turn facilitated tumor growth and metastasis by inhibiting HBP1, TJP1, SMAD5 and PRKAR1A expression.  </t>
    </r>
  </si>
  <si>
    <t>26300055, 27554045, 16166454, 7635571, 20654585, 19117992</t>
  </si>
  <si>
    <t>28246354, 16508638, 8930400, 18765998</t>
  </si>
  <si>
    <t>25017423, 16166454, 26300055</t>
  </si>
  <si>
    <t>18506185, 20371672, 22740515, 29288364</t>
  </si>
  <si>
    <t>18836486, 23135908, 32483269</t>
  </si>
  <si>
    <t>27779244, 29805561, 30650069</t>
  </si>
  <si>
    <t>24434152, 28910982, 19150122</t>
  </si>
  <si>
    <t>26967059, 28400705</t>
  </si>
  <si>
    <t>29636548, 30626032</t>
  </si>
  <si>
    <t>31314174, 20930109, 32193458</t>
  </si>
  <si>
    <t>20028083, 28473198</t>
  </si>
  <si>
    <t>29620223, 31640742, 26138778, 26369335</t>
  </si>
  <si>
    <t xml:space="preserve">25368520, 15126333 </t>
  </si>
  <si>
    <t>15126333, 27465554</t>
  </si>
  <si>
    <t>15126333, 19347880</t>
  </si>
  <si>
    <t>Single nucleotide polymorphisms of RecQ1, RAD54L, and ATM genes are associated with reduced survival of pancreatic cancer after treatment treated with neoadjuvant concurrent gemcitabine and radiotherapy with or without a component of induction gemcitabine/cisplatin.</t>
  </si>
  <si>
    <t xml:space="preserve">1) RADX antagonizes RAD51 activity at forks, and restores fork protection to BRCA2-depleted cells, 2) siRNA depletion of RADX suppressed the HU, cisplatin, and camptothecin hypersensitivity of cells with reduced RAD51 expression. 3) In cancer cells lacking BRCA2, RADX deletion restores fork protection without restoring HDR. 4) RADX inactivation confers chemotherapy and PARP inhibitor resistance to cancer cells with reduced BRCA2/RAD51 pathway function. </t>
  </si>
  <si>
    <t>23147544, 29368096, 25368379</t>
  </si>
  <si>
    <r>
      <rPr>
        <b/>
        <sz val="11"/>
        <color rgb="FF333333"/>
        <rFont val="Calibri"/>
        <family val="2"/>
        <scheme val="minor"/>
      </rPr>
      <t>1)</t>
    </r>
    <r>
      <rPr>
        <sz val="11"/>
        <color rgb="FF333333"/>
        <rFont val="Calibri"/>
        <family val="2"/>
        <scheme val="minor"/>
      </rPr>
      <t xml:space="preserve"> miR-106 and miR-150 were down-regulated while their target genes (</t>
    </r>
    <r>
      <rPr>
        <b/>
        <sz val="11"/>
        <color rgb="FF333333"/>
        <rFont val="Calibri"/>
        <family val="2"/>
        <scheme val="minor"/>
      </rPr>
      <t>RB1</t>
    </r>
    <r>
      <rPr>
        <sz val="11"/>
        <color rgb="FF333333"/>
        <rFont val="Calibri"/>
        <family val="2"/>
        <scheme val="minor"/>
      </rPr>
      <t xml:space="preserve"> and P53, respectively) were up-regulated after </t>
    </r>
    <r>
      <rPr>
        <b/>
        <sz val="11"/>
        <color rgb="FF333333"/>
        <rFont val="Calibri"/>
        <family val="2"/>
        <scheme val="minor"/>
      </rPr>
      <t>cisplatin</t>
    </r>
    <r>
      <rPr>
        <sz val="11"/>
        <color rgb="FF333333"/>
        <rFont val="Calibri"/>
        <family val="2"/>
        <scheme val="minor"/>
      </rPr>
      <t xml:space="preserve"> treatment. </t>
    </r>
    <r>
      <rPr>
        <b/>
        <sz val="11"/>
        <color rgb="FF333333"/>
        <rFont val="Calibri"/>
        <family val="2"/>
        <scheme val="minor"/>
      </rPr>
      <t xml:space="preserve">2) </t>
    </r>
    <r>
      <rPr>
        <sz val="11"/>
        <color rgb="FF333333"/>
        <rFont val="Calibri"/>
        <family val="2"/>
        <scheme val="minor"/>
      </rPr>
      <t xml:space="preserve">cisplatin induces K562 cells to apoptosis by reducing miR-106 which up-regulates RB1 or by inhibiting miR-150 which increases P53 expression. </t>
    </r>
    <r>
      <rPr>
        <b/>
        <sz val="11"/>
        <color rgb="FF333333"/>
        <rFont val="Calibri"/>
        <family val="2"/>
        <scheme val="minor"/>
      </rPr>
      <t xml:space="preserve">3) </t>
    </r>
    <r>
      <rPr>
        <sz val="11"/>
        <color rgb="FF333333"/>
        <rFont val="Calibri"/>
        <family val="2"/>
        <scheme val="minor"/>
      </rPr>
      <t xml:space="preserve">In the discovery set, alteration in one or more of the three DNA repair genes ATM, </t>
    </r>
    <r>
      <rPr>
        <b/>
        <sz val="11"/>
        <color rgb="FF333333"/>
        <rFont val="Calibri"/>
        <family val="2"/>
        <scheme val="minor"/>
      </rPr>
      <t>RB1</t>
    </r>
    <r>
      <rPr>
        <sz val="11"/>
        <color rgb="FF333333"/>
        <rFont val="Calibri"/>
        <family val="2"/>
        <scheme val="minor"/>
      </rPr>
      <t xml:space="preserve">, and FANCC predicted pathologic response to </t>
    </r>
    <r>
      <rPr>
        <b/>
        <sz val="11"/>
        <color rgb="FF333333"/>
        <rFont val="Calibri"/>
        <family val="2"/>
        <scheme val="minor"/>
      </rPr>
      <t>CDDP</t>
    </r>
    <r>
      <rPr>
        <sz val="11"/>
        <color rgb="FF333333"/>
        <rFont val="Calibri"/>
        <family val="2"/>
        <scheme val="minor"/>
      </rPr>
      <t xml:space="preserve"> (p&lt;0.001; 87% sensitivity, 100% specificity) and better overall survival (p=0.007) for </t>
    </r>
    <r>
      <rPr>
        <b/>
        <sz val="11"/>
        <color rgb="FF333333"/>
        <rFont val="Calibri"/>
        <family val="2"/>
        <scheme val="minor"/>
      </rPr>
      <t>Muscle-invasive Bladder Cancer</t>
    </r>
    <r>
      <rPr>
        <sz val="11"/>
        <color rgb="FF333333"/>
        <rFont val="Calibri"/>
        <family val="2"/>
        <scheme val="minor"/>
      </rPr>
      <t xml:space="preserve"> (MIBC) patient. </t>
    </r>
    <r>
      <rPr>
        <b/>
        <sz val="11"/>
        <color rgb="FF333333"/>
        <rFont val="Calibri"/>
        <family val="2"/>
        <scheme val="minor"/>
      </rPr>
      <t xml:space="preserve">4) </t>
    </r>
    <r>
      <rPr>
        <sz val="11"/>
        <color rgb="FF333333"/>
        <rFont val="Calibri"/>
        <family val="2"/>
        <scheme val="minor"/>
      </rPr>
      <t xml:space="preserve">This test remained predictive for pathologic response in the validation set (p=0.033), with a trend towards better overall survival (p=0.055). </t>
    </r>
  </si>
  <si>
    <t>26713604, 29445424</t>
  </si>
  <si>
    <t xml:space="preserve">1) RBBP8, known to encode the endonuclease CtIP, as a novel susceptibility gene whose functional loss increases sensitivity towards PARP1 inhibition similar to BRCA1 inactivation as recently demonstrated in a mice xenograft model of breast cancer. 2) RBBP1 methylation may predict significantly higher response rates to cisplatin treatment in breast and ovarian cancer patients.  </t>
  </si>
  <si>
    <t>16061639, 29286307</t>
  </si>
  <si>
    <t>16978399, 25538733, 21571861, 24688722, 16227411</t>
  </si>
  <si>
    <t>25795775, 24276455</t>
  </si>
  <si>
    <t>16495473, 29864443, 29598900</t>
  </si>
  <si>
    <t>24956248, 26165320, 19289490</t>
  </si>
  <si>
    <t>11336696, 19053130</t>
  </si>
  <si>
    <t>21044322, 24475290</t>
  </si>
  <si>
    <t>28498503, 24675421</t>
  </si>
  <si>
    <t>24842157, 11314033</t>
  </si>
  <si>
    <t>27239958, 30907503</t>
  </si>
  <si>
    <t>30056367, 27239958</t>
  </si>
  <si>
    <t>16968546, 21364753, 26051182, 23874713</t>
  </si>
  <si>
    <t>29642900, 32667058, 17508026</t>
  </si>
  <si>
    <t>18425342, 21397856</t>
  </si>
  <si>
    <r>
      <rPr>
        <b/>
        <sz val="11"/>
        <color rgb="FF333333"/>
        <rFont val="Calibri"/>
        <family val="2"/>
        <scheme val="minor"/>
      </rPr>
      <t xml:space="preserve">1) </t>
    </r>
    <r>
      <rPr>
        <sz val="11"/>
        <color rgb="FF333333"/>
        <rFont val="Calibri"/>
        <family val="2"/>
        <scheme val="minor"/>
      </rPr>
      <t xml:space="preserve">shRNA silencing of RPS7 promoted </t>
    </r>
    <r>
      <rPr>
        <b/>
        <sz val="11"/>
        <color rgb="FF333333"/>
        <rFont val="Calibri"/>
        <family val="2"/>
        <scheme val="minor"/>
      </rPr>
      <t>ovarian</t>
    </r>
    <r>
      <rPr>
        <sz val="11"/>
        <color rgb="FF333333"/>
        <rFont val="Calibri"/>
        <family val="2"/>
        <scheme val="minor"/>
      </rPr>
      <t xml:space="preserve"> cancer cell proliferation, accelerated cell cycle progression, and slightly reduced cell apoptosis and response to </t>
    </r>
    <r>
      <rPr>
        <b/>
        <sz val="11"/>
        <color rgb="FF333333"/>
        <rFont val="Calibri"/>
        <family val="2"/>
        <scheme val="minor"/>
      </rPr>
      <t>cisplatin </t>
    </r>
    <r>
      <rPr>
        <sz val="11"/>
        <color rgb="FF333333"/>
        <rFont val="Calibri"/>
        <family val="2"/>
        <scheme val="minor"/>
      </rPr>
      <t>treatment.</t>
    </r>
    <r>
      <rPr>
        <b/>
        <sz val="11"/>
        <color rgb="FF333333"/>
        <rFont val="Calibri"/>
        <family val="2"/>
        <scheme val="minor"/>
      </rPr>
      <t xml:space="preserve"> 2) </t>
    </r>
    <r>
      <rPr>
        <sz val="11"/>
        <color rgb="FF333333"/>
        <rFont val="Calibri"/>
        <family val="2"/>
        <scheme val="minor"/>
      </rPr>
      <t>Knockdown of RPS7 resulted in increased expression of P85α, P110α, and AKT2; the phosphorylated forms of MEK1/2 (Ser217/221), ERK1/2 (Thr202/Tyr204), JNK1/2 (Thr183/Tyr185), and P38 (Thr180/Tyr182) were consistently reduced after RPS7 was silenced.</t>
    </r>
    <r>
      <rPr>
        <b/>
        <sz val="11"/>
        <color rgb="FF333333"/>
        <rFont val="Calibri"/>
        <family val="2"/>
        <scheme val="minor"/>
      </rPr>
      <t xml:space="preserve"> 3)</t>
    </r>
    <r>
      <rPr>
        <sz val="11"/>
        <color rgb="FF333333"/>
        <rFont val="Calibri"/>
        <family val="2"/>
        <scheme val="minor"/>
      </rPr>
      <t xml:space="preserve"> Both the in vitro anchorage-independent colony formation and in vivo animal tumor formation capability of cells were enhanced after RPS7 was depleted; silencing of RPS7 enhanced ovarian cancer cell migration and invasion. </t>
    </r>
  </si>
  <si>
    <t>19639316, 23466567</t>
  </si>
  <si>
    <t>29485916, 28051137, 29956751</t>
  </si>
  <si>
    <t>30288106, 22487537, 24631944</t>
  </si>
  <si>
    <t xml:space="preserve">27501952, 29956807 </t>
  </si>
  <si>
    <t>20031193, 20443003, 23903781</t>
  </si>
  <si>
    <t>30544766, 27140478, 30013182</t>
  </si>
  <si>
    <r>
      <rPr>
        <b/>
        <sz val="11"/>
        <color rgb="FF333333"/>
        <rFont val="Calibri"/>
        <family val="2"/>
        <scheme val="minor"/>
      </rPr>
      <t xml:space="preserve">1) </t>
    </r>
    <r>
      <rPr>
        <sz val="11"/>
        <color rgb="FF333333"/>
        <rFont val="Calibri"/>
        <family val="2"/>
        <scheme val="minor"/>
      </rPr>
      <t xml:space="preserve">The hereditary leiomyomatosis and renal cell cancer (HLRCC) and succinate dehydrogenase-related hereditary paraganglioma and pheochromocytoma (SDH PGL/PCC) are linked to germline loss-of-function mutations in genes encoding the Krebs cycle enzymes fumarate hydratase and </t>
    </r>
    <r>
      <rPr>
        <b/>
        <sz val="11"/>
        <color rgb="FF333333"/>
        <rFont val="Calibri"/>
        <family val="2"/>
        <scheme val="minor"/>
      </rPr>
      <t>succinate dehydrogenase</t>
    </r>
    <r>
      <rPr>
        <sz val="11"/>
        <color rgb="FF333333"/>
        <rFont val="Calibri"/>
        <family val="2"/>
        <scheme val="minor"/>
      </rPr>
      <t xml:space="preserve">. 2)  fumarate and succinate both suppress HR, thus rendering tumor cells vulnerable to PARP inhibitors. </t>
    </r>
  </si>
  <si>
    <t>Succinate dehydrogenase complex</t>
  </si>
  <si>
    <t>26548925, 23002208</t>
  </si>
  <si>
    <t>23185467, 24810714</t>
  </si>
  <si>
    <t>30093630, 29842882</t>
  </si>
  <si>
    <t>19528459, 26346170, 24185104</t>
  </si>
  <si>
    <t>18942711, 19957335</t>
  </si>
  <si>
    <t>25485633, 25219252</t>
  </si>
  <si>
    <t>26367491, 21947960</t>
  </si>
  <si>
    <t>27987372, 29113360</t>
  </si>
  <si>
    <t>28678322, 26431211</t>
  </si>
  <si>
    <t>As SLC46A1</t>
  </si>
  <si>
    <t>27191653, 20570523</t>
  </si>
  <si>
    <t>11571727, 30861255, 20870738, 27294003, 28222430</t>
  </si>
  <si>
    <t>24681808, 29651165</t>
  </si>
  <si>
    <t>30334452, 26513225</t>
  </si>
  <si>
    <t>23462296, 26773935, 20870738, 20678156</t>
  </si>
  <si>
    <t>19509135, 20930109, 23564780</t>
  </si>
  <si>
    <t>26625211, 22927417, 31128155</t>
  </si>
  <si>
    <t>24831703, 24076221</t>
  </si>
  <si>
    <t>21464321, 30576517, 19595721</t>
  </si>
  <si>
    <t>28814088, 22753594, 20012971, 26093488</t>
  </si>
  <si>
    <t>22721696, 30127991</t>
  </si>
  <si>
    <t>29552194, 27875522</t>
  </si>
  <si>
    <t>25846011, 18679423, 15150117, 27107419</t>
  </si>
  <si>
    <t>26716514, 21750651, 25149540</t>
  </si>
  <si>
    <t>22429801, 20823140</t>
  </si>
  <si>
    <t>23867475, 32130794, 28165651</t>
  </si>
  <si>
    <t xml:space="preserve">29099271, 27625374, 31658996 </t>
  </si>
  <si>
    <t>18992864, 25014664, 17235047</t>
  </si>
  <si>
    <t>28348485, 19717562</t>
  </si>
  <si>
    <t>21371883, 25269472, 28455291, 26201611, 28498503</t>
  </si>
  <si>
    <t>As STAT5B</t>
  </si>
  <si>
    <t>28326487, 25015419, 21364678</t>
  </si>
  <si>
    <t>32068166, 32678307, 25300616</t>
  </si>
  <si>
    <t>27446402, 21489989</t>
  </si>
  <si>
    <t>27651027, 26476534</t>
  </si>
  <si>
    <t>29097421, 27206315</t>
  </si>
  <si>
    <t>25375122, 28765565, 26020272</t>
  </si>
  <si>
    <t>11968124, 19259415, 9381969, 7637237</t>
  </si>
  <si>
    <t>26191185, 31002371</t>
  </si>
  <si>
    <t xml:space="preserve">18667446, 19763620 </t>
  </si>
  <si>
    <t>27779244, 19052713, 20051827, 23463593</t>
  </si>
  <si>
    <t>28384067, 29587485</t>
  </si>
  <si>
    <t>22511598, 23415672</t>
  </si>
  <si>
    <t>18256356, 28275299, 29746926, 29343281</t>
  </si>
  <si>
    <t>20589834, 21969054</t>
  </si>
  <si>
    <t>26376695, 27688262</t>
  </si>
  <si>
    <t>24767861, 30944654, 30107189</t>
  </si>
  <si>
    <t>31917287, 30114619</t>
  </si>
  <si>
    <t>19110234, 21472713, 23907406, 26492363</t>
  </si>
  <si>
    <t>11371126, 20157422, 21877938</t>
  </si>
  <si>
    <t xml:space="preserve">High expression of TOP1 and TOP2A were found to be correlated to worse OS in all patients and serous patients, but not in endometrioid patients. </t>
  </si>
  <si>
    <t>16533424, 1646065, 1657425</t>
  </si>
  <si>
    <t>24743803, 28355294</t>
  </si>
  <si>
    <t>29028101, 26003539</t>
  </si>
  <si>
    <t>24085845, 29928364</t>
  </si>
  <si>
    <t>24823795, 30641908, 20959455, 16123597</t>
  </si>
  <si>
    <t>30127981, 26313152, 21837762, 15292937</t>
  </si>
  <si>
    <t>27206315, 25438697</t>
  </si>
  <si>
    <t>28670762, 29312632</t>
  </si>
  <si>
    <t xml:space="preserve">27876874, 25867064, 30066890 </t>
  </si>
  <si>
    <t>AS in TXND2</t>
  </si>
  <si>
    <t>26119737, 17938197, 16916645</t>
  </si>
  <si>
    <t>29409484, 27191984, 19693666</t>
  </si>
  <si>
    <t>30705591, 29396516, 25806231, 28569838, 25806229</t>
  </si>
  <si>
    <t>21357694, 28110804</t>
  </si>
  <si>
    <t xml:space="preserve">24997567, 21397856, 19193619 </t>
  </si>
  <si>
    <t>24029657, 24378876</t>
  </si>
  <si>
    <t xml:space="preserve">18362892, 20937774, 19770592, 22285227, 22954696 </t>
  </si>
  <si>
    <t>20663925, 18004244, 21970881, 31235595</t>
  </si>
  <si>
    <t>24862760, 26148594, 27699040</t>
  </si>
  <si>
    <t>20301636, 19509240, 18481984, 31375625</t>
  </si>
  <si>
    <t>22118673, 24531842</t>
  </si>
  <si>
    <t>25789010, 27869163</t>
  </si>
  <si>
    <t>22759793, 18555708</t>
  </si>
  <si>
    <t>15339968, 18386815, 25368386</t>
  </si>
  <si>
    <t>31275435, 19192406</t>
  </si>
  <si>
    <t>8797596, 15703814, 15750632</t>
  </si>
  <si>
    <t>YB-1 is overexpressed in human cancer cell lines that are resistant to cisplatin and that the depletion of YB-1 by transfection of a vector expressing YB-1 antisense RNA increases the sensitivity of human cancer cells to cisplatin. </t>
  </si>
  <si>
    <t>1) 14-3-3 inhibitor difopein enhances the ability of cisplatin to kill cells. 2) The ability of 14-3-3 to inhibit Bad and other proapoptotic proteins argues that 14-3-3 can support cell survival. </t>
  </si>
  <si>
    <t xml:space="preserve">1) Down-regulation of 14-3-3zeta in lung cancer cells led to a dose-dependent increased sensitivity to cisplatin-induced cell death 2) The increased 14-3-3zeta expression was positively correlated with a more advanced pathologic stage and grade of NSCLCs and was associated with overall and cancer-specific survival rates of the patients. </t>
  </si>
  <si>
    <t>29970878, 19208743</t>
  </si>
  <si>
    <t>32080166, 31029032</t>
  </si>
  <si>
    <t>Scores</t>
  </si>
  <si>
    <t>UP</t>
  </si>
  <si>
    <t>DOWN/UP</t>
  </si>
  <si>
    <t>UNKNOWN</t>
  </si>
  <si>
    <t>DOWN</t>
  </si>
  <si>
    <t>PHOS/nuclear loc</t>
  </si>
  <si>
    <t>PHOS</t>
  </si>
  <si>
    <t>UP/PHOS</t>
  </si>
  <si>
    <t>DOWN/PHOS</t>
  </si>
  <si>
    <t>UNCLEAVED</t>
  </si>
  <si>
    <t>DOWN/UNCLEAVED</t>
  </si>
  <si>
    <t>UP/CLEAVED</t>
  </si>
  <si>
    <t>UNCHANGED</t>
  </si>
  <si>
    <t>localizes to the cytoplasm</t>
  </si>
  <si>
    <t>UP/long spliced form</t>
  </si>
  <si>
    <t>DOWN/DEPHOS</t>
  </si>
  <si>
    <t>DOWN/UNPHOS</t>
  </si>
  <si>
    <t>Stroma UP</t>
  </si>
  <si>
    <t>CLEAVED TO ACTIVATE APOPTOSIS</t>
  </si>
  <si>
    <t>DOWN/UP/PHOS</t>
  </si>
  <si>
    <t xml:space="preserve">UP in R                                    </t>
  </si>
  <si>
    <t>DOWN/methylated promoter</t>
  </si>
  <si>
    <t>VARIANT</t>
  </si>
  <si>
    <t>DOWN in S</t>
  </si>
  <si>
    <t>YB1 interaction</t>
  </si>
  <si>
    <t>CLEAVED</t>
  </si>
  <si>
    <t>UP/acetylation</t>
  </si>
  <si>
    <t>Activity UP</t>
  </si>
  <si>
    <t>Ub</t>
  </si>
  <si>
    <t>UP/Ub</t>
  </si>
  <si>
    <t>DOWN/stroma immune cells</t>
  </si>
  <si>
    <t>TRANSLOCATED</t>
  </si>
  <si>
    <t>DOWN/DEPHOS/mutation</t>
  </si>
  <si>
    <t>DOWN/secretion</t>
  </si>
  <si>
    <t>interaction</t>
  </si>
  <si>
    <t>cell line</t>
  </si>
  <si>
    <t>Uniprot Gene symbol</t>
  </si>
  <si>
    <t>HUGO Gene symbol</t>
  </si>
  <si>
    <t>Apoptotic signaling/DR</t>
  </si>
  <si>
    <t>Oncogene signaling/VEGF</t>
  </si>
  <si>
    <t>Major vault protein. Vaults have been suggested to play a direct role in multidrug resistance (MDR) to anticancer drugs; Notch1 could promote the expression of MVP and activate the AKT pathway as well as EMT process (30336197).</t>
  </si>
  <si>
    <t>DDR/nucleotide synthesis</t>
  </si>
  <si>
    <t>DDR/direct repair</t>
  </si>
  <si>
    <t>DDR/BER</t>
  </si>
  <si>
    <t>DDR/HR</t>
  </si>
  <si>
    <t>DDR/DNA replication</t>
  </si>
  <si>
    <t>DDR/NER</t>
  </si>
  <si>
    <t>DDR/NHEJ</t>
  </si>
  <si>
    <t>crosslinks actin filaments into orthogonal networks in cortical cytoplasm; interacts with DNA damage response proteins BRCA1 and BRCA2 (22051193)</t>
  </si>
  <si>
    <t>DDR/TLS</t>
  </si>
  <si>
    <t>Plays a role in protein translation in response to DNA damage by mediating ubiquitination of EIF4E2, the consequences of EIF4E2 ubiquitination are however unclear; promoting clearance of damaged mitochondria (mitophagy) (28930681);</t>
  </si>
  <si>
    <t>30844312, 28930681, 25624349</t>
  </si>
  <si>
    <t>Metabolism/OXPHOS</t>
  </si>
  <si>
    <t xml:space="preserve">contribute to the transparency and refractive index of the lens. Has chaperone-like activity, preventing aggregation of various proteins under a wide range of stress conditions; a recognized anti-apoptotic protein (31239701); </t>
  </si>
  <si>
    <t>Detox</t>
  </si>
  <si>
    <t>RABL</t>
  </si>
  <si>
    <t>Ras-related protein Rab-5C</t>
  </si>
  <si>
    <t>SDH, SDH1</t>
  </si>
  <si>
    <t>Succinate dehydrogenase [ubiquinone] iron-sulfur subunit, mitochondrial</t>
  </si>
  <si>
    <t>CYB560, SDH3</t>
  </si>
  <si>
    <t>Succinate dehydrogenase cytochrome b560 subunit, mitochondrial</t>
  </si>
  <si>
    <t>SDH4</t>
  </si>
  <si>
    <t>Succinate dehydrogenase [ubiquinone] cytochrome b small subunit, mitochondrial</t>
  </si>
  <si>
    <t>Apoptotic signaling/ceramide</t>
  </si>
  <si>
    <t>22379635, 15015601, 33585454</t>
  </si>
  <si>
    <t>Metabolism/Glycolysis</t>
  </si>
  <si>
    <t xml:space="preserve">Mediates the nuclear export of cellular proteins (cargos) bearing a leucine-rich nuclear export signal (NES) and of RNAs; the only known transporter for a number of well-characterized ovarian cancer–associated proteins, including p53, BRCA1, IκBα, KLF6, SQSTM1, and PP2A; </t>
  </si>
  <si>
    <t>30395583, 33547197</t>
  </si>
  <si>
    <t>Plays a role in chromatin remodeling and regulation of transcription (22464331, 26365797). Acts as a chromatin reader that recognizes and binds acylated histones: binds histones that are acetylated and/or butyrylated </t>
  </si>
  <si>
    <t xml:space="preserve">Transcriptional repressor, regulates development of B cells; represses expression of IL-7 receptor α-chain (IL-7Rα), phosphorylation of MEK and ERK (21532575); suppresses the antitumor function of interleukin 21 (IL-21) (26500140); </t>
  </si>
  <si>
    <t>Responsible for the deacetylation of lysine residues on the N-terminal part of the core histones (H2A, H2B, H3 and H4), and some other non-histone substrates. </t>
  </si>
  <si>
    <t>29402501, 30501603</t>
  </si>
  <si>
    <t>23869764, 30900384</t>
  </si>
  <si>
    <t>DUC1, DUG</t>
  </si>
  <si>
    <t>DNA mismatch repair protein Msh2</t>
  </si>
  <si>
    <t>DNA mismatch repair protein Msh3</t>
  </si>
  <si>
    <t>Mismatch repair endonuclease PMS2</t>
  </si>
  <si>
    <t>PMSL2</t>
  </si>
  <si>
    <t>DNA mismatch repair protein Msh6</t>
  </si>
  <si>
    <t>GTBP</t>
  </si>
  <si>
    <t>Homeobox protein SIX1</t>
  </si>
  <si>
    <t>Transcription activator BRG1</t>
  </si>
  <si>
    <t xml:space="preserve">Component of SWI/SNF chromatin remodeling complexes involved in transcriptional activation and repression of genes; plays developmental and pathogenic roles (27149204) </t>
  </si>
  <si>
    <t>28150354, 28643947</t>
  </si>
  <si>
    <t>31570278, 30404004, 32355773, 32817374</t>
  </si>
  <si>
    <t>The eIF-3 complex specifically targets and initiates translation of a subset of mRNAs involved in cell proliferation, including cell cycling, differentiation and apoptosis, and uses different modes of RNA stem-loop binding to exert either translational activation or repression</t>
  </si>
  <si>
    <t>Specifically recognizes and binds N6-methyladenosine (m6A)-containing mRNAs, and promotes mRNA translation efficiency (such as keap1); drives intestinal immune response against bacterial infection</t>
  </si>
  <si>
    <t>32494165, 30464528</t>
  </si>
  <si>
    <t xml:space="preserve">Cleaves the membrane-bound precursor to its mature soluble form (e.g. AREG/EGFR; TNFa); </t>
  </si>
  <si>
    <t xml:space="preserve">High concentration in ER. A cytochrome P450 monooxygenase involved in the metabolism of fatty acids. Hydroxylates fatty acids specifically at the omega-1 position displaying the highest catalytic activity for saturated fatty acids </t>
  </si>
  <si>
    <t>Redox/Glutathione</t>
  </si>
  <si>
    <t>May regulate IL2 production by T-cells. May be involved in neuron regeneration; a microtubule plus-end tracking protein; NAV3 depletion trimmed microtubule growth, prolonged growth factor signaling, prevented apoptosis and enhanced random cell migration (25678558)</t>
  </si>
  <si>
    <t>Metabolism/Lipid</t>
  </si>
  <si>
    <t>29872321, 22951905</t>
  </si>
  <si>
    <t>60 kDa heat shock protein, mitochondrial</t>
  </si>
  <si>
    <t>Chaperonin implicated in mitochondrial protein import and macromolecular assembly. Together with Hsp10, facilitates the correct folding of imported proteins. May also prevent misfolding and promote the refolding and proper assembly of unfolded polypeptides generated under stress conditions in the mitochondrial matrix</t>
  </si>
  <si>
    <t>21559731, 8100743, 18372523, 32124395, 21340800</t>
  </si>
  <si>
    <t>GPRC5A</t>
  </si>
  <si>
    <t>GPCR5A, RAI3, RAIG1</t>
  </si>
  <si>
    <t>Retinoic acid-induced protein 3</t>
  </si>
  <si>
    <t>EPHA2</t>
  </si>
  <si>
    <t>ECK</t>
  </si>
  <si>
    <t>Ephrin type-A receptor 2</t>
  </si>
  <si>
    <t>Receptor tyrosine kinase which binds promiscuously membrane-bound ephrin-A family ligands residing on adjacent cells, leading to contact-dependent bidirectional signaling into neighboring cells. </t>
  </si>
  <si>
    <t>32417448, 32115889, 27653549</t>
  </si>
  <si>
    <t>NHERF, NHERF1</t>
  </si>
  <si>
    <t>SLC9A3R1</t>
  </si>
  <si>
    <t>Na(+)/H(+) exchange regulatory cofactor NHE-RF1</t>
  </si>
  <si>
    <t>Scaffold protein that connects plasma membrane proteins with members of the ezrin/moesin/radixin family and thereby helps to link them to the actin cytoskeleton and to regulate their surface expression. </t>
  </si>
  <si>
    <t>Cystine/glutamate transporter</t>
  </si>
  <si>
    <t>28085111, 29867145</t>
  </si>
  <si>
    <t>FAM83B</t>
  </si>
  <si>
    <t>LDLR</t>
  </si>
  <si>
    <t>Low-density lipoprotein receptor</t>
  </si>
  <si>
    <t>Binds LDL, the major cholesterol-carrying lipoprotein of plasma, and transports it into cells by endocytosis. In order to be internalized, the receptor-ligand complexes must first cluster into clathrin-coated pits</t>
  </si>
  <si>
    <t>31815680, 32543783</t>
  </si>
  <si>
    <t>CCNI</t>
  </si>
  <si>
    <t>Cyclin I</t>
  </si>
  <si>
    <t>TUBB3</t>
  </si>
  <si>
    <t>TUBB4</t>
  </si>
  <si>
    <t>Participates in various redox reactions through the reversible oxidation of its active center dithiol to a disulfide and catalyzes dithiol-disulfide exchange reactions</t>
  </si>
  <si>
    <t>Thioredoxin</t>
  </si>
  <si>
    <t>TRDX, TRX, TRX1</t>
  </si>
  <si>
    <t>Tubulin beta-3 chain</t>
  </si>
  <si>
    <t>30643929, 25107571</t>
  </si>
  <si>
    <t>Required for checkpoint signaling after DNA damage. Required for ATR expression, possibly by stabilizing the protein.</t>
  </si>
  <si>
    <t>Plays a critical role in induction and maintenance of immune tolerance to self. As a ligand for the inhibitory receptor PDCD1/PD-1, modulates the activation threshold of T-cells and limits T-cell effector response</t>
  </si>
  <si>
    <t>Important transcription factor regulating the expression of genes involved in immune and inflammatory responses. Plays also a significant role in adipogenesis, as well as in the gluconeogenic pathway, liver regeneration, and hematopoiesis. </t>
  </si>
  <si>
    <t>A cytochrome P450 monooxygenase involved in the metabolism of fatty acids, steroid hormones and vitamins; uses molecular oxygen inserting one oxygen atom into a substrate, and reducing the second into a water molecule, with two electrons provided by NADPH via cytochrome P450 reductase</t>
  </si>
  <si>
    <t>Wnt signal transduction pathways. Participates both in canonical and non-canonical Wnt signaling by binding to the cytoplasmic C-terminus of frizzled family members and transducing the Wnt signal to down-stream effectors. </t>
  </si>
  <si>
    <t>transcription regulator in the hedgehog (Hh) pathway; transcriptional activator or transcriptional repressor (By similarity). Requires STK36 for full transcriptional activator activity. Required for normal embryonic development</t>
  </si>
  <si>
    <t>Dual specificity kinase, activated by cytokines and environmental stress; activates the MAP kinase p38. Part of a signaling cascade that begins with the activation of the adrenergic receptor ADRA1B and leads to the activation of MAPK14.</t>
  </si>
  <si>
    <t>Dual specificity protein kinase of the MAP kinase signal transduction pathway. Essential component of the stress-activated protein kinase/c-Jun N-terminal kinase (SAP/JNK) signaling pathway. </t>
  </si>
  <si>
    <t>Activates the ERK and JNK kinase pathways by phosphorylation of MAP2K1 and MAP2K4 </t>
  </si>
  <si>
    <t>the MAPK/ERK cascade. signaling cascade initiated by activated KIT and KITLG/SCF. mediates diverse biological functions such as cell growth, adhesion, survival and differentiation through the regulation of transcription, translation, cytoskeletal rearrangements. </t>
  </si>
  <si>
    <t>Methylated-DNA--protein-cysteine methyltransferase</t>
  </si>
  <si>
    <t>Involved in the cellular defense against the biological effects of O6-methylguanine (O6-MeG) and O4-methylthymine (O4-MeT) in DNA. Repairs the methylated nucleobase in DNA by stoichiometrically transferring the methyl group to a cysteine residue in the enzyme. This is a suicide reaction: the enzyme is irreversibly inactivated.</t>
  </si>
  <si>
    <t>31364751, 30225719, 25499851</t>
  </si>
  <si>
    <t>MnSOD</t>
  </si>
  <si>
    <t>the endpoint of a vast array of stimuli related to many biological processes such as inflammation, immunity, differentiation, cell growth, tumorigenesis and apoptosis.</t>
  </si>
  <si>
    <t>Ras proteins bind GDP/GTP and possess intrinsic GTPase activity.</t>
  </si>
  <si>
    <t>LYT10</t>
  </si>
  <si>
    <t>Nuclear factor NF-kappa-B p100 subunit</t>
  </si>
  <si>
    <t>Phosphoinositide-3-kinase (PI3K) phosphorylates phosphatidylinositol derivatives at position 3 of the inositol ring to produce 3-phosphoinositides</t>
  </si>
  <si>
    <t>DNA polymerase delta subunit 2</t>
  </si>
  <si>
    <t>Accessory component of both the DNA polymerase delta complex and the DNA polymerase zeta complex</t>
  </si>
  <si>
    <t>DNA polymerase delta subunit 3</t>
  </si>
  <si>
    <t>Accessory component of both the DNA polymerase delta complex and the DNA polymerase zeta complex </t>
  </si>
  <si>
    <t>DNA polymerase epsilon subunit 3</t>
  </si>
  <si>
    <t>Accessory component of the DNA polymerase epsilon complex. Forms a complex with CHRAC1 and binds naked DNA, which is then incorporated into chromatin, aided by the nucleosome-remodeling activity of ISWI/SNF2H and ACF1</t>
  </si>
  <si>
    <t>DNA polymerase nu</t>
  </si>
  <si>
    <t>DNA polymerase with very low fidelity that catalyzes considerable misincorporation by inserting dTTP opposite a G template, and dGTP opposite a T template</t>
  </si>
  <si>
    <t>Non-catalytic subunit of AMP-activated protein kinase (AMPK), an energy sensor protein kinase that plays a key role in regulating cellular energy metabolism. </t>
  </si>
  <si>
    <t xml:space="preserve">Calcium-activated, phospholipid- and diacylglycerol (DAG)-dependent serine/threonine-protein kinase involved in regulation of the B-cell receptor, oxidative stress-induced apoptosis, androgen receptor-dependent transcription regulation, insulin signaling and endothelial cells proliferation. </t>
  </si>
  <si>
    <t>The proteasome is a multicatalytic proteinase complex which is characterized by its ability to cleave peptides with Arg, Phe, Tyr, Leu, and Glu adjacent to the leaving group at neutral or slightly basic pH. </t>
  </si>
  <si>
    <t xml:space="preserve"> As PSMB10</t>
  </si>
  <si>
    <t>DNA repair protein RAD50</t>
  </si>
  <si>
    <t>Component of the MRN complex, which plays a central role in double-strand break (DSB) repair, DNA recombination, maintenance of telomere integrity and meiosis. </t>
  </si>
  <si>
    <t>Plays a central role in genetic recombination and DNA repair by promoting the annealing of complementary single-stranded DNA and by stimulation of the RAD51 recombinase.</t>
  </si>
  <si>
    <t>Plays an essential role in homologous recombination (HR) which is a major pathway for repairing DNA double-strand breaks (DSBs), single-stranded DNA (ssDNA) gaps, and stalled or collapsed replication forks</t>
  </si>
  <si>
    <t>DNA repair and recombination protein RAD54-like</t>
  </si>
  <si>
    <t>RAD54A</t>
  </si>
  <si>
    <t>The elongation of primed DNA templates by DNA polymerase delta and epsilon requires the action of the accessory proteins proliferating cell nuclear antigen (PCNA) and activator 1. </t>
  </si>
  <si>
    <t>Replication factor C subunit 2</t>
  </si>
  <si>
    <t>SLC22A1</t>
  </si>
  <si>
    <t>OCT1</t>
  </si>
  <si>
    <t>Translocates a broad array of organic cations with various structures and molecular weights including MPP, TEA, NMN, ASP, choline, guanidine, histamine, epinephrine, adrenaline, noradrenaline and dopamine, and the drugs quinine, and metformin. </t>
  </si>
  <si>
    <t>Mediates potential-dependent transport of a variety of organic cations. May play a significant role in the disposition of cationic neurotoxins and neurotransmitters in the brain.</t>
  </si>
  <si>
    <t>GSS</t>
  </si>
  <si>
    <t>Glutathione synthetase</t>
  </si>
  <si>
    <t>31783581, 28219206</t>
  </si>
  <si>
    <t>HMGB2</t>
  </si>
  <si>
    <t>HMG2</t>
  </si>
  <si>
    <t>High mobility group protein B2</t>
  </si>
  <si>
    <t>Multifunctional protein with various roles in different cellular compartments. May act in a redox sensitive manner. In the nucleus is an abundant chromatin-associated non-histone protein involved in transcription, chromatin remodeling and V(D)J recombination and probably other processes. </t>
  </si>
  <si>
    <t>25327479, 20851854</t>
  </si>
  <si>
    <t>RELB</t>
  </si>
  <si>
    <t>20564628, 29921694</t>
  </si>
  <si>
    <t>Transcription factor RelB</t>
  </si>
  <si>
    <t>NF-kappa-B is a homo- or heterodimeric complex formed by the Rel-like domain-containing proteins RELA/p65, RELB, NFKB1/p105, NFKB1/p50, REL and NFKB2/p52. </t>
  </si>
  <si>
    <t>NCBI link</t>
  </si>
  <si>
    <t>SLC7A5</t>
  </si>
  <si>
    <t>CD98LC, LAT1, MPE16</t>
  </si>
  <si>
    <t>Large neutral amino acids transporter small subunit 1</t>
  </si>
  <si>
    <t>The heterodimer with SLC3A2 functions as sodium-independent, high-affinity transporter that mediates uptake of large neutral amino acids such as phenylalanine, tyrosine, L-DOPA, leucine, histidine, methionine and tryptophan</t>
  </si>
  <si>
    <t>19058911, 28242177</t>
  </si>
  <si>
    <t>EIF4G2</t>
  </si>
  <si>
    <t>DAP5</t>
  </si>
  <si>
    <t>Eukaryotic translation initiation factor 4 gamma 2</t>
  </si>
  <si>
    <t>Appears to play a role in the switch from cap-dependent to IRES-mediated translation during mitosis, apoptosis and viral infection. Cleaved by some caspases and viral proteases.</t>
  </si>
  <si>
    <t>28117895, 9819442, 22555068, 11175261</t>
  </si>
  <si>
    <t>RPA2</t>
  </si>
  <si>
    <t>REPA2, RPA32, RPA34</t>
  </si>
  <si>
    <t>Replication protein A 32 kDa subunit</t>
  </si>
  <si>
    <t>As part of the heterotrimeric replication protein A complex (RPA/RP-A), binds and stabilizes single-stranded DNA intermediates, that form during DNA replication or upon DNA stress. </t>
  </si>
  <si>
    <t>18289945, 19787780</t>
  </si>
  <si>
    <t>IKBKB</t>
  </si>
  <si>
    <t>IKKB</t>
  </si>
  <si>
    <t>Inhibitor of nuclear factor kappa-B kinase subunit beta</t>
  </si>
  <si>
    <t>24854552, 32020377</t>
  </si>
  <si>
    <t>BCL2A1</t>
  </si>
  <si>
    <t>BCL2L5, BFL1, GRS, HBPA1</t>
  </si>
  <si>
    <t>Bcl-2-related protein A1</t>
  </si>
  <si>
    <t>31003775, 24277158</t>
  </si>
  <si>
    <t>Phosphatidylinositol 4,5-bisphosphate 3-kinase catalytic subunit alpha isoform</t>
  </si>
  <si>
    <t>ITGB6</t>
  </si>
  <si>
    <t>integrin subunit beta 6</t>
  </si>
  <si>
    <t>Integrin alpha-V:beta-6 (ITGAV:ITGB6) is a receptor for fibronectin and cytotactin. It recognizes the sequence R-G-D in its ligands</t>
  </si>
  <si>
    <t>IL24</t>
  </si>
  <si>
    <t>MDA7, ST16</t>
  </si>
  <si>
    <t>Interleukin-24</t>
  </si>
  <si>
    <t>Has antiproliferative properties on melanoma cells and may contribute to terminal cell differentiation.</t>
  </si>
  <si>
    <t>ZBTB7A</t>
  </si>
  <si>
    <t>Zinc finger and BTB domain-containing protein 7A</t>
  </si>
  <si>
    <t>FBI1, LRF, ZBTB7, ZNF857A, Pokemon</t>
  </si>
  <si>
    <t>28942243, 32083004, 26451776</t>
  </si>
  <si>
    <t>28942243, 29048638</t>
  </si>
  <si>
    <t>Displays thioredoxin reductase, glutaredoxin and glutathione reductase activities. Catalyzes disulfide bond isomerization. </t>
  </si>
  <si>
    <t xml:space="preserve">regulates not only caspases and apoptosis, but also modulates inflammatory signaling and immunity, copper homeostasis, mitogenic kinase signaling, cell proliferation, as well as cell invasion and metastasis. </t>
  </si>
  <si>
    <t>Transcriptional inhibitor that binds to DNA sequence 5'-CACCT-3' in different promoters. Represses transcription of E-cadherin. Represses expression of MEOX2</t>
  </si>
  <si>
    <t>30293817, 26966728, 25255219, 29713760</t>
  </si>
  <si>
    <t>FAAP100-null Hela cells are extremely sensitive to DNA crosslinking drugs cisplatin and MMC</t>
  </si>
  <si>
    <t>As part of the Fanconi anemia (FA) complex. Required for the nuclear accumulation of FANCC and provides a critical bridge between the FA complex and FANCD2</t>
  </si>
  <si>
    <t>Fanconi anemia group E protein</t>
  </si>
  <si>
    <t>FACE</t>
  </si>
  <si>
    <t>XRCC9</t>
  </si>
  <si>
    <t>Fanconi anemia group G protein</t>
  </si>
  <si>
    <t>18307537, 32125823</t>
  </si>
  <si>
    <t>Blocks Ras-mediated inhibition of integrin activation and modulates the ERK MAP kinase cascade. Inhibits RPS6KA3 activities by retaining it in the cytoplasm. Inhibits both TNFRSF6- and TNFRSF1A-mediated CASP8 activity and apoptosis. </t>
  </si>
  <si>
    <t>Serine-protein kinase ATM</t>
  </si>
  <si>
    <t>FRP1</t>
  </si>
  <si>
    <t>Serine/threonine-protein kinase ATR</t>
  </si>
  <si>
    <t>CHK1</t>
  </si>
  <si>
    <t>Serine/threonine-protein kinase Chk1</t>
  </si>
  <si>
    <t>CDS1, CHK2, RAD53</t>
  </si>
  <si>
    <t>Serine/threonine-protein kinase Chk2</t>
  </si>
  <si>
    <t>Auxiliary protein of DNA polymerase delta and is involved in the control of eukaryotic DNA replication by increasing the polymerase's processibility during elongation of the leading strand. Induces a robust stimulatory effect on the 3'-5' exonuclease and 3'-phosphodiesterase, but not apurinic-apyrimidinic (AP) endonuclease, APEX2 activities. </t>
  </si>
  <si>
    <t>DNA polymerase delta catalytic subunit</t>
  </si>
  <si>
    <t>POLD</t>
  </si>
  <si>
    <t>FANCS, RNF53</t>
  </si>
  <si>
    <t>Breast cancer type 1 susceptibility protein</t>
  </si>
  <si>
    <t>FACD, FANCD1</t>
  </si>
  <si>
    <t>Breast cancer type 2 susceptibility protein</t>
  </si>
  <si>
    <t>FANCR, RAD51A, RECA</t>
  </si>
  <si>
    <t>DNA repair protein RAD51 homolog 1</t>
  </si>
  <si>
    <t>RAD51L1, REC2</t>
  </si>
  <si>
    <t>DNA repair protein RAD51 homolog 2</t>
  </si>
  <si>
    <t>FancO, RAD51L2</t>
  </si>
  <si>
    <t>DNA repair protein RAD51 homolog 3</t>
  </si>
  <si>
    <t>DNA repair protein RAD51 homolog 4</t>
  </si>
  <si>
    <t>DNA repair protein RAD52 homolog</t>
  </si>
  <si>
    <t>9774659, 18473729, 21779174, 31381562, 27531263</t>
  </si>
  <si>
    <t>Structure-specific endonuclease subunit SLX4</t>
  </si>
  <si>
    <t>30111544, 25078033, 28157697</t>
  </si>
  <si>
    <t>FANCT, HSPC150, PIG50</t>
  </si>
  <si>
    <t>Ubiquitin-conjugating enzyme E2 T</t>
  </si>
  <si>
    <t>X-ray repair cross-complementing protein 5</t>
  </si>
  <si>
    <t>X-ray repair cross-complementing protein 6</t>
  </si>
  <si>
    <r>
      <rPr>
        <b/>
        <sz val="11"/>
        <color rgb="FF000000"/>
        <rFont val="Calibri"/>
        <family val="2"/>
        <scheme val="minor"/>
      </rPr>
      <t>1) MNAT1</t>
    </r>
    <r>
      <rPr>
        <sz val="11"/>
        <color indexed="8"/>
        <rFont val="Calibri"/>
        <family val="2"/>
        <scheme val="minor"/>
      </rPr>
      <t xml:space="preserve"> expressions in </t>
    </r>
    <r>
      <rPr>
        <b/>
        <sz val="11"/>
        <color rgb="FF000000"/>
        <rFont val="Calibri"/>
        <family val="2"/>
        <scheme val="minor"/>
      </rPr>
      <t>CRC</t>
    </r>
    <r>
      <rPr>
        <sz val="11"/>
        <color indexed="8"/>
        <rFont val="Calibri"/>
        <family val="2"/>
        <scheme val="minor"/>
      </rPr>
      <t xml:space="preserve"> tissue samples were associated with CRC carcinogenesis and poor patient outcomes. </t>
    </r>
    <r>
      <rPr>
        <b/>
        <sz val="11"/>
        <color rgb="FF000000"/>
        <rFont val="Calibri"/>
        <family val="2"/>
        <scheme val="minor"/>
      </rPr>
      <t xml:space="preserve">2) </t>
    </r>
    <r>
      <rPr>
        <sz val="11"/>
        <color indexed="8"/>
        <rFont val="Calibri"/>
        <family val="2"/>
        <scheme val="minor"/>
      </rPr>
      <t xml:space="preserve">mediates p53 ubiquitin-degradation to promote </t>
    </r>
    <r>
      <rPr>
        <b/>
        <sz val="11"/>
        <color rgb="FF000000"/>
        <rFont val="Calibri"/>
        <family val="2"/>
        <scheme val="minor"/>
      </rPr>
      <t>colorectal</t>
    </r>
    <r>
      <rPr>
        <sz val="11"/>
        <color indexed="8"/>
        <rFont val="Calibri"/>
        <family val="2"/>
        <scheme val="minor"/>
      </rPr>
      <t xml:space="preserve"> cancer malignance. </t>
    </r>
    <r>
      <rPr>
        <b/>
        <sz val="11"/>
        <color rgb="FF000000"/>
        <rFont val="Calibri"/>
        <family val="2"/>
        <scheme val="minor"/>
      </rPr>
      <t xml:space="preserve">3) </t>
    </r>
    <r>
      <rPr>
        <sz val="11"/>
        <color indexed="8"/>
        <rFont val="Calibri"/>
        <family val="2"/>
        <scheme val="minor"/>
      </rPr>
      <t>TFIIH has a 6-subunit core and a 3-subunit kinase (CAK) which is composed of</t>
    </r>
    <r>
      <rPr>
        <b/>
        <sz val="11"/>
        <color rgb="FF000000"/>
        <rFont val="Calibri"/>
        <family val="2"/>
        <scheme val="minor"/>
      </rPr>
      <t xml:space="preserve"> CDK7, Cyclin H</t>
    </r>
    <r>
      <rPr>
        <sz val="11"/>
        <color indexed="8"/>
        <rFont val="Calibri"/>
        <family val="2"/>
        <scheme val="minor"/>
      </rPr>
      <t xml:space="preserve"> and </t>
    </r>
    <r>
      <rPr>
        <b/>
        <sz val="11"/>
        <color rgb="FF000000"/>
        <rFont val="Calibri"/>
        <family val="2"/>
        <scheme val="minor"/>
      </rPr>
      <t>MAT1</t>
    </r>
    <r>
      <rPr>
        <sz val="11"/>
        <color indexed="8"/>
        <rFont val="Calibri"/>
        <family val="2"/>
        <scheme val="minor"/>
      </rPr>
      <t xml:space="preserve">. TFIIH has roles both in basal transcription initiation and in DNA repair. </t>
    </r>
    <r>
      <rPr>
        <b/>
        <sz val="11"/>
        <color rgb="FF000000"/>
        <rFont val="Calibri"/>
        <family val="2"/>
        <scheme val="minor"/>
      </rPr>
      <t>4)</t>
    </r>
    <r>
      <rPr>
        <sz val="11"/>
        <color indexed="8"/>
        <rFont val="Calibri"/>
        <family val="2"/>
        <scheme val="minor"/>
      </rPr>
      <t xml:space="preserve"> </t>
    </r>
    <r>
      <rPr>
        <b/>
        <sz val="11"/>
        <color rgb="FF000000"/>
        <rFont val="Calibri"/>
        <family val="2"/>
        <scheme val="minor"/>
      </rPr>
      <t>TFIIH</t>
    </r>
    <r>
      <rPr>
        <sz val="11"/>
        <color indexed="8"/>
        <rFont val="Calibri"/>
        <family val="2"/>
        <scheme val="minor"/>
      </rPr>
      <t xml:space="preserve"> plays a major role in NER, which is able to remove bulky lesions, such as </t>
    </r>
    <r>
      <rPr>
        <b/>
        <sz val="11"/>
        <color rgb="FF000000"/>
        <rFont val="Calibri"/>
        <family val="2"/>
        <scheme val="minor"/>
      </rPr>
      <t>cisplatin</t>
    </r>
    <r>
      <rPr>
        <sz val="11"/>
        <color indexed="8"/>
        <rFont val="Calibri"/>
        <family val="2"/>
        <scheme val="minor"/>
      </rPr>
      <t xml:space="preserve"> adducts. </t>
    </r>
    <r>
      <rPr>
        <b/>
        <sz val="11"/>
        <color rgb="FF000000"/>
        <rFont val="Calibri"/>
        <family val="2"/>
        <scheme val="minor"/>
      </rPr>
      <t>5) MNAT1</t>
    </r>
    <r>
      <rPr>
        <sz val="11"/>
        <color indexed="8"/>
        <rFont val="Calibri"/>
        <family val="2"/>
        <scheme val="minor"/>
      </rPr>
      <t xml:space="preserve"> was markedly over-expressed in </t>
    </r>
    <r>
      <rPr>
        <b/>
        <sz val="11"/>
        <color rgb="FF000000"/>
        <rFont val="Calibri"/>
        <family val="2"/>
        <scheme val="minor"/>
      </rPr>
      <t>OS</t>
    </r>
    <r>
      <rPr>
        <sz val="11"/>
        <color indexed="8"/>
        <rFont val="Calibri"/>
        <family val="2"/>
        <scheme val="minor"/>
      </rPr>
      <t xml:space="preserve"> tissue, highly MNAT1 expression was closely associated with bad clinical expectations. </t>
    </r>
    <r>
      <rPr>
        <b/>
        <sz val="11"/>
        <color rgb="FF000000"/>
        <rFont val="Calibri"/>
        <family val="2"/>
        <scheme val="minor"/>
      </rPr>
      <t>6)</t>
    </r>
    <r>
      <rPr>
        <sz val="11"/>
        <color indexed="8"/>
        <rFont val="Calibri"/>
        <family val="2"/>
        <scheme val="minor"/>
      </rPr>
      <t xml:space="preserve"> </t>
    </r>
    <r>
      <rPr>
        <b/>
        <sz val="11"/>
        <color rgb="FF000000"/>
        <rFont val="Calibri"/>
        <family val="2"/>
        <scheme val="minor"/>
      </rPr>
      <t>MNAT1</t>
    </r>
    <r>
      <rPr>
        <sz val="11"/>
        <color indexed="8"/>
        <rFont val="Calibri"/>
        <family val="2"/>
        <scheme val="minor"/>
      </rPr>
      <t xml:space="preserve"> silencing could weaken the invasion, migration and proliferation of OS cells in vitro, and inhibit OS tumor growth in vivo. </t>
    </r>
    <r>
      <rPr>
        <b/>
        <sz val="11"/>
        <color rgb="FF000000"/>
        <rFont val="Calibri"/>
        <family val="2"/>
        <scheme val="minor"/>
      </rPr>
      <t>7) MNAT1</t>
    </r>
    <r>
      <rPr>
        <sz val="11"/>
        <color indexed="8"/>
        <rFont val="Calibri"/>
        <family val="2"/>
        <scheme val="minor"/>
      </rPr>
      <t xml:space="preserve"> contributed to the progression of OS via the PI3K/Akt/mTOR pathway. </t>
    </r>
    <r>
      <rPr>
        <b/>
        <sz val="11"/>
        <color rgb="FF000000"/>
        <rFont val="Calibri"/>
        <family val="2"/>
        <scheme val="minor"/>
      </rPr>
      <t xml:space="preserve">8) </t>
    </r>
    <r>
      <rPr>
        <sz val="11"/>
        <color indexed="8"/>
        <rFont val="Calibri"/>
        <family val="2"/>
        <scheme val="minor"/>
      </rPr>
      <t xml:space="preserve">the </t>
    </r>
    <r>
      <rPr>
        <b/>
        <sz val="11"/>
        <color rgb="FF000000"/>
        <rFont val="Calibri"/>
        <family val="2"/>
        <scheme val="minor"/>
      </rPr>
      <t>MNAT1</t>
    </r>
    <r>
      <rPr>
        <sz val="11"/>
        <color indexed="8"/>
        <rFont val="Calibri"/>
        <family val="2"/>
        <scheme val="minor"/>
      </rPr>
      <t xml:space="preserve"> was required in the regulation of OS chemo-sensitivity to </t>
    </r>
    <r>
      <rPr>
        <b/>
        <sz val="11"/>
        <color rgb="FF000000"/>
        <rFont val="Calibri"/>
        <family val="2"/>
        <scheme val="minor"/>
      </rPr>
      <t>cisplatin</t>
    </r>
    <r>
      <rPr>
        <sz val="11"/>
        <color indexed="8"/>
        <rFont val="Calibri"/>
        <family val="2"/>
        <scheme val="minor"/>
      </rPr>
      <t xml:space="preserve"> (DDP).</t>
    </r>
  </si>
  <si>
    <t>30477538, 10673506, 33272245</t>
  </si>
  <si>
    <t>DNA ligase 4</t>
  </si>
  <si>
    <t xml:space="preserve">Involved in the uptake of thrombin-antithrombin complexes by hepatic cells (By similarity). When phosphorylated, plays a role in filament reorganization. Involved in the delivery of mutated CFTR to the plasma membrane. </t>
  </si>
  <si>
    <t>24389815, 25354091, 27184254, 27862665</t>
  </si>
  <si>
    <t>27492148, 30443191, 33456577</t>
  </si>
  <si>
    <t>Solute carrier family 2, facilitated glucose transporter member 14</t>
  </si>
  <si>
    <r>
      <rPr>
        <b/>
        <sz val="11"/>
        <color rgb="FF333333"/>
        <rFont val="Calibri"/>
        <family val="2"/>
        <scheme val="minor"/>
      </rPr>
      <t>1)</t>
    </r>
    <r>
      <rPr>
        <sz val="11"/>
        <color rgb="FF333333"/>
        <rFont val="Calibri"/>
        <family val="2"/>
        <scheme val="minor"/>
      </rPr>
      <t xml:space="preserve"> </t>
    </r>
    <r>
      <rPr>
        <b/>
        <sz val="11"/>
        <color rgb="FF333333"/>
        <rFont val="Calibri"/>
        <family val="2"/>
        <scheme val="minor"/>
      </rPr>
      <t xml:space="preserve">HABP1 </t>
    </r>
    <r>
      <rPr>
        <sz val="11"/>
        <color rgb="FF333333"/>
        <rFont val="Calibri"/>
        <family val="2"/>
        <scheme val="minor"/>
      </rPr>
      <t xml:space="preserve">over-expression was correlated to histological-differentiation, residual-tumor-size, serum CA-125 levels and International Federation of Gynecology and Obstetrics (FIGO) stage. </t>
    </r>
    <r>
      <rPr>
        <b/>
        <sz val="11"/>
        <color rgb="FF333333"/>
        <rFont val="Calibri"/>
        <family val="2"/>
        <scheme val="minor"/>
      </rPr>
      <t xml:space="preserve">2) </t>
    </r>
    <r>
      <rPr>
        <sz val="11"/>
        <color rgb="FF333333"/>
        <rFont val="Calibri"/>
        <family val="2"/>
        <scheme val="minor"/>
      </rPr>
      <t xml:space="preserve">Multivariate analyses demonstrated that increased expression of HABP1 was associated with </t>
    </r>
    <r>
      <rPr>
        <b/>
        <sz val="11"/>
        <color rgb="FF333333"/>
        <rFont val="Calibri"/>
        <family val="2"/>
        <scheme val="minor"/>
      </rPr>
      <t>cisplatin</t>
    </r>
    <r>
      <rPr>
        <sz val="11"/>
        <color rgb="FF333333"/>
        <rFont val="Calibri"/>
        <family val="2"/>
        <scheme val="minor"/>
      </rPr>
      <t xml:space="preserve"> resistance. </t>
    </r>
    <r>
      <rPr>
        <b/>
        <sz val="11"/>
        <color rgb="FF333333"/>
        <rFont val="Calibri"/>
        <family val="2"/>
        <scheme val="minor"/>
      </rPr>
      <t>3)</t>
    </r>
    <r>
      <rPr>
        <sz val="11"/>
        <color rgb="FF333333"/>
        <rFont val="Calibri"/>
        <family val="2"/>
        <scheme val="minor"/>
      </rPr>
      <t xml:space="preserve"> HABP1 low-expression resulted in an increased five-year OS and PFS. </t>
    </r>
    <r>
      <rPr>
        <b/>
        <sz val="11"/>
        <color rgb="FF333333"/>
        <rFont val="Calibri"/>
        <family val="2"/>
        <scheme val="minor"/>
      </rPr>
      <t>4)</t>
    </r>
    <r>
      <rPr>
        <sz val="11"/>
        <color rgb="FF333333"/>
        <rFont val="Calibri"/>
        <family val="2"/>
        <scheme val="minor"/>
      </rPr>
      <t xml:space="preserve"> Cox proportional hazards test identified that high expression of HABP1 led to increased risk for stage III/IV serous </t>
    </r>
    <r>
      <rPr>
        <b/>
        <sz val="11"/>
        <color rgb="FF333333"/>
        <rFont val="Calibri"/>
        <family val="2"/>
        <scheme val="minor"/>
      </rPr>
      <t>ovarian</t>
    </r>
    <r>
      <rPr>
        <sz val="11"/>
        <color rgb="FF333333"/>
        <rFont val="Calibri"/>
        <family val="2"/>
        <scheme val="minor"/>
      </rPr>
      <t xml:space="preserve"> cancer via poor OS and PFS. This was similar for cisplatin resistant patients. </t>
    </r>
    <r>
      <rPr>
        <b/>
        <sz val="11"/>
        <color rgb="FF333333"/>
        <rFont val="Calibri"/>
        <family val="2"/>
        <scheme val="minor"/>
      </rPr>
      <t xml:space="preserve">5) </t>
    </r>
    <r>
      <rPr>
        <sz val="11"/>
        <color rgb="FF333333"/>
        <rFont val="Calibri"/>
        <family val="2"/>
        <scheme val="minor"/>
      </rPr>
      <t xml:space="preserve">a two-fold increase in total intracellular </t>
    </r>
    <r>
      <rPr>
        <b/>
        <sz val="11"/>
        <color rgb="FF333333"/>
        <rFont val="Calibri"/>
        <family val="2"/>
        <scheme val="minor"/>
      </rPr>
      <t>HABP1</t>
    </r>
    <r>
      <rPr>
        <sz val="11"/>
        <color rgb="FF333333"/>
        <rFont val="Calibri"/>
        <family val="2"/>
        <scheme val="minor"/>
      </rPr>
      <t xml:space="preserve"> expression at 24 h of cisplatin treatment in Hela cells; a reduction in apoptotic cell population in </t>
    </r>
    <r>
      <rPr>
        <b/>
        <sz val="11"/>
        <color rgb="FF333333"/>
        <rFont val="Calibri"/>
        <family val="2"/>
        <scheme val="minor"/>
      </rPr>
      <t>cisplatin</t>
    </r>
    <r>
      <rPr>
        <sz val="11"/>
        <color rgb="FF333333"/>
        <rFont val="Calibri"/>
        <family val="2"/>
        <scheme val="minor"/>
      </rPr>
      <t xml:space="preserve"> treated HeLa cells with disrupted HABP1. </t>
    </r>
    <r>
      <rPr>
        <b/>
        <sz val="11"/>
        <color rgb="FF333333"/>
        <rFont val="Calibri"/>
        <family val="2"/>
        <scheme val="minor"/>
      </rPr>
      <t xml:space="preserve">6) </t>
    </r>
    <r>
      <rPr>
        <sz val="11"/>
        <color rgb="FF333333"/>
        <rFont val="Calibri"/>
        <family val="2"/>
        <scheme val="minor"/>
      </rPr>
      <t xml:space="preserve">siRNA-mediated </t>
    </r>
    <r>
      <rPr>
        <b/>
        <sz val="11"/>
        <color rgb="FF333333"/>
        <rFont val="Calibri"/>
        <family val="2"/>
        <scheme val="minor"/>
      </rPr>
      <t>p32</t>
    </r>
    <r>
      <rPr>
        <sz val="11"/>
        <color rgb="FF333333"/>
        <rFont val="Calibri"/>
        <family val="2"/>
        <scheme val="minor"/>
      </rPr>
      <t xml:space="preserve"> knockdown resulted in enhanced cell death in </t>
    </r>
    <r>
      <rPr>
        <b/>
        <sz val="11"/>
        <color rgb="FF333333"/>
        <rFont val="Calibri"/>
        <family val="2"/>
        <scheme val="minor"/>
      </rPr>
      <t>cisplatin</t>
    </r>
    <r>
      <rPr>
        <sz val="11"/>
        <color rgb="FF333333"/>
        <rFont val="Calibri"/>
        <family val="2"/>
        <scheme val="minor"/>
      </rPr>
      <t xml:space="preserve"> treatment. </t>
    </r>
  </si>
  <si>
    <r>
      <rPr>
        <b/>
        <sz val="11"/>
        <color rgb="FF333333"/>
        <rFont val="Calibri"/>
        <family val="2"/>
        <scheme val="minor"/>
      </rPr>
      <t>1)</t>
    </r>
    <r>
      <rPr>
        <sz val="11"/>
        <color rgb="FF333333"/>
        <rFont val="Calibri"/>
        <family val="2"/>
        <scheme val="minor"/>
      </rPr>
      <t xml:space="preserve"> Individuals with hemizygous germline fumarate hydratase </t>
    </r>
    <r>
      <rPr>
        <b/>
        <sz val="11"/>
        <color rgb="FF333333"/>
        <rFont val="Calibri"/>
        <family val="2"/>
        <scheme val="minor"/>
      </rPr>
      <t>(FH</t>
    </r>
    <r>
      <rPr>
        <sz val="11"/>
        <color rgb="FF333333"/>
        <rFont val="Calibri"/>
        <family val="2"/>
        <scheme val="minor"/>
      </rPr>
      <t xml:space="preserve">) mutations are predisposed to </t>
    </r>
    <r>
      <rPr>
        <b/>
        <sz val="11"/>
        <color rgb="FF333333"/>
        <rFont val="Calibri"/>
        <family val="2"/>
        <scheme val="minor"/>
      </rPr>
      <t>renal</t>
    </r>
    <r>
      <rPr>
        <sz val="11"/>
        <color rgb="FF333333"/>
        <rFont val="Calibri"/>
        <family val="2"/>
        <scheme val="minor"/>
      </rPr>
      <t xml:space="preserve"> cancer (HLRCC).</t>
    </r>
    <r>
      <rPr>
        <b/>
        <sz val="11"/>
        <color rgb="FF333333"/>
        <rFont val="Calibri"/>
        <family val="2"/>
        <scheme val="minor"/>
      </rPr>
      <t xml:space="preserve"> 2) </t>
    </r>
    <r>
      <rPr>
        <sz val="11"/>
        <color rgb="FF333333"/>
        <rFont val="Calibri"/>
        <family val="2"/>
        <scheme val="minor"/>
      </rPr>
      <t xml:space="preserve">Stabilization of </t>
    </r>
    <r>
      <rPr>
        <b/>
        <sz val="11"/>
        <color rgb="FF333333"/>
        <rFont val="Calibri"/>
        <family val="2"/>
        <scheme val="minor"/>
      </rPr>
      <t>HIF1</t>
    </r>
    <r>
      <rPr>
        <sz val="11"/>
        <color rgb="FF333333"/>
        <rFont val="Calibri"/>
        <family val="2"/>
        <scheme val="minor"/>
      </rPr>
      <t xml:space="preserve"> and</t>
    </r>
    <r>
      <rPr>
        <b/>
        <sz val="11"/>
        <color rgb="FF333333"/>
        <rFont val="Calibri"/>
        <family val="2"/>
        <scheme val="minor"/>
      </rPr>
      <t xml:space="preserve"> </t>
    </r>
    <r>
      <rPr>
        <sz val="11"/>
        <color rgb="FF333333"/>
        <rFont val="Calibri"/>
        <family val="2"/>
        <scheme val="minor"/>
      </rPr>
      <t xml:space="preserve">upregulated transcription of HIF target genes in HLRCC tumor samples and in </t>
    </r>
    <r>
      <rPr>
        <b/>
        <sz val="11"/>
        <color rgb="FF333333"/>
        <rFont val="Calibri"/>
        <family val="2"/>
        <scheme val="minor"/>
      </rPr>
      <t>FH</t>
    </r>
    <r>
      <rPr>
        <sz val="11"/>
        <color rgb="FF333333"/>
        <rFont val="Calibri"/>
        <family val="2"/>
        <scheme val="minor"/>
      </rPr>
      <t xml:space="preserve"> siRNA-treated cells. </t>
    </r>
    <r>
      <rPr>
        <b/>
        <sz val="11"/>
        <color rgb="FF333333"/>
        <rFont val="Calibri"/>
        <family val="2"/>
        <scheme val="minor"/>
      </rPr>
      <t>3) fumarate</t>
    </r>
    <r>
      <rPr>
        <sz val="11"/>
        <color rgb="FF333333"/>
        <rFont val="Calibri"/>
        <family val="2"/>
        <scheme val="minor"/>
      </rPr>
      <t xml:space="preserve"> and </t>
    </r>
    <r>
      <rPr>
        <b/>
        <sz val="11"/>
        <color rgb="FF333333"/>
        <rFont val="Calibri"/>
        <family val="2"/>
        <scheme val="minor"/>
      </rPr>
      <t>succinate</t>
    </r>
    <r>
      <rPr>
        <sz val="11"/>
        <color rgb="FF333333"/>
        <rFont val="Calibri"/>
        <family val="2"/>
        <scheme val="minor"/>
      </rPr>
      <t xml:space="preserve"> both suppress the homologous recombination (HR) required for the resolution of DNA double-strand breaks (DSBs). </t>
    </r>
    <r>
      <rPr>
        <b/>
        <sz val="11"/>
        <color rgb="FF333333"/>
        <rFont val="Calibri"/>
        <family val="2"/>
        <scheme val="minor"/>
      </rPr>
      <t xml:space="preserve">4) </t>
    </r>
    <r>
      <rPr>
        <sz val="11"/>
        <color rgb="FF333333"/>
        <rFont val="Calibri"/>
        <family val="2"/>
        <scheme val="minor"/>
      </rPr>
      <t xml:space="preserve">HLRCC and </t>
    </r>
    <r>
      <rPr>
        <b/>
        <sz val="11"/>
        <color rgb="FF333333"/>
        <rFont val="Calibri"/>
        <family val="2"/>
        <scheme val="minor"/>
      </rPr>
      <t>SDH</t>
    </r>
    <r>
      <rPr>
        <sz val="11"/>
        <color rgb="FF333333"/>
        <rFont val="Calibri"/>
        <family val="2"/>
        <scheme val="minor"/>
      </rPr>
      <t xml:space="preserve"> PGL/PCC as familial DNA repair deficiency syndromes. </t>
    </r>
    <r>
      <rPr>
        <b/>
        <sz val="11"/>
        <color rgb="FF333333"/>
        <rFont val="Calibri"/>
        <family val="2"/>
        <scheme val="minor"/>
      </rPr>
      <t xml:space="preserve">5) </t>
    </r>
    <r>
      <rPr>
        <sz val="11"/>
        <color rgb="FF333333"/>
        <rFont val="Calibri"/>
        <family val="2"/>
        <scheme val="minor"/>
      </rPr>
      <t>Compared with A549, the expression of</t>
    </r>
    <r>
      <rPr>
        <b/>
        <sz val="11"/>
        <color rgb="FF333333"/>
        <rFont val="Calibri"/>
        <family val="2"/>
        <scheme val="minor"/>
      </rPr>
      <t xml:space="preserve"> fumarate hydratase</t>
    </r>
    <r>
      <rPr>
        <sz val="11"/>
        <color rgb="FF333333"/>
        <rFont val="Calibri"/>
        <family val="2"/>
        <scheme val="minor"/>
      </rPr>
      <t>, were decreased in A549/</t>
    </r>
    <r>
      <rPr>
        <b/>
        <sz val="11"/>
        <color rgb="FF333333"/>
        <rFont val="Calibri"/>
        <family val="2"/>
        <scheme val="minor"/>
      </rPr>
      <t>DDP</t>
    </r>
    <r>
      <rPr>
        <sz val="11"/>
        <color rgb="FF333333"/>
        <rFont val="Calibri"/>
        <family val="2"/>
        <scheme val="minor"/>
      </rPr>
      <t xml:space="preserve">. </t>
    </r>
    <r>
      <rPr>
        <b/>
        <sz val="11"/>
        <color rgb="FF333333"/>
        <rFont val="Calibri"/>
        <family val="2"/>
        <scheme val="minor"/>
      </rPr>
      <t>6) FH</t>
    </r>
    <r>
      <rPr>
        <sz val="11"/>
        <color rgb="FF333333"/>
        <rFont val="Calibri"/>
        <family val="2"/>
        <scheme val="minor"/>
      </rPr>
      <t xml:space="preserve"> was the most significant gene which induced by </t>
    </r>
    <r>
      <rPr>
        <b/>
        <sz val="11"/>
        <color rgb="FF333333"/>
        <rFont val="Calibri"/>
        <family val="2"/>
        <scheme val="minor"/>
      </rPr>
      <t>CDDP</t>
    </r>
    <r>
      <rPr>
        <sz val="11"/>
        <color rgb="FF333333"/>
        <rFont val="Calibri"/>
        <family val="2"/>
        <scheme val="minor"/>
      </rPr>
      <t xml:space="preserve"> treatment. and the suppression of FH could </t>
    </r>
    <r>
      <rPr>
        <u/>
        <sz val="11"/>
        <color rgb="FF333333"/>
        <rFont val="Calibri"/>
        <family val="2"/>
        <scheme val="minor"/>
      </rPr>
      <t>enhance</t>
    </r>
    <r>
      <rPr>
        <sz val="11"/>
        <color rgb="FF333333"/>
        <rFont val="Calibri"/>
        <family val="2"/>
        <scheme val="minor"/>
      </rPr>
      <t xml:space="preserve"> the cytotoxicity of CDDP. </t>
    </r>
    <r>
      <rPr>
        <b/>
        <sz val="11"/>
        <color rgb="FF333333"/>
        <rFont val="Calibri"/>
        <family val="2"/>
        <scheme val="minor"/>
      </rPr>
      <t>7)</t>
    </r>
    <r>
      <rPr>
        <sz val="11"/>
        <color rgb="FF333333"/>
        <rFont val="Calibri"/>
        <family val="2"/>
        <scheme val="minor"/>
      </rPr>
      <t xml:space="preserve"> Miconazole Nitrate (MN) could inhibit FH activity and enhance the effect of CDDP in vitro and in vivo. </t>
    </r>
    <r>
      <rPr>
        <b/>
        <sz val="11"/>
        <color rgb="FF333333"/>
        <rFont val="Calibri"/>
        <family val="2"/>
        <scheme val="minor"/>
      </rPr>
      <t xml:space="preserve">8) </t>
    </r>
    <r>
      <rPr>
        <sz val="11"/>
        <color rgb="FF333333"/>
        <rFont val="Calibri"/>
        <family val="2"/>
        <scheme val="minor"/>
      </rPr>
      <t xml:space="preserve">The FH expression, which was higher in GC tissues than in noncancerous tissues, was </t>
    </r>
    <r>
      <rPr>
        <u/>
        <sz val="11"/>
        <color rgb="FF333333"/>
        <rFont val="Calibri"/>
        <family val="2"/>
        <scheme val="minor"/>
      </rPr>
      <t>negatively</t>
    </r>
    <r>
      <rPr>
        <sz val="11"/>
        <color rgb="FF333333"/>
        <rFont val="Calibri"/>
        <family val="2"/>
        <scheme val="minor"/>
      </rPr>
      <t xml:space="preserve"> associated with the prognosis of patients. </t>
    </r>
    <r>
      <rPr>
        <b/>
        <sz val="11"/>
        <color rgb="FF333333"/>
        <rFont val="Calibri"/>
        <family val="2"/>
        <scheme val="minor"/>
      </rPr>
      <t>9)</t>
    </r>
    <r>
      <rPr>
        <sz val="11"/>
        <color rgb="FF333333"/>
        <rFont val="Calibri"/>
        <family val="2"/>
        <scheme val="minor"/>
      </rPr>
      <t xml:space="preserve"> In metastatic clear cell </t>
    </r>
    <r>
      <rPr>
        <b/>
        <sz val="11"/>
        <color rgb="FF333333"/>
        <rFont val="Calibri"/>
        <family val="2"/>
        <scheme val="minor"/>
      </rPr>
      <t>renal</t>
    </r>
    <r>
      <rPr>
        <sz val="11"/>
        <color rgb="FF333333"/>
        <rFont val="Calibri"/>
        <family val="2"/>
        <scheme val="minor"/>
      </rPr>
      <t xml:space="preserve"> cell carcinoma (mccRCC) patients, </t>
    </r>
    <r>
      <rPr>
        <b/>
        <sz val="11"/>
        <color rgb="FF333333"/>
        <rFont val="Calibri"/>
        <family val="2"/>
        <scheme val="minor"/>
      </rPr>
      <t>low</t>
    </r>
    <r>
      <rPr>
        <sz val="11"/>
        <color rgb="FF333333"/>
        <rFont val="Calibri"/>
        <family val="2"/>
        <scheme val="minor"/>
      </rPr>
      <t xml:space="preserve"> FH expression in primary tumors is associated with</t>
    </r>
    <r>
      <rPr>
        <b/>
        <sz val="11"/>
        <color rgb="FF333333"/>
        <rFont val="Calibri"/>
        <family val="2"/>
        <scheme val="minor"/>
      </rPr>
      <t xml:space="preserve"> longer PFS</t>
    </r>
    <r>
      <rPr>
        <sz val="11"/>
        <color rgb="FF333333"/>
        <rFont val="Calibri"/>
        <family val="2"/>
        <scheme val="minor"/>
      </rPr>
      <t xml:space="preserve"> during any first-line or TKI treatment, and also with</t>
    </r>
    <r>
      <rPr>
        <b/>
        <sz val="11"/>
        <color rgb="FF333333"/>
        <rFont val="Calibri"/>
        <family val="2"/>
        <scheme val="minor"/>
      </rPr>
      <t xml:space="preserve"> better OS</t>
    </r>
    <r>
      <rPr>
        <sz val="11"/>
        <color rgb="FF333333"/>
        <rFont val="Calibri"/>
        <family val="2"/>
        <scheme val="minor"/>
      </rPr>
      <t xml:space="preserve">. </t>
    </r>
  </si>
  <si>
    <t>Protein FAM83B</t>
  </si>
  <si>
    <t>30056367, 33192515</t>
  </si>
  <si>
    <t>May play a role in estrogen-stimulated cell proliferation. GREB1, along with CCND1 and MYC, are common transcription targets for E2 (17β-estradiol)-mediated proliferative responses, via ESR1 engagement</t>
  </si>
  <si>
    <t>Protein GREB1</t>
  </si>
  <si>
    <r>
      <rPr>
        <b/>
        <sz val="11"/>
        <color rgb="FF333333"/>
        <rFont val="Calibri"/>
        <family val="2"/>
        <scheme val="minor"/>
      </rPr>
      <t>1)</t>
    </r>
    <r>
      <rPr>
        <sz val="11"/>
        <color rgb="FF333333"/>
        <rFont val="Calibri"/>
        <family val="2"/>
        <scheme val="minor"/>
      </rPr>
      <t xml:space="preserve"> </t>
    </r>
    <r>
      <rPr>
        <b/>
        <sz val="11"/>
        <color rgb="FF333333"/>
        <rFont val="Calibri"/>
        <family val="2"/>
        <scheme val="minor"/>
      </rPr>
      <t>Cisplatin</t>
    </r>
    <r>
      <rPr>
        <sz val="11"/>
        <color rgb="FF333333"/>
        <rFont val="Calibri"/>
        <family val="2"/>
        <scheme val="minor"/>
      </rPr>
      <t> also provoked the generation of reactive oxygen species (ROS) by NADPH oxidase. ROS increment was responsible for the </t>
    </r>
    <r>
      <rPr>
        <b/>
        <sz val="11"/>
        <color rgb="FF333333"/>
        <rFont val="Calibri"/>
        <family val="2"/>
        <scheme val="minor"/>
      </rPr>
      <t>PKC-α</t>
    </r>
    <r>
      <rPr>
        <sz val="11"/>
        <color rgb="FF333333"/>
        <rFont val="Calibri"/>
        <family val="2"/>
        <scheme val="minor"/>
      </rPr>
      <t xml:space="preserve"> activation that provoked EGFR transactivation and consequential phosphorylation of ERK1/2. </t>
    </r>
    <r>
      <rPr>
        <b/>
        <sz val="11"/>
        <color rgb="FF333333"/>
        <rFont val="Calibri"/>
        <family val="2"/>
        <scheme val="minor"/>
      </rPr>
      <t xml:space="preserve">2) </t>
    </r>
    <r>
      <rPr>
        <sz val="11"/>
        <color rgb="FF333333"/>
        <rFont val="Calibri"/>
        <family val="2"/>
        <scheme val="minor"/>
      </rPr>
      <t>The inhibition of this pathway at various level (PKC-α, EGFR or ERK1/2) increased cisplatin-induced cytotoxicity.</t>
    </r>
    <r>
      <rPr>
        <b/>
        <sz val="11"/>
        <color rgb="FF333333"/>
        <rFont val="Calibri"/>
        <family val="2"/>
        <scheme val="minor"/>
      </rPr>
      <t xml:space="preserve"> 3) </t>
    </r>
    <r>
      <rPr>
        <sz val="11"/>
        <color rgb="FF333333"/>
        <rFont val="Calibri"/>
        <family val="2"/>
        <scheme val="minor"/>
      </rPr>
      <t xml:space="preserve">MiR-483-3p was found up-regulated in 4 platinum resistant. </t>
    </r>
    <r>
      <rPr>
        <b/>
        <sz val="11"/>
        <color rgb="FF333333"/>
        <rFont val="Calibri"/>
        <family val="2"/>
        <scheme val="minor"/>
      </rPr>
      <t>4)</t>
    </r>
    <r>
      <rPr>
        <sz val="11"/>
        <color rgb="FF333333"/>
        <rFont val="Calibri"/>
        <family val="2"/>
        <scheme val="minor"/>
      </rPr>
      <t xml:space="preserve"> miR-483-3p over-expression reduced cell growth and conferred mild levels of </t>
    </r>
    <r>
      <rPr>
        <b/>
        <sz val="11"/>
        <color rgb="FF333333"/>
        <rFont val="Calibri"/>
        <family val="2"/>
        <scheme val="minor"/>
      </rPr>
      <t>cisplatin</t>
    </r>
    <r>
      <rPr>
        <sz val="11"/>
        <color rgb="FF333333"/>
        <rFont val="Calibri"/>
        <family val="2"/>
        <scheme val="minor"/>
      </rPr>
      <t xml:space="preserve"> resistance in IGROV-1 cells. </t>
    </r>
    <r>
      <rPr>
        <b/>
        <sz val="11"/>
        <color rgb="FF333333"/>
        <rFont val="Calibri"/>
        <family val="2"/>
        <scheme val="minor"/>
      </rPr>
      <t>5)</t>
    </r>
    <r>
      <rPr>
        <sz val="11"/>
        <color rgb="FF333333"/>
        <rFont val="Calibri"/>
        <family val="2"/>
        <scheme val="minor"/>
      </rPr>
      <t xml:space="preserve"> Predicted targets of miR-483-3p included </t>
    </r>
    <r>
      <rPr>
        <b/>
        <sz val="11"/>
        <color rgb="FF333333"/>
        <rFont val="Calibri"/>
        <family val="2"/>
        <scheme val="minor"/>
      </rPr>
      <t>PRKCA</t>
    </r>
    <r>
      <rPr>
        <sz val="11"/>
        <color rgb="FF333333"/>
        <rFont val="Calibri"/>
        <family val="2"/>
        <scheme val="minor"/>
      </rPr>
      <t xml:space="preserve">, previously reported to be associated to platinum-resistance in </t>
    </r>
    <r>
      <rPr>
        <b/>
        <sz val="11"/>
        <color rgb="FF333333"/>
        <rFont val="Calibri"/>
        <family val="2"/>
        <scheme val="minor"/>
      </rPr>
      <t>ovarian</t>
    </r>
    <r>
      <rPr>
        <sz val="11"/>
        <color rgb="FF333333"/>
        <rFont val="Calibri"/>
        <family val="2"/>
        <scheme val="minor"/>
      </rPr>
      <t xml:space="preserve"> carcinoma. </t>
    </r>
    <r>
      <rPr>
        <b/>
        <sz val="11"/>
        <color rgb="FF333333"/>
        <rFont val="Calibri"/>
        <family val="2"/>
        <scheme val="minor"/>
      </rPr>
      <t xml:space="preserve">6) </t>
    </r>
    <r>
      <rPr>
        <sz val="11"/>
        <color rgb="FF333333"/>
        <rFont val="Calibri"/>
        <family val="2"/>
        <scheme val="minor"/>
      </rPr>
      <t xml:space="preserve">cisplatin sensitivity of IGROV-1 cells decreased upon molecular /pharmacological inhibition of PKC-alpha. </t>
    </r>
    <r>
      <rPr>
        <b/>
        <sz val="11"/>
        <color rgb="FF333333"/>
        <rFont val="Calibri"/>
        <family val="2"/>
        <scheme val="minor"/>
      </rPr>
      <t xml:space="preserve">7) </t>
    </r>
    <r>
      <rPr>
        <sz val="11"/>
        <color rgb="FF333333"/>
        <rFont val="Calibri"/>
        <family val="2"/>
        <scheme val="minor"/>
      </rPr>
      <t xml:space="preserve">Knockdown of PKCdelta by small interfering RNA inhibited cisplatin-induced apoptosis but knockdown of </t>
    </r>
    <r>
      <rPr>
        <b/>
        <sz val="11"/>
        <color rgb="FF333333"/>
        <rFont val="Calibri"/>
        <family val="2"/>
        <scheme val="minor"/>
      </rPr>
      <t>PKCalpha</t>
    </r>
    <r>
      <rPr>
        <sz val="11"/>
        <color rgb="FF333333"/>
        <rFont val="Calibri"/>
        <family val="2"/>
        <scheme val="minor"/>
      </rPr>
      <t xml:space="preserve"> enhanced cisplatin-induced cell death. </t>
    </r>
    <r>
      <rPr>
        <b/>
        <sz val="11"/>
        <color rgb="FF333333"/>
        <rFont val="Calibri"/>
        <family val="2"/>
        <scheme val="minor"/>
      </rPr>
      <t xml:space="preserve">8) </t>
    </r>
    <r>
      <rPr>
        <sz val="11"/>
        <color rgb="FF333333"/>
        <rFont val="Calibri"/>
        <family val="2"/>
        <scheme val="minor"/>
      </rPr>
      <t xml:space="preserve">The abundance of </t>
    </r>
    <r>
      <rPr>
        <b/>
        <sz val="11"/>
        <color rgb="FF333333"/>
        <rFont val="Calibri"/>
        <family val="2"/>
        <scheme val="minor"/>
      </rPr>
      <t>PKC alpha</t>
    </r>
    <r>
      <rPr>
        <sz val="11"/>
        <color rgb="FF333333"/>
        <rFont val="Calibri"/>
        <family val="2"/>
        <scheme val="minor"/>
      </rPr>
      <t xml:space="preserve"> decreased significantly in 2008/C13*5.25 cells, whereas the amount of PKC epsilon increased moderately in the resistant variant, with no alteration in PKC zeta content. </t>
    </r>
    <r>
      <rPr>
        <b/>
        <sz val="11"/>
        <color rgb="FF333333"/>
        <rFont val="Calibri"/>
        <family val="2"/>
        <scheme val="minor"/>
      </rPr>
      <t xml:space="preserve">9) </t>
    </r>
    <r>
      <rPr>
        <sz val="11"/>
        <color rgb="FF333333"/>
        <rFont val="Calibri"/>
        <family val="2"/>
        <scheme val="minor"/>
      </rPr>
      <t xml:space="preserve">Serine phosphorylation of glutathione S-transferase P1 (GSTP1) by PKCα enhances GSTP1-dependent cisplatin metabolism and resistance in human glioma cells. </t>
    </r>
    <r>
      <rPr>
        <b/>
        <sz val="11"/>
        <color rgb="FF333333"/>
        <rFont val="Calibri"/>
        <family val="2"/>
        <scheme val="minor"/>
      </rPr>
      <t xml:space="preserve">10) </t>
    </r>
    <r>
      <rPr>
        <sz val="11"/>
        <color rgb="FF333333"/>
        <rFont val="Calibri"/>
        <family val="2"/>
        <scheme val="minor"/>
      </rPr>
      <t xml:space="preserve">protein kinase Calpha-mediated Bcl-2 stabilization. </t>
    </r>
  </si>
  <si>
    <t>P53</t>
  </si>
  <si>
    <t>Cellular tumor antigen p53</t>
  </si>
  <si>
    <t>30225719, 31423287</t>
  </si>
  <si>
    <t>24525731, 25348020</t>
  </si>
  <si>
    <t>a two-domain of 32 kDa protein composed of an N-terminal Trx domain and a C-terminal domain that interacts with the 26S proteasome (19349277)</t>
  </si>
  <si>
    <t>KiSS1-induced GPR54 signaling inhibits breast cancer cell migration and epithelial-mesenchymal transition via protein kinase D1 (24894166). Studies suggest a putative role in the regulation of events downstream of cell-matrix adhesion, perhaps involving cytoskeletal reorganization. </t>
  </si>
  <si>
    <t>Mothers against decapentaplegic homolog 4</t>
  </si>
  <si>
    <t>DPC4, MADH4</t>
  </si>
  <si>
    <r>
      <rPr>
        <b/>
        <sz val="11"/>
        <color rgb="FF333333"/>
        <rFont val="Calibri"/>
        <family val="2"/>
        <scheme val="minor"/>
      </rPr>
      <t>1)</t>
    </r>
    <r>
      <rPr>
        <sz val="11"/>
        <color rgb="FF333333"/>
        <rFont val="Calibri"/>
        <family val="2"/>
        <scheme val="minor"/>
      </rPr>
      <t xml:space="preserve"> Cells obtained from MMTV-PyMT;</t>
    </r>
    <r>
      <rPr>
        <b/>
        <sz val="11"/>
        <color rgb="FF333333"/>
        <rFont val="Calibri"/>
        <family val="2"/>
        <scheme val="minor"/>
      </rPr>
      <t>Apc</t>
    </r>
    <r>
      <rPr>
        <sz val="11"/>
        <color rgb="FF333333"/>
        <rFont val="Calibri"/>
        <family val="2"/>
        <scheme val="minor"/>
      </rPr>
      <t xml:space="preserve">Min/+ tumors express increased MDR1, which is augmented by treatment with paclitaxel or doxorubicin. </t>
    </r>
    <r>
      <rPr>
        <b/>
        <sz val="11"/>
        <color rgb="FF333333"/>
        <rFont val="Calibri"/>
        <family val="2"/>
        <scheme val="minor"/>
      </rPr>
      <t xml:space="preserve">2) </t>
    </r>
    <r>
      <rPr>
        <sz val="11"/>
        <color rgb="FF333333"/>
        <rFont val="Calibri"/>
        <family val="2"/>
        <scheme val="minor"/>
      </rPr>
      <t xml:space="preserve">MMTV-PyMT;ApcMin/+ cells are more resistant to </t>
    </r>
    <r>
      <rPr>
        <b/>
        <sz val="11"/>
        <color rgb="FF333333"/>
        <rFont val="Calibri"/>
        <family val="2"/>
        <scheme val="minor"/>
      </rPr>
      <t>cisplatin</t>
    </r>
    <r>
      <rPr>
        <sz val="11"/>
        <color rgb="FF333333"/>
        <rFont val="Calibri"/>
        <family val="2"/>
        <scheme val="minor"/>
      </rPr>
      <t xml:space="preserve"> and doxorubicin-induced apoptosis, </t>
    </r>
    <r>
      <rPr>
        <b/>
        <sz val="11"/>
        <color rgb="FF333333"/>
        <rFont val="Calibri"/>
        <family val="2"/>
        <scheme val="minor"/>
      </rPr>
      <t xml:space="preserve">3) </t>
    </r>
    <r>
      <rPr>
        <sz val="11"/>
        <color rgb="FF333333"/>
        <rFont val="Calibri"/>
        <family val="2"/>
        <scheme val="minor"/>
      </rPr>
      <t>show a larger population of ALDH positive cells.</t>
    </r>
    <r>
      <rPr>
        <b/>
        <sz val="11"/>
        <color rgb="FF333333"/>
        <rFont val="Calibri"/>
        <family val="2"/>
        <scheme val="minor"/>
      </rPr>
      <t xml:space="preserve"> 4)</t>
    </r>
    <r>
      <rPr>
        <sz val="11"/>
        <color rgb="FF333333"/>
        <rFont val="Calibri"/>
        <family val="2"/>
        <scheme val="minor"/>
      </rPr>
      <t xml:space="preserve"> In the human metaplastic </t>
    </r>
    <r>
      <rPr>
        <b/>
        <sz val="11"/>
        <color rgb="FF333333"/>
        <rFont val="Calibri"/>
        <family val="2"/>
        <scheme val="minor"/>
      </rPr>
      <t>breast</t>
    </r>
    <r>
      <rPr>
        <sz val="11"/>
        <color rgb="FF333333"/>
        <rFont val="Calibri"/>
        <family val="2"/>
        <scheme val="minor"/>
      </rPr>
      <t xml:space="preserve"> cancer cell line MDA-MB-157, </t>
    </r>
    <r>
      <rPr>
        <b/>
        <sz val="11"/>
        <color rgb="FF333333"/>
        <rFont val="Calibri"/>
        <family val="2"/>
        <scheme val="minor"/>
      </rPr>
      <t>APC</t>
    </r>
    <r>
      <rPr>
        <sz val="11"/>
        <color rgb="FF333333"/>
        <rFont val="Calibri"/>
        <family val="2"/>
        <scheme val="minor"/>
      </rPr>
      <t xml:space="preserve"> knockdown led to paclitaxel and cisplatin resistance. </t>
    </r>
    <r>
      <rPr>
        <b/>
        <sz val="11"/>
        <color rgb="FF333333"/>
        <rFont val="Calibri"/>
        <family val="2"/>
        <scheme val="minor"/>
      </rPr>
      <t xml:space="preserve">5) </t>
    </r>
    <r>
      <rPr>
        <sz val="11"/>
        <color rgb="FF333333"/>
        <rFont val="Calibri"/>
        <family val="2"/>
        <scheme val="minor"/>
      </rPr>
      <t xml:space="preserve">APC loss-of-function significantly increases resistance to cisplatin-mediated apoptosis in both MDA-MB-157 and the PyMT derived cells. </t>
    </r>
    <r>
      <rPr>
        <b/>
        <sz val="11"/>
        <color rgb="FF333333"/>
        <rFont val="Calibri"/>
        <family val="2"/>
        <scheme val="minor"/>
      </rPr>
      <t>6) ovarian</t>
    </r>
    <r>
      <rPr>
        <sz val="11"/>
        <color rgb="FF333333"/>
        <rFont val="Calibri"/>
        <family val="2"/>
        <scheme val="minor"/>
      </rPr>
      <t xml:space="preserve"> cancer patients with low </t>
    </r>
    <r>
      <rPr>
        <b/>
        <sz val="11"/>
        <color rgb="FF333333"/>
        <rFont val="Calibri"/>
        <family val="2"/>
        <scheme val="minor"/>
      </rPr>
      <t>FAM83B</t>
    </r>
    <r>
      <rPr>
        <sz val="11"/>
        <color rgb="FF333333"/>
        <rFont val="Calibri"/>
        <family val="2"/>
        <scheme val="minor"/>
      </rPr>
      <t xml:space="preserve"> levels had shorter survival time, tissues with </t>
    </r>
    <r>
      <rPr>
        <b/>
        <sz val="11"/>
        <color rgb="FF333333"/>
        <rFont val="Calibri"/>
        <family val="2"/>
        <scheme val="minor"/>
      </rPr>
      <t>cisplatin</t>
    </r>
    <r>
      <rPr>
        <sz val="11"/>
        <color rgb="FF333333"/>
        <rFont val="Calibri"/>
        <family val="2"/>
        <scheme val="minor"/>
      </rPr>
      <t xml:space="preserve"> resistance also had low FAM83B levels. </t>
    </r>
    <r>
      <rPr>
        <b/>
        <sz val="11"/>
        <color rgb="FF333333"/>
        <rFont val="Calibri"/>
        <family val="2"/>
        <scheme val="minor"/>
      </rPr>
      <t xml:space="preserve">7) </t>
    </r>
    <r>
      <rPr>
        <sz val="11"/>
        <color rgb="FF333333"/>
        <rFont val="Calibri"/>
        <family val="2"/>
        <scheme val="minor"/>
      </rPr>
      <t xml:space="preserve">FAM83B interacted with APC to inhibit Wnt pathway activity; FAM83B levels were negative with Wnt pathway activity in clinic samples. </t>
    </r>
  </si>
  <si>
    <r>
      <rPr>
        <b/>
        <sz val="11"/>
        <color rgb="FF333333"/>
        <rFont val="Calibri"/>
        <family val="2"/>
        <scheme val="minor"/>
      </rPr>
      <t xml:space="preserve">1) </t>
    </r>
    <r>
      <rPr>
        <sz val="11"/>
        <color rgb="FF333333"/>
        <rFont val="Calibri"/>
        <family val="2"/>
        <scheme val="minor"/>
      </rPr>
      <t xml:space="preserve">Chemoresistant </t>
    </r>
    <r>
      <rPr>
        <b/>
        <sz val="11"/>
        <color rgb="FF333333"/>
        <rFont val="Calibri"/>
        <family val="2"/>
        <scheme val="minor"/>
      </rPr>
      <t>EOC</t>
    </r>
    <r>
      <rPr>
        <sz val="11"/>
        <color rgb="FF333333"/>
        <rFont val="Calibri"/>
        <family val="2"/>
        <scheme val="minor"/>
      </rPr>
      <t xml:space="preserve"> cells expressed higher </t>
    </r>
    <r>
      <rPr>
        <b/>
        <sz val="11"/>
        <color rgb="FF333333"/>
        <rFont val="Calibri"/>
        <family val="2"/>
        <scheme val="minor"/>
      </rPr>
      <t>COL11A1</t>
    </r>
    <r>
      <rPr>
        <sz val="11"/>
        <color rgb="FF333333"/>
        <rFont val="Calibri"/>
        <family val="2"/>
        <scheme val="minor"/>
      </rPr>
      <t xml:space="preserve"> and </t>
    </r>
    <r>
      <rPr>
        <b/>
        <sz val="11"/>
        <color rgb="FF333333"/>
        <rFont val="Calibri"/>
        <family val="2"/>
        <scheme val="minor"/>
      </rPr>
      <t>c/EBPβ</t>
    </r>
    <r>
      <rPr>
        <sz val="11"/>
        <color rgb="FF333333"/>
        <rFont val="Calibri"/>
        <family val="2"/>
        <scheme val="minor"/>
      </rPr>
      <t xml:space="preserve"> than chemosensitive cells. </t>
    </r>
    <r>
      <rPr>
        <b/>
        <sz val="11"/>
        <color rgb="FF333333"/>
        <rFont val="Calibri"/>
        <family val="2"/>
        <scheme val="minor"/>
      </rPr>
      <t>2)</t>
    </r>
    <r>
      <rPr>
        <sz val="11"/>
        <color rgb="FF333333"/>
        <rFont val="Calibri"/>
        <family val="2"/>
        <scheme val="minor"/>
      </rPr>
      <t xml:space="preserve"> </t>
    </r>
    <r>
      <rPr>
        <b/>
        <sz val="11"/>
        <color rgb="FF333333"/>
        <rFont val="Calibri"/>
        <family val="2"/>
        <scheme val="minor"/>
      </rPr>
      <t>COL11A1 or c/EBPβ</t>
    </r>
    <r>
      <rPr>
        <sz val="11"/>
        <color rgb="FF333333"/>
        <rFont val="Calibri"/>
        <family val="2"/>
        <scheme val="minor"/>
      </rPr>
      <t xml:space="preserve"> downregulation suppressed chemoresistance. </t>
    </r>
    <r>
      <rPr>
        <b/>
        <sz val="11"/>
        <color rgb="FF333333"/>
        <rFont val="Calibri"/>
        <family val="2"/>
        <scheme val="minor"/>
      </rPr>
      <t>3) COL11A1</t>
    </r>
    <r>
      <rPr>
        <sz val="11"/>
        <color rgb="FF333333"/>
        <rFont val="Calibri"/>
        <family val="2"/>
        <scheme val="minor"/>
      </rPr>
      <t xml:space="preserve"> overexpression attenuated sensitivity to</t>
    </r>
    <r>
      <rPr>
        <b/>
        <sz val="11"/>
        <color rgb="FF333333"/>
        <rFont val="Calibri"/>
        <family val="2"/>
        <scheme val="minor"/>
      </rPr>
      <t xml:space="preserve"> cisplatin</t>
    </r>
    <r>
      <rPr>
        <sz val="11"/>
        <color rgb="FF333333"/>
        <rFont val="Calibri"/>
        <family val="2"/>
        <scheme val="minor"/>
      </rPr>
      <t xml:space="preserve"> and paclitaxel. </t>
    </r>
    <r>
      <rPr>
        <b/>
        <sz val="11"/>
        <color rgb="FF333333"/>
        <rFont val="Calibri"/>
        <family val="2"/>
        <scheme val="minor"/>
      </rPr>
      <t xml:space="preserve">4) </t>
    </r>
    <r>
      <rPr>
        <sz val="11"/>
        <color rgb="FF333333"/>
        <rFont val="Calibri"/>
        <family val="2"/>
        <scheme val="minor"/>
      </rPr>
      <t xml:space="preserve">The </t>
    </r>
    <r>
      <rPr>
        <b/>
        <sz val="11"/>
        <color rgb="FF333333"/>
        <rFont val="Calibri"/>
        <family val="2"/>
        <scheme val="minor"/>
      </rPr>
      <t xml:space="preserve">c/EBPβ </t>
    </r>
    <r>
      <rPr>
        <sz val="11"/>
        <color rgb="FF333333"/>
        <rFont val="Calibri"/>
        <family val="2"/>
        <scheme val="minor"/>
      </rPr>
      <t xml:space="preserve">binding site in the </t>
    </r>
    <r>
      <rPr>
        <b/>
        <sz val="11"/>
        <color rgb="FF333333"/>
        <rFont val="Calibri"/>
        <family val="2"/>
        <scheme val="minor"/>
      </rPr>
      <t>COL11A1</t>
    </r>
    <r>
      <rPr>
        <sz val="11"/>
        <color rgb="FF333333"/>
        <rFont val="Calibri"/>
        <family val="2"/>
        <scheme val="minor"/>
      </rPr>
      <t xml:space="preserve"> promoter was identified as the major determinant of</t>
    </r>
    <r>
      <rPr>
        <b/>
        <sz val="11"/>
        <color rgb="FF333333"/>
        <rFont val="Calibri"/>
        <family val="2"/>
        <scheme val="minor"/>
      </rPr>
      <t xml:space="preserve"> cisplatin-</t>
    </r>
    <r>
      <rPr>
        <sz val="11"/>
        <color rgb="FF333333"/>
        <rFont val="Calibri"/>
        <family val="2"/>
        <scheme val="minor"/>
      </rPr>
      <t xml:space="preserve"> and paclitaxel-induced COL11A1 expression. </t>
    </r>
    <r>
      <rPr>
        <b/>
        <sz val="11"/>
        <color rgb="FF333333"/>
        <rFont val="Calibri"/>
        <family val="2"/>
        <scheme val="minor"/>
      </rPr>
      <t>5) LIP</t>
    </r>
    <r>
      <rPr>
        <sz val="11"/>
        <color rgb="FF333333"/>
        <rFont val="Calibri"/>
        <family val="2"/>
        <scheme val="minor"/>
      </rPr>
      <t xml:space="preserve"> was degraded by constitutive ubiquitination in primary </t>
    </r>
    <r>
      <rPr>
        <b/>
        <sz val="11"/>
        <color rgb="FF333333"/>
        <rFont val="Calibri"/>
        <family val="2"/>
        <scheme val="minor"/>
      </rPr>
      <t>MPM</t>
    </r>
    <r>
      <rPr>
        <sz val="11"/>
        <color rgb="FF333333"/>
        <rFont val="Calibri"/>
        <family val="2"/>
        <scheme val="minor"/>
      </rPr>
      <t xml:space="preserve"> cells derived from patients poorly responsive to </t>
    </r>
    <r>
      <rPr>
        <b/>
        <sz val="11"/>
        <color rgb="FF333333"/>
        <rFont val="Calibri"/>
        <family val="2"/>
        <scheme val="minor"/>
      </rPr>
      <t>cisplatin</t>
    </r>
    <r>
      <rPr>
        <sz val="11"/>
        <color rgb="FF333333"/>
        <rFont val="Calibri"/>
        <family val="2"/>
        <scheme val="minor"/>
      </rPr>
      <t xml:space="preserve">. </t>
    </r>
    <r>
      <rPr>
        <b/>
        <sz val="11"/>
        <color rgb="FF333333"/>
        <rFont val="Calibri"/>
        <family val="2"/>
        <scheme val="minor"/>
      </rPr>
      <t>6) LIP</t>
    </r>
    <r>
      <rPr>
        <sz val="11"/>
        <color rgb="FF333333"/>
        <rFont val="Calibri"/>
        <family val="2"/>
        <scheme val="minor"/>
      </rPr>
      <t xml:space="preserve"> ubiquitination was directly correlated with cisplatin chemosensitivity and was associated with patients' survival after chemotherapy. </t>
    </r>
    <r>
      <rPr>
        <b/>
        <sz val="11"/>
        <color rgb="FF333333"/>
        <rFont val="Calibri"/>
        <family val="2"/>
        <scheme val="minor"/>
      </rPr>
      <t>7)</t>
    </r>
    <r>
      <rPr>
        <sz val="11"/>
        <color rgb="FF333333"/>
        <rFont val="Calibri"/>
        <family val="2"/>
        <scheme val="minor"/>
      </rPr>
      <t xml:space="preserve"> Overexpression of </t>
    </r>
    <r>
      <rPr>
        <b/>
        <sz val="11"/>
        <color rgb="FF333333"/>
        <rFont val="Calibri"/>
        <family val="2"/>
        <scheme val="minor"/>
      </rPr>
      <t>LIP</t>
    </r>
    <r>
      <rPr>
        <sz val="11"/>
        <color rgb="FF333333"/>
        <rFont val="Calibri"/>
        <family val="2"/>
        <scheme val="minor"/>
      </rPr>
      <t xml:space="preserve"> restored cisplatin's pro-apoptotic effect by activating </t>
    </r>
    <r>
      <rPr>
        <b/>
        <sz val="11"/>
        <color rgb="FF333333"/>
        <rFont val="Calibri"/>
        <family val="2"/>
        <scheme val="minor"/>
      </rPr>
      <t>CHOP/TRB3/caspase 3 axis</t>
    </r>
    <r>
      <rPr>
        <sz val="11"/>
        <color rgb="FF333333"/>
        <rFont val="Calibri"/>
        <family val="2"/>
        <scheme val="minor"/>
      </rPr>
      <t xml:space="preserve"> and up-regulating calreticulin. </t>
    </r>
    <r>
      <rPr>
        <b/>
        <sz val="11"/>
        <color rgb="FF333333"/>
        <rFont val="Calibri"/>
        <family val="2"/>
        <scheme val="minor"/>
      </rPr>
      <t xml:space="preserve">8) </t>
    </r>
    <r>
      <rPr>
        <sz val="11"/>
        <color rgb="FF333333"/>
        <rFont val="Calibri"/>
        <family val="2"/>
        <scheme val="minor"/>
      </rPr>
      <t xml:space="preserve">Proteasome </t>
    </r>
    <r>
      <rPr>
        <b/>
        <sz val="11"/>
        <color rgb="FF333333"/>
        <rFont val="Calibri"/>
        <family val="2"/>
        <scheme val="minor"/>
      </rPr>
      <t>inhibitor carfilzomib</t>
    </r>
    <r>
      <rPr>
        <sz val="11"/>
        <color rgb="FF333333"/>
        <rFont val="Calibri"/>
        <family val="2"/>
        <scheme val="minor"/>
      </rPr>
      <t xml:space="preserve"> and lysosome </t>
    </r>
    <r>
      <rPr>
        <b/>
        <sz val="11"/>
        <color rgb="FF333333"/>
        <rFont val="Calibri"/>
        <family val="2"/>
        <scheme val="minor"/>
      </rPr>
      <t>inhibitor chloroquine</t>
    </r>
    <r>
      <rPr>
        <sz val="11"/>
        <color rgb="FF333333"/>
        <rFont val="Calibri"/>
        <family val="2"/>
        <scheme val="minor"/>
      </rPr>
      <t xml:space="preserve"> prevented LIP degradation. </t>
    </r>
    <r>
      <rPr>
        <b/>
        <sz val="11"/>
        <color rgb="FF333333"/>
        <rFont val="Calibri"/>
        <family val="2"/>
        <scheme val="minor"/>
      </rPr>
      <t xml:space="preserve">13) </t>
    </r>
    <r>
      <rPr>
        <sz val="11"/>
        <color rgb="FF333333"/>
        <rFont val="Calibri"/>
        <family val="2"/>
        <scheme val="minor"/>
      </rPr>
      <t>The triple combination of carfilzomib, chloroquine and cisplatin increased ER stress-triggered apoptosis and immunogenic cell death in patients' samples, and reduced tumor growth in cisplatin-resistant MPM preclinical models.</t>
    </r>
  </si>
  <si>
    <r>
      <rPr>
        <b/>
        <sz val="11"/>
        <color rgb="FF333333"/>
        <rFont val="Calibri"/>
        <family val="2"/>
        <scheme val="minor"/>
      </rPr>
      <t>1)</t>
    </r>
    <r>
      <rPr>
        <sz val="11"/>
        <color rgb="FF333333"/>
        <rFont val="Calibri"/>
        <family val="2"/>
        <scheme val="minor"/>
      </rPr>
      <t xml:space="preserve"> expression of </t>
    </r>
    <r>
      <rPr>
        <b/>
        <sz val="11"/>
        <color rgb="FF333333"/>
        <rFont val="Calibri"/>
        <family val="2"/>
        <scheme val="minor"/>
      </rPr>
      <t>CLDN1</t>
    </r>
    <r>
      <rPr>
        <sz val="11"/>
        <color rgb="FF333333"/>
        <rFont val="Calibri"/>
        <family val="2"/>
        <scheme val="minor"/>
      </rPr>
      <t xml:space="preserve"> in </t>
    </r>
    <r>
      <rPr>
        <b/>
        <sz val="11"/>
        <color rgb="FF333333"/>
        <rFont val="Calibri"/>
        <family val="2"/>
        <scheme val="minor"/>
      </rPr>
      <t>NSCLC</t>
    </r>
    <r>
      <rPr>
        <sz val="11"/>
        <color rgb="FF333333"/>
        <rFont val="Calibri"/>
        <family val="2"/>
        <scheme val="minor"/>
      </rPr>
      <t xml:space="preserve"> is up-regulated and it is correlated with clinicopathological features. </t>
    </r>
    <r>
      <rPr>
        <b/>
        <sz val="11"/>
        <color rgb="FF333333"/>
        <rFont val="Calibri"/>
        <family val="2"/>
        <scheme val="minor"/>
      </rPr>
      <t>2)</t>
    </r>
    <r>
      <rPr>
        <sz val="11"/>
        <color rgb="FF333333"/>
        <rFont val="Calibri"/>
        <family val="2"/>
        <scheme val="minor"/>
      </rPr>
      <t xml:space="preserve"> </t>
    </r>
    <r>
      <rPr>
        <b/>
        <sz val="11"/>
        <color rgb="FF333333"/>
        <rFont val="Calibri"/>
        <family val="2"/>
        <scheme val="minor"/>
      </rPr>
      <t>CLDN1</t>
    </r>
    <r>
      <rPr>
        <sz val="11"/>
        <color rgb="FF333333"/>
        <rFont val="Calibri"/>
        <family val="2"/>
        <scheme val="minor"/>
      </rPr>
      <t xml:space="preserve"> expression in A549/</t>
    </r>
    <r>
      <rPr>
        <b/>
        <sz val="11"/>
        <color rgb="FF333333"/>
        <rFont val="Calibri"/>
        <family val="2"/>
        <scheme val="minor"/>
      </rPr>
      <t>CDDP</t>
    </r>
    <r>
      <rPr>
        <sz val="11"/>
        <color rgb="FF333333"/>
        <rFont val="Calibri"/>
        <family val="2"/>
        <scheme val="minor"/>
      </rPr>
      <t xml:space="preserve"> cells is up-regulated at both transcriptional and translational levels. </t>
    </r>
    <r>
      <rPr>
        <b/>
        <sz val="11"/>
        <color rgb="FF333333"/>
        <rFont val="Calibri"/>
        <family val="2"/>
        <scheme val="minor"/>
      </rPr>
      <t xml:space="preserve">3) </t>
    </r>
    <r>
      <rPr>
        <sz val="11"/>
        <color rgb="FF333333"/>
        <rFont val="Calibri"/>
        <family val="2"/>
        <scheme val="minor"/>
      </rPr>
      <t xml:space="preserve">Reduced </t>
    </r>
    <r>
      <rPr>
        <b/>
        <sz val="11"/>
        <color rgb="FF333333"/>
        <rFont val="Calibri"/>
        <family val="2"/>
        <scheme val="minor"/>
      </rPr>
      <t>CLDN1</t>
    </r>
    <r>
      <rPr>
        <sz val="11"/>
        <color rgb="FF333333"/>
        <rFont val="Calibri"/>
        <family val="2"/>
        <scheme val="minor"/>
      </rPr>
      <t xml:space="preserve"> expression decreases the CDDP resistance, proliferation, migration, and invasion. </t>
    </r>
    <r>
      <rPr>
        <b/>
        <sz val="11"/>
        <color rgb="FF333333"/>
        <rFont val="Calibri"/>
        <family val="2"/>
        <scheme val="minor"/>
      </rPr>
      <t>4) CLDN1</t>
    </r>
    <r>
      <rPr>
        <sz val="11"/>
        <color rgb="FF333333"/>
        <rFont val="Calibri"/>
        <family val="2"/>
        <scheme val="minor"/>
      </rPr>
      <t xml:space="preserve"> activates autophagy through up-regulation of ULK1 phosphorylation and promotes drug resistance of NSCLC cells to </t>
    </r>
    <r>
      <rPr>
        <b/>
        <sz val="11"/>
        <color rgb="FF333333"/>
        <rFont val="Calibri"/>
        <family val="2"/>
        <scheme val="minor"/>
      </rPr>
      <t>CDDP</t>
    </r>
    <r>
      <rPr>
        <sz val="11"/>
        <color rgb="FF333333"/>
        <rFont val="Calibri"/>
        <family val="2"/>
        <scheme val="minor"/>
      </rPr>
      <t xml:space="preserve">. </t>
    </r>
    <r>
      <rPr>
        <b/>
        <sz val="11"/>
        <color rgb="FF333333"/>
        <rFont val="Calibri"/>
        <family val="2"/>
        <scheme val="minor"/>
      </rPr>
      <t>5) CLDN1</t>
    </r>
    <r>
      <rPr>
        <sz val="11"/>
        <color rgb="FF333333"/>
        <rFont val="Calibri"/>
        <family val="2"/>
        <scheme val="minor"/>
      </rPr>
      <t xml:space="preserve"> repressed cancer progression via a feedback loop of the </t>
    </r>
    <r>
      <rPr>
        <b/>
        <sz val="11"/>
        <color rgb="FF333333"/>
        <rFont val="Calibri"/>
        <family val="2"/>
        <scheme val="minor"/>
      </rPr>
      <t>CLDN1-EPHB6-ERK1/2-SLUG</t>
    </r>
    <r>
      <rPr>
        <sz val="11"/>
        <color rgb="FF333333"/>
        <rFont val="Calibri"/>
        <family val="2"/>
        <scheme val="minor"/>
      </rPr>
      <t xml:space="preserve"> axis, which repressed metastasis, drug resistance, and cancer stemness; Combined treatment with </t>
    </r>
    <r>
      <rPr>
        <b/>
        <sz val="11"/>
        <color rgb="FF333333"/>
        <rFont val="Calibri"/>
        <family val="2"/>
        <scheme val="minor"/>
      </rPr>
      <t>cisplatin</t>
    </r>
    <r>
      <rPr>
        <sz val="11"/>
        <color rgb="FF333333"/>
        <rFont val="Calibri"/>
        <family val="2"/>
        <scheme val="minor"/>
      </rPr>
      <t xml:space="preserve"> and trichostatin A or vorinostat (facilitating CLDN1 expression) had a synergistic effect on </t>
    </r>
    <r>
      <rPr>
        <b/>
        <sz val="11"/>
        <color rgb="FF333333"/>
        <rFont val="Calibri"/>
        <family val="2"/>
        <scheme val="minor"/>
      </rPr>
      <t>Lung</t>
    </r>
    <r>
      <rPr>
        <sz val="11"/>
        <color rgb="FF333333"/>
        <rFont val="Calibri"/>
        <family val="2"/>
        <scheme val="minor"/>
      </rPr>
      <t xml:space="preserve"> cancer-cell death (A549). </t>
    </r>
    <r>
      <rPr>
        <b/>
        <sz val="11"/>
        <color rgb="FF333333"/>
        <rFont val="Calibri"/>
        <family val="2"/>
        <scheme val="minor"/>
      </rPr>
      <t>6)</t>
    </r>
    <r>
      <rPr>
        <sz val="11"/>
        <color rgb="FF333333"/>
        <rFont val="Calibri"/>
        <family val="2"/>
        <scheme val="minor"/>
      </rPr>
      <t xml:space="preserve"> Upregulation of </t>
    </r>
    <r>
      <rPr>
        <b/>
        <sz val="11"/>
        <color rgb="FF333333"/>
        <rFont val="Calibri"/>
        <family val="2"/>
        <scheme val="minor"/>
      </rPr>
      <t>CLDN1</t>
    </r>
    <r>
      <rPr>
        <sz val="11"/>
        <color rgb="FF333333"/>
        <rFont val="Calibri"/>
        <family val="2"/>
        <scheme val="minor"/>
      </rPr>
      <t xml:space="preserve"> and </t>
    </r>
    <r>
      <rPr>
        <b/>
        <sz val="11"/>
        <color rgb="FF333333"/>
        <rFont val="Calibri"/>
        <family val="2"/>
        <scheme val="minor"/>
      </rPr>
      <t>RUNX3</t>
    </r>
    <r>
      <rPr>
        <sz val="11"/>
        <color rgb="FF333333"/>
        <rFont val="Calibri"/>
        <family val="2"/>
        <scheme val="minor"/>
      </rPr>
      <t xml:space="preserve"> predict a positive chemotherapeutic response and clinical outcome for patients with lung adenocarcinoma</t>
    </r>
  </si>
  <si>
    <r>
      <rPr>
        <b/>
        <sz val="11"/>
        <rFont val="Calibri"/>
        <family val="2"/>
        <scheme val="minor"/>
      </rPr>
      <t>1)</t>
    </r>
    <r>
      <rPr>
        <sz val="11"/>
        <rFont val="Calibri"/>
        <family val="2"/>
        <scheme val="minor"/>
      </rPr>
      <t xml:space="preserve"> Chemotherapy for most patients (n = 50) consisted of repeated cycles of</t>
    </r>
    <r>
      <rPr>
        <b/>
        <sz val="11"/>
        <rFont val="Calibri"/>
        <family val="2"/>
        <scheme val="minor"/>
      </rPr>
      <t xml:space="preserve"> cisplatin </t>
    </r>
    <r>
      <rPr>
        <sz val="11"/>
        <rFont val="Calibri"/>
        <family val="2"/>
        <scheme val="minor"/>
      </rPr>
      <t xml:space="preserve">and vincristine, with combinations of </t>
    </r>
    <r>
      <rPr>
        <b/>
        <sz val="11"/>
        <rFont val="Calibri"/>
        <family val="2"/>
        <scheme val="minor"/>
      </rPr>
      <t>carboplatin</t>
    </r>
    <r>
      <rPr>
        <sz val="11"/>
        <rFont val="Calibri"/>
        <family val="2"/>
        <scheme val="minor"/>
      </rPr>
      <t xml:space="preserve">, etoposide, cyclophosphamide and/or lomustine.  </t>
    </r>
    <r>
      <rPr>
        <b/>
        <sz val="11"/>
        <rFont val="Calibri"/>
        <family val="2"/>
        <scheme val="minor"/>
      </rPr>
      <t xml:space="preserve">2) </t>
    </r>
    <r>
      <rPr>
        <sz val="11"/>
        <rFont val="Calibri"/>
        <family val="2"/>
        <scheme val="minor"/>
      </rPr>
      <t xml:space="preserve">Gain of 8q is associated with worse overall survival, which is not entirely attributable to MYC amplification or overexpression. </t>
    </r>
    <r>
      <rPr>
        <b/>
        <sz val="11"/>
        <rFont val="Calibri"/>
        <family val="2"/>
        <scheme val="minor"/>
      </rPr>
      <t xml:space="preserve">3) </t>
    </r>
    <r>
      <rPr>
        <sz val="11"/>
        <rFont val="Calibri"/>
        <family val="2"/>
        <scheme val="minor"/>
      </rPr>
      <t xml:space="preserve">By applying CGH results to gene expression analysis of </t>
    </r>
    <r>
      <rPr>
        <b/>
        <sz val="11"/>
        <rFont val="Calibri"/>
        <family val="2"/>
        <scheme val="minor"/>
      </rPr>
      <t>medulloblastoma</t>
    </r>
    <r>
      <rPr>
        <sz val="11"/>
        <rFont val="Calibri"/>
        <family val="2"/>
        <scheme val="minor"/>
      </rPr>
      <t>, three 8q-mapped genes are associated with overall survival in the larger group of 64 patients: eukaryotic translation elongation factor 1D (EEF1D), ribosomal protein L30 (RPL30), and ribosomal protein S20 (</t>
    </r>
    <r>
      <rPr>
        <b/>
        <sz val="11"/>
        <rFont val="Calibri"/>
        <family val="2"/>
        <scheme val="minor"/>
      </rPr>
      <t>RPS20</t>
    </r>
    <r>
      <rPr>
        <sz val="11"/>
        <rFont val="Calibri"/>
        <family val="2"/>
        <scheme val="minor"/>
      </rPr>
      <t xml:space="preserve">). </t>
    </r>
    <r>
      <rPr>
        <b/>
        <sz val="11"/>
        <rFont val="Calibri"/>
        <family val="2"/>
        <scheme val="minor"/>
      </rPr>
      <t xml:space="preserve">4) </t>
    </r>
    <r>
      <rPr>
        <sz val="11"/>
        <rFont val="Calibri"/>
        <family val="2"/>
        <scheme val="minor"/>
      </rPr>
      <t xml:space="preserve">RPS20 belongs to the Acquired Resistance Signature (to cisplatin+Fluorouracil) whose expression is up-regulated in resistant </t>
    </r>
    <r>
      <rPr>
        <b/>
        <sz val="11"/>
        <rFont val="Calibri"/>
        <family val="2"/>
        <scheme val="minor"/>
      </rPr>
      <t>gastric</t>
    </r>
    <r>
      <rPr>
        <sz val="11"/>
        <rFont val="Calibri"/>
        <family val="2"/>
        <scheme val="minor"/>
      </rPr>
      <t xml:space="preserve"> cancer patient samples.  </t>
    </r>
    <r>
      <rPr>
        <b/>
        <sz val="11"/>
        <rFont val="Calibri"/>
        <family val="2"/>
        <scheme val="minor"/>
      </rPr>
      <t xml:space="preserve">5) </t>
    </r>
    <r>
      <rPr>
        <sz val="11"/>
        <rFont val="Calibri"/>
        <family val="2"/>
        <scheme val="minor"/>
      </rPr>
      <t>RPL37, RPS15, and</t>
    </r>
    <r>
      <rPr>
        <b/>
        <sz val="11"/>
        <rFont val="Calibri"/>
        <family val="2"/>
        <scheme val="minor"/>
      </rPr>
      <t xml:space="preserve"> RPS20</t>
    </r>
    <r>
      <rPr>
        <sz val="11"/>
        <rFont val="Calibri"/>
        <family val="2"/>
        <scheme val="minor"/>
      </rPr>
      <t xml:space="preserve"> as RPs that can also bind Mdm2 and activate p53.</t>
    </r>
    <r>
      <rPr>
        <b/>
        <sz val="11"/>
        <rFont val="Calibri"/>
        <family val="2"/>
        <scheme val="minor"/>
      </rPr>
      <t xml:space="preserve"> 6) </t>
    </r>
    <r>
      <rPr>
        <sz val="11"/>
        <rFont val="Calibri"/>
        <family val="2"/>
        <scheme val="minor"/>
      </rPr>
      <t xml:space="preserve">For each RP, the mechanism of Mdm2 and p53 stabilization appears to be through inhibiting the E3 ubiquitin ligase activity of Mdm2; and they are each capable of inducing cell death and cell cycle arrest. </t>
    </r>
  </si>
  <si>
    <r>
      <rPr>
        <b/>
        <sz val="11"/>
        <color rgb="FF333333"/>
        <rFont val="Calibri"/>
        <family val="2"/>
        <scheme val="minor"/>
      </rPr>
      <t xml:space="preserve">1) </t>
    </r>
    <r>
      <rPr>
        <sz val="11"/>
        <color rgb="FF333333"/>
        <rFont val="Calibri"/>
        <family val="2"/>
        <scheme val="minor"/>
      </rPr>
      <t xml:space="preserve">BRCA1 interact with the Pol II holoenzyme complex and p53 and c-Myc and triger transcriptional changes linked to cell cycle checkpoint and apoptosis. </t>
    </r>
    <r>
      <rPr>
        <b/>
        <sz val="11"/>
        <color rgb="FF333333"/>
        <rFont val="Calibri"/>
        <family val="2"/>
        <scheme val="minor"/>
      </rPr>
      <t>2) ovarian</t>
    </r>
    <r>
      <rPr>
        <sz val="11"/>
        <color rgb="FF333333"/>
        <rFont val="Calibri"/>
        <family val="2"/>
        <scheme val="minor"/>
      </rPr>
      <t xml:space="preserve"> carcinomas with mutated </t>
    </r>
    <r>
      <rPr>
        <b/>
        <sz val="11"/>
        <color rgb="FF333333"/>
        <rFont val="Calibri"/>
        <family val="2"/>
        <scheme val="minor"/>
      </rPr>
      <t>BRCA1</t>
    </r>
    <r>
      <rPr>
        <sz val="11"/>
        <color rgb="FF333333"/>
        <rFont val="Calibri"/>
        <family val="2"/>
        <scheme val="minor"/>
      </rPr>
      <t xml:space="preserve"> or BRCA2 are sensitive to </t>
    </r>
    <r>
      <rPr>
        <b/>
        <sz val="11"/>
        <color rgb="FF333333"/>
        <rFont val="Calibri"/>
        <family val="2"/>
        <scheme val="minor"/>
      </rPr>
      <t>platinum</t>
    </r>
    <r>
      <rPr>
        <sz val="11"/>
        <color rgb="FF333333"/>
        <rFont val="Calibri"/>
        <family val="2"/>
        <scheme val="minor"/>
      </rPr>
      <t xml:space="preserve"> compounds, such carcinomas eventually develop platinum resistance. </t>
    </r>
    <r>
      <rPr>
        <b/>
        <sz val="11"/>
        <color rgb="FF333333"/>
        <rFont val="Calibri"/>
        <family val="2"/>
        <scheme val="minor"/>
      </rPr>
      <t xml:space="preserve">3) </t>
    </r>
    <r>
      <rPr>
        <sz val="11"/>
        <color rgb="FF333333"/>
        <rFont val="Calibri"/>
        <family val="2"/>
        <scheme val="minor"/>
      </rPr>
      <t xml:space="preserve">nine recurrent BRCA1-mutated ovarian cancers previously treated with platinum compounds, including five with acquired platinum resistance, one with primary platinum resistance, and three with platinum sensitivity. </t>
    </r>
    <r>
      <rPr>
        <b/>
        <sz val="11"/>
        <color rgb="FF333333"/>
        <rFont val="Calibri"/>
        <family val="2"/>
        <scheme val="minor"/>
      </rPr>
      <t>4)</t>
    </r>
    <r>
      <rPr>
        <sz val="11"/>
        <color rgb="FF333333"/>
        <rFont val="Calibri"/>
        <family val="2"/>
        <scheme val="minor"/>
      </rPr>
      <t xml:space="preserve"> Four of the six recurrent platinum-resistant tumors had developed secondary genetic changes in BRCA1 that restored the reading frame of the BRCA1 protein, </t>
    </r>
    <r>
      <rPr>
        <b/>
        <sz val="11"/>
        <color rgb="FF333333"/>
        <rFont val="Calibri"/>
        <family val="2"/>
        <scheme val="minor"/>
      </rPr>
      <t xml:space="preserve">5) </t>
    </r>
    <r>
      <rPr>
        <sz val="11"/>
        <color rgb="FF333333"/>
        <rFont val="Calibri"/>
        <family val="2"/>
        <scheme val="minor"/>
      </rPr>
      <t xml:space="preserve">none of the three platinum-sensitive recurrent tumors developed BRCA1 sequence alterations. </t>
    </r>
    <r>
      <rPr>
        <b/>
        <sz val="11"/>
        <color rgb="FF333333"/>
        <rFont val="Calibri"/>
        <family val="2"/>
        <scheme val="minor"/>
      </rPr>
      <t xml:space="preserve">6) </t>
    </r>
    <r>
      <rPr>
        <sz val="11"/>
        <color rgb="FF333333"/>
        <rFont val="Calibri"/>
        <family val="2"/>
        <scheme val="minor"/>
      </rPr>
      <t xml:space="preserve">The BRCA1 locus product protein BRCA1-IRIS is overexpressed in several cisplatin-resistant ovarian cancer cell lines, </t>
    </r>
    <r>
      <rPr>
        <b/>
        <sz val="11"/>
        <color rgb="FF333333"/>
        <rFont val="Calibri"/>
        <family val="2"/>
        <scheme val="minor"/>
      </rPr>
      <t xml:space="preserve">7) </t>
    </r>
    <r>
      <rPr>
        <sz val="11"/>
        <color rgb="FF333333"/>
        <rFont val="Calibri"/>
        <family val="2"/>
        <scheme val="minor"/>
      </rPr>
      <t xml:space="preserve">overexpression of BRCA1-IRIS triggers expression of the antiapoptotic protein survivin; negative modulation of phosphatidylinositol 3-kinase (PI3K) signaling or AKT silencing reduced survivin expression. </t>
    </r>
    <r>
      <rPr>
        <b/>
        <sz val="11"/>
        <color rgb="FF333333"/>
        <rFont val="Calibri"/>
        <family val="2"/>
        <scheme val="minor"/>
      </rPr>
      <t xml:space="preserve">8) </t>
    </r>
    <r>
      <rPr>
        <sz val="11"/>
        <color rgb="FF333333"/>
        <rFont val="Calibri"/>
        <family val="2"/>
        <scheme val="minor"/>
      </rPr>
      <t>silencing BRCA1-IRIS in ovarian cancer cell lines derepressed PTEN expression along with the antiapoptotic AKT targets FOXO1 and FOXO3a, suppressing survivin expression.</t>
    </r>
    <r>
      <rPr>
        <b/>
        <sz val="11"/>
        <color rgb="FF333333"/>
        <rFont val="Calibri"/>
        <family val="2"/>
        <scheme val="minor"/>
      </rPr>
      <t xml:space="preserve"> 9) Cisplatin</t>
    </r>
    <r>
      <rPr>
        <sz val="11"/>
        <color rgb="FF333333"/>
        <rFont val="Calibri"/>
        <family val="2"/>
        <scheme val="minor"/>
      </rPr>
      <t xml:space="preserve"> (≤50 μmol/L) exposure was sufficient to activate expression of the BRCA1-IRIS-AKT-survivin cascade in HOSE cells, whereas under similar conditions cisplatin failed to induce apoptosis in ovarian cancer cell lines expressing this regulatory cascade. </t>
    </r>
    <r>
      <rPr>
        <b/>
        <sz val="11"/>
        <color rgb="FF333333"/>
        <rFont val="Calibri"/>
        <family val="2"/>
        <scheme val="minor"/>
      </rPr>
      <t xml:space="preserve">10) </t>
    </r>
    <r>
      <rPr>
        <sz val="11"/>
        <color rgb="FF333333"/>
        <rFont val="Calibri"/>
        <family val="2"/>
        <scheme val="minor"/>
      </rPr>
      <t xml:space="preserve">High PARP, FANCD2 and BRCA1 expressions were significantly correlated with each other; </t>
    </r>
    <r>
      <rPr>
        <b/>
        <sz val="11"/>
        <color rgb="FF333333"/>
        <rFont val="Calibri"/>
        <family val="2"/>
        <scheme val="minor"/>
      </rPr>
      <t>11)</t>
    </r>
    <r>
      <rPr>
        <sz val="11"/>
        <color rgb="FF333333"/>
        <rFont val="Calibri"/>
        <family val="2"/>
        <scheme val="minor"/>
      </rPr>
      <t xml:space="preserve"> Of all patients, 9% recurred within the first year. Among early recurring patients, 41% had high levels of PARP, FANCD2 and P53, compared to 19.5% of patients without early recurrence (p = 0.04). Women with high levels of PARP, FANCD2 and/or P53 had first year cumulative cancer incidence of 17% compared with 7% for the other groups (P = 0.03). </t>
    </r>
    <r>
      <rPr>
        <b/>
        <sz val="11"/>
        <color rgb="FF333333"/>
        <rFont val="Calibri"/>
        <family val="2"/>
        <scheme val="minor"/>
      </rPr>
      <t>12)</t>
    </r>
    <r>
      <rPr>
        <sz val="11"/>
        <color rgb="FF333333"/>
        <rFont val="Calibri"/>
        <family val="2"/>
        <scheme val="minor"/>
      </rPr>
      <t xml:space="preserve"> In serous </t>
    </r>
    <r>
      <rPr>
        <b/>
        <sz val="11"/>
        <color rgb="FF333333"/>
        <rFont val="Calibri"/>
        <family val="2"/>
        <scheme val="minor"/>
      </rPr>
      <t>ovarian</t>
    </r>
    <r>
      <rPr>
        <sz val="11"/>
        <color rgb="FF333333"/>
        <rFont val="Calibri"/>
        <family val="2"/>
        <scheme val="minor"/>
      </rPr>
      <t xml:space="preserve"> cancer, higher levels of miR-9 were inversely correlated with BRCA1 expression (Spearman rank correlation: R (2) = 0.379; P = .003). </t>
    </r>
    <r>
      <rPr>
        <b/>
        <sz val="11"/>
        <color rgb="FF333333"/>
        <rFont val="Calibri"/>
        <family val="2"/>
        <scheme val="minor"/>
      </rPr>
      <t>13)</t>
    </r>
    <r>
      <rPr>
        <sz val="11"/>
        <color rgb="FF333333"/>
        <rFont val="Calibri"/>
        <family val="2"/>
        <scheme val="minor"/>
      </rPr>
      <t xml:space="preserve"> Patients with higher levels of miR-9 had better chemotherapy response, platinum sensitivity, and longer progression-free survival (PFS) (high vs low miR-9 expression: median PFS = 26.4 months, 95% CI = 13.8 to 39.0 months vs median PFS = 15.4 months, 95% CI = 6.8 to 23.9 months, P = .01).</t>
    </r>
  </si>
  <si>
    <r>
      <rPr>
        <b/>
        <sz val="11"/>
        <color rgb="FF333333"/>
        <rFont val="Calibri"/>
        <family val="2"/>
        <scheme val="minor"/>
      </rPr>
      <t>1)</t>
    </r>
    <r>
      <rPr>
        <sz val="11"/>
        <color rgb="FF333333"/>
        <rFont val="Calibri"/>
        <family val="2"/>
        <scheme val="minor"/>
      </rPr>
      <t xml:space="preserve"> </t>
    </r>
    <r>
      <rPr>
        <b/>
        <sz val="11"/>
        <color rgb="FF333333"/>
        <rFont val="Calibri"/>
        <family val="2"/>
        <scheme val="minor"/>
      </rPr>
      <t>β-catenin</t>
    </r>
    <r>
      <rPr>
        <sz val="11"/>
        <color rgb="FF333333"/>
        <rFont val="Calibri"/>
        <family val="2"/>
        <scheme val="minor"/>
      </rPr>
      <t xml:space="preserve"> and B-cell lymphoma-extra large (Bcl-xl) were significantly upregulated in Lung cancer A549/CDDP cells compared with A549/WT cells. </t>
    </r>
    <r>
      <rPr>
        <b/>
        <sz val="11"/>
        <color rgb="FF333333"/>
        <rFont val="Calibri"/>
        <family val="2"/>
        <scheme val="minor"/>
      </rPr>
      <t>2)</t>
    </r>
    <r>
      <rPr>
        <sz val="11"/>
        <color rgb="FF333333"/>
        <rFont val="Calibri"/>
        <family val="2"/>
        <scheme val="minor"/>
      </rPr>
      <t xml:space="preserve"> β-catenin activator LiCl reduced the sensitivity of A549/WT cells to </t>
    </r>
    <r>
      <rPr>
        <b/>
        <sz val="11"/>
        <color rgb="FF333333"/>
        <rFont val="Calibri"/>
        <family val="2"/>
        <scheme val="minor"/>
      </rPr>
      <t>cisplatin</t>
    </r>
    <r>
      <rPr>
        <sz val="11"/>
        <color rgb="FF333333"/>
        <rFont val="Calibri"/>
        <family val="2"/>
        <scheme val="minor"/>
      </rPr>
      <t xml:space="preserve">. </t>
    </r>
    <r>
      <rPr>
        <b/>
        <sz val="11"/>
        <color rgb="FF333333"/>
        <rFont val="Calibri"/>
        <family val="2"/>
        <scheme val="minor"/>
      </rPr>
      <t>3)</t>
    </r>
    <r>
      <rPr>
        <sz val="11"/>
        <color rgb="FF333333"/>
        <rFont val="Calibri"/>
        <family val="2"/>
        <scheme val="minor"/>
      </rPr>
      <t xml:space="preserve"> β-catenin upregulates the expression of the anti-apoptotic protein Bcl-xl. </t>
    </r>
    <r>
      <rPr>
        <b/>
        <sz val="11"/>
        <color rgb="FF333333"/>
        <rFont val="Calibri"/>
        <family val="2"/>
        <scheme val="minor"/>
      </rPr>
      <t>4)</t>
    </r>
    <r>
      <rPr>
        <sz val="11"/>
        <color rgb="FF333333"/>
        <rFont val="Calibri"/>
        <family val="2"/>
        <scheme val="minor"/>
      </rPr>
      <t xml:space="preserve"> silencing of β-catenin with siRNA decreased the mRNA and protein expression of Bcl-xl, and sensitized A549/WT cells to cisplatin.</t>
    </r>
    <r>
      <rPr>
        <b/>
        <sz val="11"/>
        <color rgb="FF333333"/>
        <rFont val="Calibri"/>
        <family val="2"/>
        <scheme val="minor"/>
      </rPr>
      <t xml:space="preserve"> 5)</t>
    </r>
    <r>
      <rPr>
        <sz val="11"/>
        <color rgb="FF333333"/>
        <rFont val="Calibri"/>
        <family val="2"/>
        <scheme val="minor"/>
      </rPr>
      <t xml:space="preserve"> High expression levels of </t>
    </r>
    <r>
      <rPr>
        <b/>
        <sz val="11"/>
        <color rgb="FF333333"/>
        <rFont val="Calibri"/>
        <family val="2"/>
        <scheme val="minor"/>
      </rPr>
      <t>CTNNB1</t>
    </r>
    <r>
      <rPr>
        <sz val="11"/>
        <color rgb="FF333333"/>
        <rFont val="Calibri"/>
        <family val="2"/>
        <scheme val="minor"/>
      </rPr>
      <t xml:space="preserve">, MYC, and CCND1 were associated with poorer overall survival in low-grade </t>
    </r>
    <r>
      <rPr>
        <b/>
        <sz val="11"/>
        <color rgb="FF333333"/>
        <rFont val="Calibri"/>
        <family val="2"/>
        <scheme val="minor"/>
      </rPr>
      <t>Endometrioid endometrial</t>
    </r>
    <r>
      <rPr>
        <sz val="11"/>
        <color rgb="FF333333"/>
        <rFont val="Calibri"/>
        <family val="2"/>
        <scheme val="minor"/>
      </rPr>
      <t xml:space="preserve"> carcinoma (EEC) tumors.</t>
    </r>
  </si>
  <si>
    <t>31225740, 12815464, 31978067, 32628088</t>
  </si>
  <si>
    <r>
      <rPr>
        <b/>
        <sz val="11"/>
        <rFont val="Calibri"/>
        <family val="2"/>
        <scheme val="minor"/>
      </rPr>
      <t xml:space="preserve">1) </t>
    </r>
    <r>
      <rPr>
        <sz val="11"/>
        <rFont val="Calibri"/>
        <family val="2"/>
        <scheme val="minor"/>
      </rPr>
      <t>Suppressed expression of </t>
    </r>
    <r>
      <rPr>
        <b/>
        <sz val="11"/>
        <rFont val="Calibri"/>
        <family val="2"/>
        <scheme val="minor"/>
      </rPr>
      <t>BAP1</t>
    </r>
    <r>
      <rPr>
        <sz val="11"/>
        <rFont val="Calibri"/>
        <family val="2"/>
        <scheme val="minor"/>
      </rPr>
      <t xml:space="preserve"> occurred in 22 </t>
    </r>
    <r>
      <rPr>
        <b/>
        <sz val="11"/>
        <rFont val="Calibri"/>
        <family val="2"/>
        <scheme val="minor"/>
      </rPr>
      <t>Gallbladder</t>
    </r>
    <r>
      <rPr>
        <sz val="11"/>
        <rFont val="Calibri"/>
        <family val="2"/>
        <scheme val="minor"/>
      </rPr>
      <t xml:space="preserve"> carcinoma (GBC) cases (46.8%) and showed a strong trend toward a worse median survival. </t>
    </r>
    <r>
      <rPr>
        <b/>
        <sz val="11"/>
        <rFont val="Calibri"/>
        <family val="2"/>
        <scheme val="minor"/>
      </rPr>
      <t xml:space="preserve">2) </t>
    </r>
    <r>
      <rPr>
        <sz val="11"/>
        <rFont val="Calibri"/>
        <family val="2"/>
        <scheme val="minor"/>
      </rPr>
      <t xml:space="preserve">In a training cohort of MPM patients (n=28), mutations or deletions of BAP1 each predicted resistance to chemotherapy in primary </t>
    </r>
    <r>
      <rPr>
        <b/>
        <sz val="11"/>
        <rFont val="Calibri"/>
        <family val="2"/>
        <scheme val="minor"/>
      </rPr>
      <t>MPM</t>
    </r>
    <r>
      <rPr>
        <sz val="11"/>
        <rFont val="Calibri"/>
        <family val="2"/>
        <scheme val="minor"/>
      </rPr>
      <t xml:space="preserve"> patients. </t>
    </r>
    <r>
      <rPr>
        <b/>
        <sz val="11"/>
        <rFont val="Calibri"/>
        <family val="2"/>
        <scheme val="minor"/>
      </rPr>
      <t xml:space="preserve">3) </t>
    </r>
    <r>
      <rPr>
        <sz val="11"/>
        <rFont val="Calibri"/>
        <family val="2"/>
        <scheme val="minor"/>
      </rPr>
      <t>Preliminary mechanistic studies using siRNA-based knockdown of</t>
    </r>
    <r>
      <rPr>
        <b/>
        <sz val="11"/>
        <rFont val="Calibri"/>
        <family val="2"/>
        <scheme val="minor"/>
      </rPr>
      <t xml:space="preserve"> BAP1</t>
    </r>
    <r>
      <rPr>
        <sz val="11"/>
        <rFont val="Calibri"/>
        <family val="2"/>
        <scheme val="minor"/>
      </rPr>
      <t xml:space="preserve"> in MPM cell culture models along with immunoprecipitation assays confirmed chemoresistance in vitro, possibly through inhibition of apoptosis and transcriptional regulation of the </t>
    </r>
    <r>
      <rPr>
        <b/>
        <sz val="11"/>
        <rFont val="Calibri"/>
        <family val="2"/>
        <scheme val="minor"/>
      </rPr>
      <t>BAP1/HCF1/E2F1</t>
    </r>
    <r>
      <rPr>
        <sz val="11"/>
        <rFont val="Calibri"/>
        <family val="2"/>
        <scheme val="minor"/>
      </rPr>
      <t xml:space="preserve"> axis.</t>
    </r>
  </si>
  <si>
    <r>
      <rPr>
        <b/>
        <sz val="11"/>
        <color rgb="FF000000"/>
        <rFont val="Calibri"/>
        <family val="2"/>
        <scheme val="minor"/>
      </rPr>
      <t>1)</t>
    </r>
    <r>
      <rPr>
        <sz val="11"/>
        <color indexed="8"/>
        <rFont val="Calibri"/>
        <family val="2"/>
        <scheme val="minor"/>
      </rPr>
      <t xml:space="preserve"> </t>
    </r>
    <r>
      <rPr>
        <b/>
        <sz val="11"/>
        <color rgb="FF000000"/>
        <rFont val="Calibri"/>
        <family val="2"/>
        <scheme val="minor"/>
      </rPr>
      <t>DDB2</t>
    </r>
    <r>
      <rPr>
        <sz val="11"/>
        <color indexed="8"/>
        <rFont val="Calibri"/>
        <family val="2"/>
        <scheme val="minor"/>
      </rPr>
      <t xml:space="preserve"> is not required for the repair of </t>
    </r>
    <r>
      <rPr>
        <b/>
        <sz val="11"/>
        <color rgb="FF000000"/>
        <rFont val="Calibri"/>
        <family val="2"/>
        <scheme val="minor"/>
      </rPr>
      <t>cisplatin</t>
    </r>
    <r>
      <rPr>
        <sz val="11"/>
        <color indexed="8"/>
        <rFont val="Calibri"/>
        <family val="2"/>
        <scheme val="minor"/>
      </rPr>
      <t xml:space="preserve">-induced DNA damage, but can be induced by cisplatin treatment. </t>
    </r>
    <r>
      <rPr>
        <b/>
        <sz val="11"/>
        <color rgb="FF000000"/>
        <rFont val="Calibri"/>
        <family val="2"/>
        <scheme val="minor"/>
      </rPr>
      <t>2)</t>
    </r>
    <r>
      <rPr>
        <sz val="11"/>
        <color indexed="8"/>
        <rFont val="Calibri"/>
        <family val="2"/>
        <scheme val="minor"/>
      </rPr>
      <t xml:space="preserve"> DDB2-deficient noncancer cells exhibit enhanced resistance to cell growth inhibition and apoptosis induced by cisplatin than cells with fully restored DDB2 function. </t>
    </r>
    <r>
      <rPr>
        <b/>
        <sz val="11"/>
        <color rgb="FF000000"/>
        <rFont val="Calibri"/>
        <family val="2"/>
        <scheme val="minor"/>
      </rPr>
      <t xml:space="preserve">3) </t>
    </r>
    <r>
      <rPr>
        <sz val="11"/>
        <color indexed="8"/>
        <rFont val="Calibri"/>
        <family val="2"/>
        <scheme val="minor"/>
      </rPr>
      <t xml:space="preserve">DDB2 expression in cisplatin-resistant ovarian cancer cell line CP70 and MCP2 was lower than their cisplatin-sensitive parental A2780 cells. </t>
    </r>
    <r>
      <rPr>
        <b/>
        <sz val="11"/>
        <color rgb="FF000000"/>
        <rFont val="Calibri"/>
        <family val="2"/>
        <scheme val="minor"/>
      </rPr>
      <t xml:space="preserve">4) </t>
    </r>
    <r>
      <rPr>
        <sz val="11"/>
        <color indexed="8"/>
        <rFont val="Calibri"/>
        <family val="2"/>
        <scheme val="minor"/>
      </rPr>
      <t xml:space="preserve">Overexpression of DDB2 sensitized CP70 cells to </t>
    </r>
    <r>
      <rPr>
        <b/>
        <sz val="11"/>
        <color rgb="FF000000"/>
        <rFont val="Calibri"/>
        <family val="2"/>
        <scheme val="minor"/>
      </rPr>
      <t>cisplatin</t>
    </r>
    <r>
      <rPr>
        <sz val="11"/>
        <color indexed="8"/>
        <rFont val="Calibri"/>
        <family val="2"/>
        <scheme val="minor"/>
      </rPr>
      <t xml:space="preserve">-induced cytotoxicity and apoptosis via activation of the caspase pathway and downregulation of antiapoptotic Bcl-2 protein. </t>
    </r>
    <r>
      <rPr>
        <b/>
        <sz val="11"/>
        <color rgb="FF000000"/>
        <rFont val="Calibri"/>
        <family val="2"/>
        <scheme val="minor"/>
      </rPr>
      <t xml:space="preserve">5) </t>
    </r>
    <r>
      <rPr>
        <sz val="11"/>
        <color indexed="8"/>
        <rFont val="Calibri"/>
        <family val="2"/>
        <scheme val="minor"/>
      </rPr>
      <t xml:space="preserve">Overexpressing DDB2 in human </t>
    </r>
    <r>
      <rPr>
        <b/>
        <sz val="11"/>
        <color rgb="FF000000"/>
        <rFont val="Calibri"/>
        <family val="2"/>
        <scheme val="minor"/>
      </rPr>
      <t>ovarian</t>
    </r>
    <r>
      <rPr>
        <sz val="11"/>
        <color indexed="8"/>
        <rFont val="Calibri"/>
        <family val="2"/>
        <scheme val="minor"/>
      </rPr>
      <t xml:space="preserve"> cancer cells suppressed its capability to recapitulate tumors in athymic nude mice. </t>
    </r>
    <r>
      <rPr>
        <b/>
        <sz val="11"/>
        <color rgb="FF000000"/>
        <rFont val="Calibri"/>
        <family val="2"/>
        <scheme val="minor"/>
      </rPr>
      <t xml:space="preserve">6) </t>
    </r>
    <r>
      <rPr>
        <sz val="11"/>
        <color indexed="8"/>
        <rFont val="Calibri"/>
        <family val="2"/>
        <scheme val="minor"/>
      </rPr>
      <t xml:space="preserve">DDB2 is able to reduce the cancer stem cell (CSC) population characterized with high aldehyde dehydrogenase activity in ovarian cancer cells, probably through disrupting the self-renewal capacity of CSCs. </t>
    </r>
    <r>
      <rPr>
        <b/>
        <sz val="11"/>
        <color rgb="FF000000"/>
        <rFont val="Calibri"/>
        <family val="2"/>
        <scheme val="minor"/>
      </rPr>
      <t>7)</t>
    </r>
    <r>
      <rPr>
        <sz val="11"/>
        <color indexed="8"/>
        <rFont val="Calibri"/>
        <family val="2"/>
        <scheme val="minor"/>
      </rPr>
      <t xml:space="preserve"> Low DDB2 expression correlates with poor outcomes among patients with ovarian cancer</t>
    </r>
  </si>
  <si>
    <t>homeobox-containing developmental regulator; promotes angiogenesis and activates NF-κB in esophageal cancer (23604637); overexpressed in some lung cancers and is linked to poor patient survival, possibly due to its resistance to cisplatin. </t>
  </si>
  <si>
    <r>
      <rPr>
        <b/>
        <sz val="11"/>
        <color rgb="FF333333"/>
        <rFont val="Calibri"/>
        <family val="2"/>
        <scheme val="minor"/>
      </rPr>
      <t>1</t>
    </r>
    <r>
      <rPr>
        <sz val="11"/>
        <color rgb="FF333333"/>
        <rFont val="Calibri"/>
        <family val="2"/>
        <scheme val="minor"/>
      </rPr>
      <t xml:space="preserve">) Cohort 1 was comprised of 145 patients with malignant pleural mesothelioma intended to be treated with chemotherapy (CTX) followed by extrapleural pneumonectomy (EPP), thus both pre- and post-CTX tissues were available. Cohort 2 was comprised of 59 patients treated with EPP followed by intraoperative hyperthermic cisplatin and/or adjuvant CTX and/or radiotherapy: Kaplan-Meier survival curves revealed a significant association between low cytoplasmic </t>
    </r>
    <r>
      <rPr>
        <b/>
        <sz val="11"/>
        <color rgb="FF333333"/>
        <rFont val="Calibri"/>
        <family val="2"/>
        <scheme val="minor"/>
      </rPr>
      <t>Merlin</t>
    </r>
    <r>
      <rPr>
        <sz val="11"/>
        <color rgb="FF333333"/>
        <rFont val="Calibri"/>
        <family val="2"/>
        <scheme val="minor"/>
      </rPr>
      <t xml:space="preserve"> expression in pre-induction CTX tissues of cohort 1 with shorter FFR (p = 0.02) and OS (p = 0.03). The same tendency was observed in the chemotherapy naïve tissues obtained during EPP of cohort 2. Low nuclear </t>
    </r>
    <r>
      <rPr>
        <b/>
        <sz val="11"/>
        <color rgb="FF333333"/>
        <rFont val="Calibri"/>
        <family val="2"/>
        <scheme val="minor"/>
      </rPr>
      <t>Merlin</t>
    </r>
    <r>
      <rPr>
        <sz val="11"/>
        <color rgb="FF333333"/>
        <rFont val="Calibri"/>
        <family val="2"/>
        <scheme val="minor"/>
      </rPr>
      <t xml:space="preserve"> expression in post-CTX tissues (available from cohort 1 only) was associated with shorter FFR (p = 0.04) and OS (p = 0.05). </t>
    </r>
  </si>
  <si>
    <t>14-3-3 protein sigma</t>
  </si>
  <si>
    <t>Transcription activator found in the promoter region of a number of genes whose products are involved in cell cycle regulation or in DNA replication; binds with high affinity to RBL1 and RBL2.</t>
  </si>
  <si>
    <r>
      <rPr>
        <b/>
        <sz val="11"/>
        <color rgb="FF333333"/>
        <rFont val="Calibri"/>
        <family val="2"/>
        <scheme val="minor"/>
      </rPr>
      <t>1)</t>
    </r>
    <r>
      <rPr>
        <sz val="11"/>
        <color rgb="FF333333"/>
        <rFont val="Calibri"/>
        <family val="2"/>
        <scheme val="minor"/>
      </rPr>
      <t xml:space="preserve"> a significantly lower expression level of </t>
    </r>
    <r>
      <rPr>
        <b/>
        <sz val="11"/>
        <color rgb="FF333333"/>
        <rFont val="Calibri"/>
        <family val="2"/>
        <scheme val="minor"/>
      </rPr>
      <t>PRKCDBP</t>
    </r>
    <r>
      <rPr>
        <sz val="11"/>
        <color rgb="FF333333"/>
        <rFont val="Calibri"/>
        <family val="2"/>
        <scheme val="minor"/>
      </rPr>
      <t xml:space="preserve"> was expressed in the </t>
    </r>
    <r>
      <rPr>
        <b/>
        <sz val="11"/>
        <color rgb="FF333333"/>
        <rFont val="Calibri"/>
        <family val="2"/>
        <scheme val="minor"/>
      </rPr>
      <t>A549/DDP</t>
    </r>
    <r>
      <rPr>
        <sz val="11"/>
        <color rgb="FF333333"/>
        <rFont val="Calibri"/>
        <family val="2"/>
        <scheme val="minor"/>
      </rPr>
      <t xml:space="preserve"> cell line and LAD tissues than that in A549 cells and adjacent cancer tissues. </t>
    </r>
    <r>
      <rPr>
        <b/>
        <sz val="11"/>
        <color rgb="FF333333"/>
        <rFont val="Calibri"/>
        <family val="2"/>
        <scheme val="minor"/>
      </rPr>
      <t>2)</t>
    </r>
    <r>
      <rPr>
        <sz val="11"/>
        <color rgb="FF333333"/>
        <rFont val="Calibri"/>
        <family val="2"/>
        <scheme val="minor"/>
      </rPr>
      <t xml:space="preserve"> while the </t>
    </r>
    <r>
      <rPr>
        <b/>
        <sz val="11"/>
        <color rgb="FF333333"/>
        <rFont val="Calibri"/>
        <family val="2"/>
        <scheme val="minor"/>
      </rPr>
      <t>DNMT1</t>
    </r>
    <r>
      <rPr>
        <sz val="11"/>
        <color rgb="FF333333"/>
        <rFont val="Calibri"/>
        <family val="2"/>
        <scheme val="minor"/>
      </rPr>
      <t xml:space="preserve"> mRNA level was remarkably increased and the promoter of </t>
    </r>
    <r>
      <rPr>
        <b/>
        <sz val="11"/>
        <color rgb="FF333333"/>
        <rFont val="Calibri"/>
        <family val="2"/>
        <scheme val="minor"/>
      </rPr>
      <t>PRKCDBP</t>
    </r>
    <r>
      <rPr>
        <sz val="11"/>
        <color rgb="FF333333"/>
        <rFont val="Calibri"/>
        <family val="2"/>
        <scheme val="minor"/>
      </rPr>
      <t xml:space="preserve"> was hypermethylated in the A549/DDP cell line. </t>
    </r>
    <r>
      <rPr>
        <b/>
        <sz val="11"/>
        <color rgb="FF333333"/>
        <rFont val="Calibri"/>
        <family val="2"/>
        <scheme val="minor"/>
      </rPr>
      <t xml:space="preserve">3) </t>
    </r>
    <r>
      <rPr>
        <sz val="11"/>
        <color rgb="FF333333"/>
        <rFont val="Calibri"/>
        <family val="2"/>
        <scheme val="minor"/>
      </rPr>
      <t xml:space="preserve">When </t>
    </r>
    <r>
      <rPr>
        <b/>
        <sz val="11"/>
        <color rgb="FF333333"/>
        <rFont val="Calibri"/>
        <family val="2"/>
        <scheme val="minor"/>
      </rPr>
      <t>PRKCDBP</t>
    </r>
    <r>
      <rPr>
        <sz val="11"/>
        <color rgb="FF333333"/>
        <rFont val="Calibri"/>
        <family val="2"/>
        <scheme val="minor"/>
      </rPr>
      <t xml:space="preserve"> was overexpressed, the </t>
    </r>
    <r>
      <rPr>
        <b/>
        <sz val="11"/>
        <color rgb="FF333333"/>
        <rFont val="Calibri"/>
        <family val="2"/>
        <scheme val="minor"/>
      </rPr>
      <t>DNMT1</t>
    </r>
    <r>
      <rPr>
        <sz val="11"/>
        <color rgb="FF333333"/>
        <rFont val="Calibri"/>
        <family val="2"/>
        <scheme val="minor"/>
      </rPr>
      <t xml:space="preserve"> mRNA level was markedly decreased, the rate of proliferation, IC50 of cisplatin, G2/M phase and S phase cells were obviously reduced, while G0/G1 phase cells, apoptosis distinctly increased, but migration ability did not significantly change. </t>
    </r>
    <r>
      <rPr>
        <b/>
        <sz val="11"/>
        <color rgb="FF333333"/>
        <rFont val="Calibri"/>
        <family val="2"/>
        <scheme val="minor"/>
      </rPr>
      <t>4) TNF‑α</t>
    </r>
    <r>
      <rPr>
        <sz val="11"/>
        <color rgb="FF333333"/>
        <rFont val="Calibri"/>
        <family val="2"/>
        <scheme val="minor"/>
      </rPr>
      <t xml:space="preserve"> overexpression resulted in an increase of </t>
    </r>
    <r>
      <rPr>
        <b/>
        <sz val="11"/>
        <color rgb="FF333333"/>
        <rFont val="Calibri"/>
        <family val="2"/>
        <scheme val="minor"/>
      </rPr>
      <t xml:space="preserve">PRKCDBP </t>
    </r>
    <r>
      <rPr>
        <sz val="11"/>
        <color rgb="FF333333"/>
        <rFont val="Calibri"/>
        <family val="2"/>
        <scheme val="minor"/>
      </rPr>
      <t xml:space="preserve">mRNA level, while TNF‑α siRNA led to PRKCDBP mRNA level distinctly reduced. </t>
    </r>
    <r>
      <rPr>
        <b/>
        <sz val="11"/>
        <color rgb="FF333333"/>
        <rFont val="Calibri"/>
        <family val="2"/>
        <scheme val="minor"/>
      </rPr>
      <t>7)</t>
    </r>
    <r>
      <rPr>
        <sz val="11"/>
        <color rgb="FF333333"/>
        <rFont val="Calibri"/>
        <family val="2"/>
        <scheme val="minor"/>
      </rPr>
      <t xml:space="preserve"> Overexpression of DNMT1 improved IC50 in A549 cells. </t>
    </r>
  </si>
  <si>
    <t>20459793, 26227489, 2113532, 30166592, 32319562, 24583641</t>
  </si>
  <si>
    <t>22248473, 27779244, 15150118, 25656992</t>
  </si>
  <si>
    <t>16914559, 23053895</t>
  </si>
  <si>
    <t>16914559, 18508032, 24643204</t>
  </si>
  <si>
    <t>16914559, 29416650</t>
  </si>
  <si>
    <t>25263447, 9036870, 18196872, 25663864, 17611411</t>
  </si>
  <si>
    <t>HOXB7</t>
  </si>
  <si>
    <t>HOX2C</t>
  </si>
  <si>
    <t>Homeobox protein Hox-B7</t>
  </si>
  <si>
    <t>11925933, 24044516, 28399858, 23181744, 11095672</t>
  </si>
  <si>
    <t>11925933, 29397516, 20924094, 18546291, 11095672</t>
  </si>
  <si>
    <t>27499034, 26108997, 12464596</t>
  </si>
  <si>
    <t>Catalytic subunit of the DNA polymerase zeta complex, an error-prone polymerase specialized in translesion DNA synthesis (TLS). Lacks an intrinsic 3'-5' exonuclease activity and thus has no proofreading function.</t>
  </si>
  <si>
    <t>The elongation of primed DNA templates by DNA polymerase delta and epsilon requires the action of the accessory proteins PCNA and activator 1. </t>
  </si>
  <si>
    <t>RFC140</t>
  </si>
  <si>
    <t>Replication factor C subunit 1</t>
  </si>
  <si>
    <t>21933447, 20811155, 11078909</t>
  </si>
  <si>
    <t>SRPK2</t>
  </si>
  <si>
    <t>SRSF protein kinase 2</t>
  </si>
  <si>
    <t>Serine/arginine-rich protein-specific kinase which specifically phosphorylates its substrates at serine residues located in regions rich in arginine/serine dipeptides, known as RS domains and is involved in the phosphorylation of SR splicing factors and the regulation of splicing</t>
  </si>
  <si>
    <t>31898732, 33808326</t>
  </si>
  <si>
    <t>25866223, 32461560, 11585720, 23236423, 33808326</t>
  </si>
  <si>
    <t>26087191, 29064423</t>
  </si>
  <si>
    <t>22415136, 31599032</t>
  </si>
  <si>
    <t>24657486, 18162465, 22312557, 17940507</t>
  </si>
  <si>
    <t>22491798, 26158423, 29630768, 23010323</t>
  </si>
  <si>
    <t>Metalloproteinase inhibitor 2</t>
  </si>
  <si>
    <t>Complexes with metalloproteinases (such as collagenases) and irreversibly inactivates them by binding to their catalytic zinc cofactor. Known to act on MMP-1, MMP-2, MMP-3, MMP-7, MMP-8, MMP-9, MMP-10, MMP-13, MMP-14, MMP-15, MMP-16 and MMP-19.</t>
  </si>
  <si>
    <t>12216079, 18610736, 15790435</t>
  </si>
  <si>
    <t>18610736, 14676106, 15269138</t>
  </si>
  <si>
    <t>Copper ion transmembrane transporter involved in the export of copper out of the cells. It is involved in copper homeostasis in the liver, where it ensures the efflux of copper from hepatocytes into the bile in response to copper overload.</t>
  </si>
  <si>
    <t>15688364, 16213010, 17145840, 9230284, 20204280</t>
  </si>
  <si>
    <t xml:space="preserve">1) CD55 was highly expressed in endometrioid ovarian and uterine CSCs and cisplatin-resistant cells. 2) Patients with high tumor CD55 expression at diagnosis had significantly worse progression-free survival compared with patients with low CD55 levels (hazard ratio 4.7, confidence interval 1.5–14.6, P = 0.003). 3) Upon CD55 inhibition, the core pluripotency transcription factors' (NANOG, SOX2, and OCT4) expression was inhibited at the RNA and protein levels. 4) CD55-silenced CSCs from cisplatin-naive cells lines (A2780, TOV112D) and Mouse experiment cells (EEC-4) had significantly higher sensitivity to cisplatin and lower survival rates at cisplatin doses from 2.5 to 50 µM, compared with nontargeted control cells. 5) CD55 inhibition led to increased sensitivity to cisplatin in cisplatin-resistant CP70 and HEC1a cell lines. 6) Mice with CD55-silenced CSCs were more sensitive to cisplatin as compared with tumors originating from nontargeted CSC controls. 7) an increase in NANOG and SOX2 mRNA levels was observed upon CD55 overexpression. 8) CD55-overexpressing non-CSCs had significantly higher rates of survival and lower levels of caspase 3/7 activity upon cisplatin treatment compared with non-CSCs transduced with empty vector. 9) non-CSCs transduced with CD55 demonstrated active ROR2 and LCK signaling through LIME, these pathways were not induced in non-CSCs with TM-CD55. </t>
  </si>
  <si>
    <t xml:space="preserve">1) DYRK2 protein expression was posttranslationally reduced in cisplatin-resistant SA cell lines. 2) Knockdown of DYRK2 in Mouse experiment resulted in mesenchymal phenotype and tumor resistance to cisplatin. 3) Immunohistochemistry demonstrated that DYRK2 expression inversely correlated with Snail expression. 4) reduced expression of DYRK2 was associated with shorter overall survival in SA. 5) DYRK2 may inhibit EMT through Snail degradation in ovarian SA </t>
  </si>
  <si>
    <t>1) The Mouse experiment tumors that arose from purified CD117(+)Lineage(-) ovarian serous adenocarcinoma cells reproduced the original tumor heterogeneity and could be serially generated, demonstrating the ability to self-renew and to differentiate, two defining properties of stem cells. 2) immunohistochemistry analysis of 25 patients with advanced ovarian serous adenocarcinoma revealed positive immunostaining for CD117 in 40% (10 of 25) of patients. 3) CD117 expression was statistically correlated with resistance to conventional chemotherapy (P=0.027).</t>
  </si>
  <si>
    <t xml:space="preserve">1) PALLD SNP as breast cancer metastasis functional variant: breast cancer metastasis can be prevented by miR-96 or miR-182 treatment. 2) miR-96/miR-182 downregulate Palladin protein levels, thereby reducing breast cancer cell migration and invasion. 3) Combined delivery of the miRNAs with a chemotherapy drug, cisplatin, enables significant primary tumour shrinkage and metastasis prevention in Mouse experiment. </t>
  </si>
  <si>
    <t xml:space="preserve">1) By aggravating a bioenergetic catastrophe that involves the depleion of intracellular glutathione, vitamin B6 exacerbates cisplatin-mediated DNA damage, thus sensitizing a large panel of cancer cell lines to apoptosis. 2) vitamin B6 sensitizes cancer cells to apoptosis induction by distinct types of physical and chemical stress, including multiple chemotherapeutics. 3) This effect requires pyridoxal kinase (Mouse experimentK), the enzyme that generates the bioactive form of vitamin B6. 4) low Mouse experimentK expression levels were found to be associated with poor disease outcome in two independent cohorts of patients with NSCLC. 5) the siRNA-mediated downregulation of pyridoxal kinase (Mouse experimentK), the enzyme that generates the bioactive form of vitamin B6, protects NSCLC cells (as well as a large collection of human and murine malignant cells of distinct histological derivation) from the cytotoxic effects of CDDP. </t>
  </si>
  <si>
    <t xml:space="preserve">AS Mouse experimentK. </t>
  </si>
  <si>
    <t xml:space="preserve">1) The methylation status of the PLK2 CpG island varies with sensitivity to paclitaxel and platinum in ovarian cancer cell lines. 2) the methylation status of the PLK2 CpG island predicts outcomes in patients treated with carboplatin and paclitaxel chemotherapy. 3) PLK2 inhibition in Mouse experiment-OS cells prohibited clone formation, as indicated by a clonogenic assay, and sensitized osteosarcoma (OS) cells to cisplatin (CDDP). </t>
  </si>
  <si>
    <t xml:space="preserve">1) SGK-1 inhibition suppresses tumor growth in Mouse experiment, 2) in combination with systemic cisplatin exceeds the effect of cisplatin alone. 3) Decreased expression of CD44 and HER 2 implies depletion of tumor stem cells, and less tumorigenicity. 4) elevated expression of GR induced by DEX up-regulates the expression of SGK-1; DEX inhibited apoptosis of SPC-A1 cells induced by CDDP. </t>
  </si>
  <si>
    <t>1) XPO1 RNA overexpression and protein nuclear localization were correlated with decreased survival and platinum resistance in ovarian cancer. 2) Targeted XPO1 inhibition decreased cell viability and synergistically restored platinum sensitivity in both immortalized ovarian cancer cells and PDCL. 3) The XPO1 inhibitor-mediated apoptosis occurred through both p53-dependent and p53-independent signaling pathways. 4) Selinexor treatment, alone and in combination with platinum, markedly decreased tumor growth and prolonged survival in platinum-resistant Mouse experiment and mice. 5) In selinexor-treated patients, tumor growth was halted in 3 of 5 patients, including one with a partial response, and was safely tolerated by all.</t>
  </si>
  <si>
    <t>9850649, 2898306, 14678959</t>
  </si>
  <si>
    <t>29285301, 2898306, 22085405</t>
  </si>
  <si>
    <t>25648141, 2898306, 20200426</t>
  </si>
  <si>
    <t>GSTM4</t>
  </si>
  <si>
    <t>Glutathione S-transferase Mu 4</t>
  </si>
  <si>
    <t>20005867, 20200426</t>
  </si>
  <si>
    <t>3175622, 9216861, 29854276, 33122816</t>
  </si>
  <si>
    <t>3175622, 9216861, 29854276, 24924344</t>
  </si>
  <si>
    <t xml:space="preserve">16061661, 27623342, 29808689, 33750814 </t>
  </si>
  <si>
    <t>22403616, 29565481</t>
  </si>
  <si>
    <t>25634215, 20418188, 29247747, 21737503</t>
  </si>
  <si>
    <t>23229441, 20514400, 27384994, 23358177, 11241318</t>
  </si>
  <si>
    <t>32581546, 32386122, 25719555, 33284994</t>
  </si>
  <si>
    <t>30458366, 24236104</t>
  </si>
  <si>
    <t>As GLS2</t>
  </si>
  <si>
    <t>27191653, 29633308</t>
  </si>
  <si>
    <t>21888831, 29017331, 32848724, 16080521, 11403922, 26872057</t>
  </si>
  <si>
    <t>29907593, 33221963</t>
  </si>
  <si>
    <t>18327707, 27588477, 28417568, 31512056</t>
  </si>
  <si>
    <t>25976336, 27196780, 25658620</t>
  </si>
  <si>
    <t>21625209, 26213845, 21610145</t>
  </si>
  <si>
    <t>16112085, 23274876, 14679128, 28989055, 19575783, 18337622</t>
  </si>
  <si>
    <t>11916245, 18854825, 2113532, 1660142, 10644041</t>
  </si>
  <si>
    <t>27853186, 33287446, 29906404</t>
  </si>
  <si>
    <t>21571862, 25826225, 15726096, 26141950, 26695443</t>
  </si>
  <si>
    <t>27340780, 23665025, 30056367, 20127005, 21549414</t>
  </si>
  <si>
    <t>27133165, 7768637, 10735496, 26695443</t>
  </si>
  <si>
    <t xml:space="preserve">31364751, 27206315, 17253597, 21307147 </t>
  </si>
  <si>
    <t>25634215,  27449101, 25096233</t>
  </si>
  <si>
    <t>25634215, 11516928, 15882455, 25069034</t>
  </si>
  <si>
    <t>25634215, 26338418, 33469680</t>
  </si>
  <si>
    <t>25634215, 12807748, 20028083, 30386247, 22174370, 30628719, 28746345</t>
  </si>
  <si>
    <r>
      <rPr>
        <b/>
        <sz val="11"/>
        <color rgb="FF000000"/>
        <rFont val="Calibri"/>
        <family val="2"/>
        <scheme val="minor"/>
      </rPr>
      <t>1)</t>
    </r>
    <r>
      <rPr>
        <sz val="11"/>
        <color indexed="8"/>
        <rFont val="Calibri"/>
        <family val="2"/>
        <scheme val="minor"/>
      </rPr>
      <t xml:space="preserve"> </t>
    </r>
    <r>
      <rPr>
        <b/>
        <sz val="11"/>
        <color rgb="FF000000"/>
        <rFont val="Calibri"/>
        <family val="2"/>
        <scheme val="minor"/>
      </rPr>
      <t>XPC-</t>
    </r>
    <r>
      <rPr>
        <sz val="11"/>
        <color indexed="8"/>
        <rFont val="Calibri"/>
        <family val="2"/>
        <scheme val="minor"/>
      </rPr>
      <t xml:space="preserve"> cells show defective DNA repair activity toward both psoralen and </t>
    </r>
    <r>
      <rPr>
        <b/>
        <sz val="11"/>
        <color rgb="FF000000"/>
        <rFont val="Calibri"/>
        <family val="2"/>
        <scheme val="minor"/>
      </rPr>
      <t>cisplatin</t>
    </r>
    <r>
      <rPr>
        <sz val="11"/>
        <color indexed="8"/>
        <rFont val="Calibri"/>
        <family val="2"/>
        <scheme val="minor"/>
      </rPr>
      <t xml:space="preserve">-damaged plasmid DNA. </t>
    </r>
    <r>
      <rPr>
        <b/>
        <sz val="11"/>
        <color rgb="FF000000"/>
        <rFont val="Calibri"/>
        <family val="2"/>
        <scheme val="minor"/>
      </rPr>
      <t>2)</t>
    </r>
    <r>
      <rPr>
        <sz val="11"/>
        <color indexed="8"/>
        <rFont val="Calibri"/>
        <family val="2"/>
        <scheme val="minor"/>
      </rPr>
      <t xml:space="preserve"> The defect was partially restored when a functional </t>
    </r>
    <r>
      <rPr>
        <b/>
        <sz val="11"/>
        <color rgb="FF000000"/>
        <rFont val="Calibri"/>
        <family val="2"/>
        <scheme val="minor"/>
      </rPr>
      <t>XPC</t>
    </r>
    <r>
      <rPr>
        <sz val="11"/>
        <color indexed="8"/>
        <rFont val="Calibri"/>
        <family val="2"/>
        <scheme val="minor"/>
      </rPr>
      <t> protein was supplemented into the XPC nuclear extract prior to the reaction. </t>
    </r>
    <r>
      <rPr>
        <b/>
        <sz val="11"/>
        <color rgb="FF000000"/>
        <rFont val="Calibri"/>
        <family val="2"/>
        <scheme val="minor"/>
      </rPr>
      <t xml:space="preserve">3) </t>
    </r>
    <r>
      <rPr>
        <sz val="11"/>
        <color indexed="8"/>
        <rFont val="Calibri"/>
        <family val="2"/>
        <scheme val="minor"/>
      </rPr>
      <t xml:space="preserve">human XPC−Rad23B complex makes direct contact with both the cisplatin-damaged DNA strand and the complementary undamaged strand of a duplex DNA substrate. </t>
    </r>
    <r>
      <rPr>
        <b/>
        <sz val="11"/>
        <color rgb="FF000000"/>
        <rFont val="Calibri"/>
        <family val="2"/>
        <scheme val="minor"/>
      </rPr>
      <t xml:space="preserve">4) gastric </t>
    </r>
    <r>
      <rPr>
        <sz val="11"/>
        <color rgb="FF000000"/>
        <rFont val="Calibri"/>
        <family val="2"/>
        <scheme val="minor"/>
      </rPr>
      <t>cancer</t>
    </r>
    <r>
      <rPr>
        <b/>
        <sz val="11"/>
        <color rgb="FF000000"/>
        <rFont val="Calibri"/>
        <family val="2"/>
        <scheme val="minor"/>
      </rPr>
      <t xml:space="preserve"> </t>
    </r>
    <r>
      <rPr>
        <sz val="11"/>
        <color indexed="8"/>
        <rFont val="Calibri"/>
        <family val="2"/>
        <scheme val="minor"/>
      </rPr>
      <t xml:space="preserve">MKN45 cells are sensitive to CDDP due to low levels of </t>
    </r>
    <r>
      <rPr>
        <b/>
        <sz val="11"/>
        <color rgb="FF000000"/>
        <rFont val="Calibri"/>
        <family val="2"/>
        <scheme val="minor"/>
      </rPr>
      <t>XPC</t>
    </r>
    <r>
      <rPr>
        <sz val="11"/>
        <color indexed="8"/>
        <rFont val="Calibri"/>
        <family val="2"/>
        <scheme val="minor"/>
      </rPr>
      <t xml:space="preserve"> and the absence of translocation of XPA and XPD to the nucleus after stimuli. </t>
    </r>
    <r>
      <rPr>
        <b/>
        <sz val="11"/>
        <color rgb="FF000000"/>
        <rFont val="Calibri"/>
        <family val="2"/>
        <scheme val="minor"/>
      </rPr>
      <t xml:space="preserve">5) </t>
    </r>
    <r>
      <rPr>
        <sz val="11"/>
        <color indexed="8"/>
        <rFont val="Calibri"/>
        <family val="2"/>
        <scheme val="minor"/>
      </rPr>
      <t xml:space="preserve">XPC enhances apoptosis induced by DNA damage in a p53 nullizygous background, acting downstream of mitochondrial permeabilization and upstream of caspase-9 activation in the DNA damage–induced apoptosis cascade. </t>
    </r>
    <r>
      <rPr>
        <b/>
        <sz val="11"/>
        <color rgb="FF000000"/>
        <rFont val="Calibri"/>
        <family val="2"/>
        <scheme val="minor"/>
      </rPr>
      <t>6)</t>
    </r>
    <r>
      <rPr>
        <sz val="11"/>
        <color indexed="8"/>
        <rFont val="Calibri"/>
        <family val="2"/>
        <scheme val="minor"/>
      </rPr>
      <t xml:space="preserve"> </t>
    </r>
    <r>
      <rPr>
        <b/>
        <sz val="11"/>
        <color rgb="FF000000"/>
        <rFont val="Calibri"/>
        <family val="2"/>
        <scheme val="minor"/>
      </rPr>
      <t>XPC</t>
    </r>
    <r>
      <rPr>
        <sz val="11"/>
        <color indexed="8"/>
        <rFont val="Calibri"/>
        <family val="2"/>
        <scheme val="minor"/>
      </rPr>
      <t xml:space="preserve"> overexpression in various p53-deficient cancer cells resistant to </t>
    </r>
    <r>
      <rPr>
        <b/>
        <sz val="11"/>
        <color rgb="FF000000"/>
        <rFont val="Calibri"/>
        <family val="2"/>
        <scheme val="minor"/>
      </rPr>
      <t>cisplatin</t>
    </r>
    <r>
      <rPr>
        <sz val="11"/>
        <color indexed="8"/>
        <rFont val="Calibri"/>
        <family val="2"/>
        <scheme val="minor"/>
      </rPr>
      <t xml:space="preserve"> improved their sensitivity to cisplatin-induced apoptosis. </t>
    </r>
    <r>
      <rPr>
        <b/>
        <sz val="11"/>
        <color rgb="FF000000"/>
        <rFont val="Calibri"/>
        <family val="2"/>
        <scheme val="minor"/>
      </rPr>
      <t xml:space="preserve">7) </t>
    </r>
    <r>
      <rPr>
        <sz val="11"/>
        <color indexed="8"/>
        <rFont val="Calibri"/>
        <family val="2"/>
        <scheme val="minor"/>
      </rPr>
      <t xml:space="preserve">High expression of XPC was noted in A549/DDP cells compared with that in A549 cells, which was associated with DDP resistance. </t>
    </r>
    <r>
      <rPr>
        <b/>
        <sz val="11"/>
        <color rgb="FF000000"/>
        <rFont val="Calibri"/>
        <family val="2"/>
        <scheme val="minor"/>
      </rPr>
      <t>8)</t>
    </r>
    <r>
      <rPr>
        <sz val="11"/>
        <color indexed="8"/>
        <rFont val="Calibri"/>
        <family val="2"/>
        <scheme val="minor"/>
      </rPr>
      <t xml:space="preserve"> XPC silencing significantly inhibited A549/DDP cell proliferation and increased the induction of apoptosis. </t>
    </r>
    <r>
      <rPr>
        <b/>
        <sz val="11"/>
        <color rgb="FF000000"/>
        <rFont val="Calibri"/>
        <family val="2"/>
        <scheme val="minor"/>
      </rPr>
      <t xml:space="preserve">9) </t>
    </r>
    <r>
      <rPr>
        <sz val="11"/>
        <color indexed="8"/>
        <rFont val="Calibri"/>
        <family val="2"/>
        <scheme val="minor"/>
      </rPr>
      <t xml:space="preserve">XPC knockdown decreased the expression levels of the Akt/mTOR signaling proteins and the expression of their downstream mediator. </t>
    </r>
  </si>
  <si>
    <t>12637505, 17406030, 15386344</t>
  </si>
  <si>
    <t>12637505, 19620494, 15386344</t>
  </si>
  <si>
    <t>12637505, 15386344</t>
  </si>
  <si>
    <t>12637505, 29956791, 15386344</t>
  </si>
  <si>
    <t>24865582, 16105650, 29423673, 20651982, 15386344</t>
  </si>
  <si>
    <t xml:space="preserve">23678002, 23365645, 15386344 </t>
  </si>
  <si>
    <t>17220511, 30375398, 28148293, 28038466, 17072341, 7712469</t>
  </si>
  <si>
    <t>21863213, 33034274</t>
  </si>
  <si>
    <t>17308072, 16091761, 16821621, 32628088</t>
  </si>
  <si>
    <t>20371719, 14716031</t>
  </si>
  <si>
    <t>Translocates drugs and phospholipids across the membrane</t>
  </si>
  <si>
    <r>
      <rPr>
        <b/>
        <sz val="11"/>
        <rFont val="Calibri"/>
        <family val="2"/>
        <scheme val="minor"/>
      </rPr>
      <t>1)</t>
    </r>
    <r>
      <rPr>
        <sz val="11"/>
        <rFont val="Calibri"/>
        <family val="2"/>
        <scheme val="minor"/>
      </rPr>
      <t xml:space="preserve"> h</t>
    </r>
    <r>
      <rPr>
        <b/>
        <sz val="11"/>
        <rFont val="Calibri"/>
        <family val="2"/>
        <scheme val="minor"/>
      </rPr>
      <t>MLH1</t>
    </r>
    <r>
      <rPr>
        <sz val="11"/>
        <rFont val="Calibri"/>
        <family val="2"/>
        <scheme val="minor"/>
      </rPr>
      <t xml:space="preserve"> mRNA is decreased in independent </t>
    </r>
    <r>
      <rPr>
        <b/>
        <sz val="11"/>
        <rFont val="Calibri"/>
        <family val="2"/>
        <scheme val="minor"/>
      </rPr>
      <t>cisplatin</t>
    </r>
    <r>
      <rPr>
        <sz val="11"/>
        <rFont val="Calibri"/>
        <family val="2"/>
        <scheme val="minor"/>
      </rPr>
      <t xml:space="preserve"> resistant derivatives of a human </t>
    </r>
    <r>
      <rPr>
        <b/>
        <sz val="11"/>
        <rFont val="Calibri"/>
        <family val="2"/>
        <scheme val="minor"/>
      </rPr>
      <t>ovarian</t>
    </r>
    <r>
      <rPr>
        <sz val="11"/>
        <rFont val="Calibri"/>
        <family val="2"/>
        <scheme val="minor"/>
      </rPr>
      <t xml:space="preserve"> carcinoma cell line. </t>
    </r>
    <r>
      <rPr>
        <b/>
        <sz val="11"/>
        <rFont val="Calibri"/>
        <family val="2"/>
        <scheme val="minor"/>
      </rPr>
      <t xml:space="preserve">2) </t>
    </r>
    <r>
      <rPr>
        <sz val="11"/>
        <rFont val="Calibri"/>
        <family val="2"/>
        <scheme val="minor"/>
      </rPr>
      <t xml:space="preserve">An increase in the proportion of ovarian tumours negative for the hMLH1 subunit is observed in samples taken at second look laparotomy after chemotherapy (36%: 4/11), compared to untreated tumours (10%: 4/39). </t>
    </r>
    <r>
      <rPr>
        <b/>
        <sz val="11"/>
        <rFont val="Calibri"/>
        <family val="2"/>
        <scheme val="minor"/>
      </rPr>
      <t xml:space="preserve">3) </t>
    </r>
    <r>
      <rPr>
        <sz val="11"/>
        <rFont val="Calibri"/>
        <family val="2"/>
        <scheme val="minor"/>
      </rPr>
      <t xml:space="preserve">Over-expression of </t>
    </r>
    <r>
      <rPr>
        <b/>
        <sz val="11"/>
        <rFont val="Calibri"/>
        <family val="2"/>
        <scheme val="minor"/>
      </rPr>
      <t>MLH1</t>
    </r>
    <r>
      <rPr>
        <sz val="11"/>
        <rFont val="Calibri"/>
        <family val="2"/>
        <scheme val="minor"/>
      </rPr>
      <t xml:space="preserve"> in </t>
    </r>
    <r>
      <rPr>
        <b/>
        <sz val="11"/>
        <rFont val="Calibri"/>
        <family val="2"/>
        <scheme val="minor"/>
      </rPr>
      <t>Ishikawa cells</t>
    </r>
    <r>
      <rPr>
        <sz val="11"/>
        <rFont val="Calibri"/>
        <family val="2"/>
        <scheme val="minor"/>
      </rPr>
      <t xml:space="preserve"> dramatically increased the sensitivity of cells to </t>
    </r>
    <r>
      <rPr>
        <b/>
        <sz val="11"/>
        <rFont val="Calibri"/>
        <family val="2"/>
        <scheme val="minor"/>
      </rPr>
      <t>cisplatin</t>
    </r>
    <r>
      <rPr>
        <sz val="11"/>
        <rFont val="Calibri"/>
        <family val="2"/>
        <scheme val="minor"/>
      </rPr>
      <t xml:space="preserve"> and enhanced cell apoptosis. </t>
    </r>
    <r>
      <rPr>
        <b/>
        <sz val="11"/>
        <rFont val="Calibri"/>
        <family val="2"/>
        <scheme val="minor"/>
      </rPr>
      <t>4)</t>
    </r>
    <r>
      <rPr>
        <sz val="11"/>
        <rFont val="Calibri"/>
        <family val="2"/>
        <scheme val="minor"/>
      </rPr>
      <t xml:space="preserve"> knockdown of </t>
    </r>
    <r>
      <rPr>
        <b/>
        <sz val="11"/>
        <rFont val="Calibri"/>
        <family val="2"/>
        <scheme val="minor"/>
      </rPr>
      <t>MLH1</t>
    </r>
    <r>
      <rPr>
        <sz val="11"/>
        <rFont val="Calibri"/>
        <family val="2"/>
        <scheme val="minor"/>
      </rPr>
      <t xml:space="preserve"> yielded the opposite effects in vitro. </t>
    </r>
    <r>
      <rPr>
        <b/>
        <sz val="11"/>
        <rFont val="Calibri"/>
        <family val="2"/>
        <scheme val="minor"/>
      </rPr>
      <t>5)</t>
    </r>
    <r>
      <rPr>
        <sz val="11"/>
        <rFont val="Calibri"/>
        <family val="2"/>
        <scheme val="minor"/>
      </rPr>
      <t xml:space="preserve"> The level of </t>
    </r>
    <r>
      <rPr>
        <b/>
        <sz val="11"/>
        <rFont val="Calibri"/>
        <family val="2"/>
        <scheme val="minor"/>
      </rPr>
      <t>MLH1</t>
    </r>
    <r>
      <rPr>
        <sz val="11"/>
        <rFont val="Calibri"/>
        <family val="2"/>
        <scheme val="minor"/>
      </rPr>
      <t xml:space="preserve"> and </t>
    </r>
    <r>
      <rPr>
        <b/>
        <sz val="11"/>
        <rFont val="Calibri"/>
        <family val="2"/>
        <scheme val="minor"/>
      </rPr>
      <t>MSH2</t>
    </r>
    <r>
      <rPr>
        <sz val="11"/>
        <rFont val="Calibri"/>
        <family val="2"/>
        <scheme val="minor"/>
      </rPr>
      <t xml:space="preserve"> mRNA expression was lower in the recurrence (R) group compared to the no recurrence (NR) group in </t>
    </r>
    <r>
      <rPr>
        <b/>
        <sz val="11"/>
        <rFont val="Calibri"/>
        <family val="2"/>
        <scheme val="minor"/>
      </rPr>
      <t>bladder</t>
    </r>
    <r>
      <rPr>
        <sz val="11"/>
        <rFont val="Calibri"/>
        <family val="2"/>
        <scheme val="minor"/>
      </rPr>
      <t xml:space="preserve"> cancer after </t>
    </r>
    <r>
      <rPr>
        <b/>
        <sz val="11"/>
        <rFont val="Calibri"/>
        <family val="2"/>
        <scheme val="minor"/>
      </rPr>
      <t>cisplatin</t>
    </r>
    <r>
      <rPr>
        <sz val="11"/>
        <rFont val="Calibri"/>
        <family val="2"/>
        <scheme val="minor"/>
      </rPr>
      <t xml:space="preserve">-based chemotherapy; therefore, PFS time was increased in the patients with </t>
    </r>
    <r>
      <rPr>
        <b/>
        <sz val="11"/>
        <rFont val="Calibri"/>
        <family val="2"/>
        <scheme val="minor"/>
      </rPr>
      <t>MLH1</t>
    </r>
    <r>
      <rPr>
        <sz val="11"/>
        <rFont val="Calibri"/>
        <family val="2"/>
        <scheme val="minor"/>
      </rPr>
      <t xml:space="preserve"> and </t>
    </r>
    <r>
      <rPr>
        <b/>
        <sz val="11"/>
        <rFont val="Calibri"/>
        <family val="2"/>
        <scheme val="minor"/>
      </rPr>
      <t>MSH2</t>
    </r>
    <r>
      <rPr>
        <sz val="11"/>
        <rFont val="Calibri"/>
        <family val="2"/>
        <scheme val="minor"/>
      </rPr>
      <t xml:space="preserve"> gene expression levels above the cutoff point. </t>
    </r>
    <r>
      <rPr>
        <b/>
        <sz val="11"/>
        <rFont val="Calibri"/>
        <family val="2"/>
        <scheme val="minor"/>
      </rPr>
      <t xml:space="preserve">6) </t>
    </r>
    <r>
      <rPr>
        <sz val="11"/>
        <rFont val="Calibri"/>
        <family val="2"/>
        <scheme val="minor"/>
      </rPr>
      <t xml:space="preserve">plasma DNA of patients with </t>
    </r>
    <r>
      <rPr>
        <b/>
        <sz val="11"/>
        <rFont val="Calibri"/>
        <family val="2"/>
        <scheme val="minor"/>
      </rPr>
      <t>EOC</t>
    </r>
    <r>
      <rPr>
        <sz val="11"/>
        <rFont val="Calibri"/>
        <family val="2"/>
        <scheme val="minor"/>
      </rPr>
      <t xml:space="preserve"> for methylation of the </t>
    </r>
    <r>
      <rPr>
        <b/>
        <sz val="11"/>
        <rFont val="Calibri"/>
        <family val="2"/>
        <scheme val="minor"/>
      </rPr>
      <t>hMLH1</t>
    </r>
    <r>
      <rPr>
        <sz val="11"/>
        <rFont val="Calibri"/>
        <family val="2"/>
        <scheme val="minor"/>
      </rPr>
      <t xml:space="preserve"> CpG island before </t>
    </r>
    <r>
      <rPr>
        <b/>
        <sz val="11"/>
        <rFont val="Calibri"/>
        <family val="2"/>
        <scheme val="minor"/>
      </rPr>
      <t>carboplatin</t>
    </r>
    <r>
      <rPr>
        <sz val="11"/>
        <rFont val="Calibri"/>
        <family val="2"/>
        <scheme val="minor"/>
      </rPr>
      <t xml:space="preserve">/taxoid chemotherapy and at relapse:  hMLH1 methylation is significantly associated with increased microsatellite instability in plasma DNA at relapse. Acquisition of hMLH1 methylation in plasma DNA at relapse predicts poor overall survival of patients, independent from time to progression and age. </t>
    </r>
  </si>
  <si>
    <t>9233776, 30594176, 32922493, 15240532</t>
  </si>
  <si>
    <t>29795279, 30594239, 10675495, 30087144, 27769097, 28918673</t>
  </si>
  <si>
    <t>25504440, 27779704</t>
  </si>
  <si>
    <t xml:space="preserve">29061642, 28422725, 24818169, 19690197, 27196780, 31785230, </t>
  </si>
  <si>
    <t>31478830, 27294003, 28103122, 23307041</t>
  </si>
  <si>
    <r>
      <rPr>
        <b/>
        <sz val="11"/>
        <rFont val="Calibri"/>
        <family val="2"/>
        <scheme val="minor"/>
      </rPr>
      <t xml:space="preserve">1) </t>
    </r>
    <r>
      <rPr>
        <sz val="11"/>
        <rFont val="Calibri"/>
        <family val="2"/>
        <scheme val="minor"/>
      </rPr>
      <t xml:space="preserve">31% of </t>
    </r>
    <r>
      <rPr>
        <b/>
        <sz val="11"/>
        <rFont val="Calibri"/>
        <family val="2"/>
        <scheme val="minor"/>
      </rPr>
      <t>ovarian</t>
    </r>
    <r>
      <rPr>
        <sz val="11"/>
        <rFont val="Calibri"/>
        <family val="2"/>
        <scheme val="minor"/>
      </rPr>
      <t xml:space="preserve"> carcinomas had a deleterious germline (24%) and/or somatic (9%) mutation in one or more of the 13 HR genes: BRCA1, BRCA2, ATM, BARD1, BRIP1, CHEK1, CHEK2, </t>
    </r>
    <r>
      <rPr>
        <b/>
        <sz val="11"/>
        <rFont val="Calibri"/>
        <family val="2"/>
        <scheme val="minor"/>
      </rPr>
      <t>FAM175A</t>
    </r>
    <r>
      <rPr>
        <sz val="11"/>
        <rFont val="Calibri"/>
        <family val="2"/>
        <scheme val="minor"/>
      </rPr>
      <t>, MRE11A, NBN, PALB2, RAD51C, and RAD51D.</t>
    </r>
    <r>
      <rPr>
        <b/>
        <sz val="11"/>
        <rFont val="Calibri"/>
        <family val="2"/>
        <scheme val="minor"/>
      </rPr>
      <t xml:space="preserve"> 2) </t>
    </r>
    <r>
      <rPr>
        <sz val="11"/>
        <rFont val="Calibri"/>
        <family val="2"/>
        <scheme val="minor"/>
      </rPr>
      <t xml:space="preserve">The presence of germline and somatic HR mutations was highly predictive of primary </t>
    </r>
    <r>
      <rPr>
        <b/>
        <sz val="11"/>
        <rFont val="Calibri"/>
        <family val="2"/>
        <scheme val="minor"/>
      </rPr>
      <t>platinum</t>
    </r>
    <r>
      <rPr>
        <sz val="11"/>
        <rFont val="Calibri"/>
        <family val="2"/>
        <scheme val="minor"/>
      </rPr>
      <t xml:space="preserve"> sensitivity (p=0.0002) and improved overall survival (p=0.0006). </t>
    </r>
    <r>
      <rPr>
        <b/>
        <sz val="11"/>
        <rFont val="Calibri"/>
        <family val="2"/>
        <scheme val="minor"/>
      </rPr>
      <t>3)</t>
    </r>
    <r>
      <rPr>
        <sz val="11"/>
        <rFont val="Calibri"/>
        <family val="2"/>
        <scheme val="minor"/>
      </rPr>
      <t xml:space="preserve"> </t>
    </r>
    <r>
      <rPr>
        <b/>
        <sz val="11"/>
        <rFont val="Calibri"/>
        <family val="2"/>
        <scheme val="minor"/>
      </rPr>
      <t>RAP80</t>
    </r>
    <r>
      <rPr>
        <sz val="11"/>
        <rFont val="Calibri"/>
        <family val="2"/>
        <scheme val="minor"/>
      </rPr>
      <t xml:space="preserve"> helps recruit </t>
    </r>
    <r>
      <rPr>
        <b/>
        <sz val="11"/>
        <rFont val="Calibri"/>
        <family val="2"/>
        <scheme val="minor"/>
      </rPr>
      <t>BRCA1</t>
    </r>
    <r>
      <rPr>
        <sz val="11"/>
        <rFont val="Calibri"/>
        <family val="2"/>
        <scheme val="minor"/>
      </rPr>
      <t xml:space="preserve"> to double-strand breaks  through the scaffold protein </t>
    </r>
    <r>
      <rPr>
        <b/>
        <sz val="11"/>
        <rFont val="Calibri"/>
        <family val="2"/>
        <scheme val="minor"/>
      </rPr>
      <t>CCDC98</t>
    </r>
    <r>
      <rPr>
        <sz val="11"/>
        <rFont val="Calibri"/>
        <family val="2"/>
        <scheme val="minor"/>
      </rPr>
      <t xml:space="preserve"> (</t>
    </r>
    <r>
      <rPr>
        <b/>
        <sz val="11"/>
        <rFont val="Calibri"/>
        <family val="2"/>
        <scheme val="minor"/>
      </rPr>
      <t>Abraxas</t>
    </r>
    <r>
      <rPr>
        <sz val="11"/>
        <rFont val="Calibri"/>
        <family val="2"/>
        <scheme val="minor"/>
      </rPr>
      <t xml:space="preserve">) and facilitates DNA damage response (DDR). </t>
    </r>
    <r>
      <rPr>
        <b/>
        <sz val="11"/>
        <rFont val="Calibri"/>
        <family val="2"/>
        <scheme val="minor"/>
      </rPr>
      <t xml:space="preserve">4) </t>
    </r>
    <r>
      <rPr>
        <sz val="11"/>
        <rFont val="Calibri"/>
        <family val="2"/>
        <scheme val="minor"/>
      </rPr>
      <t xml:space="preserve">a deubiquitinase, </t>
    </r>
    <r>
      <rPr>
        <b/>
        <sz val="11"/>
        <rFont val="Calibri"/>
        <family val="2"/>
        <scheme val="minor"/>
      </rPr>
      <t>USP13</t>
    </r>
    <r>
      <rPr>
        <sz val="11"/>
        <rFont val="Calibri"/>
        <family val="2"/>
        <scheme val="minor"/>
      </rPr>
      <t xml:space="preserve">, regulates DDR by targeting </t>
    </r>
    <r>
      <rPr>
        <b/>
        <sz val="11"/>
        <rFont val="Calibri"/>
        <family val="2"/>
        <scheme val="minor"/>
      </rPr>
      <t>RAP80</t>
    </r>
    <r>
      <rPr>
        <sz val="11"/>
        <rFont val="Calibri"/>
        <family val="2"/>
        <scheme val="minor"/>
      </rPr>
      <t xml:space="preserve">. </t>
    </r>
    <r>
      <rPr>
        <b/>
        <sz val="11"/>
        <rFont val="Calibri"/>
        <family val="2"/>
        <scheme val="minor"/>
      </rPr>
      <t>5)</t>
    </r>
    <r>
      <rPr>
        <sz val="11"/>
        <rFont val="Calibri"/>
        <family val="2"/>
        <scheme val="minor"/>
      </rPr>
      <t xml:space="preserve"> </t>
    </r>
    <r>
      <rPr>
        <b/>
        <sz val="11"/>
        <rFont val="Calibri"/>
        <family val="2"/>
        <scheme val="minor"/>
      </rPr>
      <t xml:space="preserve">USP13 </t>
    </r>
    <r>
      <rPr>
        <sz val="11"/>
        <rFont val="Calibri"/>
        <family val="2"/>
        <scheme val="minor"/>
      </rPr>
      <t xml:space="preserve">is phosphorylated by </t>
    </r>
    <r>
      <rPr>
        <b/>
        <sz val="11"/>
        <rFont val="Calibri"/>
        <family val="2"/>
        <scheme val="minor"/>
      </rPr>
      <t>ATM</t>
    </r>
    <r>
      <rPr>
        <sz val="11"/>
        <rFont val="Calibri"/>
        <family val="2"/>
        <scheme val="minor"/>
      </rPr>
      <t xml:space="preserve"> following DNA damage; </t>
    </r>
    <r>
      <rPr>
        <b/>
        <sz val="11"/>
        <rFont val="Calibri"/>
        <family val="2"/>
        <scheme val="minor"/>
      </rPr>
      <t>USP13</t>
    </r>
    <r>
      <rPr>
        <sz val="11"/>
        <rFont val="Calibri"/>
        <family val="2"/>
        <scheme val="minor"/>
      </rPr>
      <t xml:space="preserve"> deubiquitinates </t>
    </r>
    <r>
      <rPr>
        <b/>
        <sz val="11"/>
        <rFont val="Calibri"/>
        <family val="2"/>
        <scheme val="minor"/>
      </rPr>
      <t xml:space="preserve">RAP80 </t>
    </r>
    <r>
      <rPr>
        <sz val="11"/>
        <rFont val="Calibri"/>
        <family val="2"/>
        <scheme val="minor"/>
      </rPr>
      <t xml:space="preserve">and promotes RAP80 recruitment. 6) Depleting or inhibiting USP13 sensitizes </t>
    </r>
    <r>
      <rPr>
        <b/>
        <sz val="11"/>
        <rFont val="Calibri"/>
        <family val="2"/>
        <scheme val="minor"/>
      </rPr>
      <t>ovarian</t>
    </r>
    <r>
      <rPr>
        <sz val="11"/>
        <rFont val="Calibri"/>
        <family val="2"/>
        <scheme val="minor"/>
      </rPr>
      <t xml:space="preserve"> cancer cells to </t>
    </r>
    <r>
      <rPr>
        <b/>
        <sz val="11"/>
        <rFont val="Calibri"/>
        <family val="2"/>
        <scheme val="minor"/>
      </rPr>
      <t>cisplatin</t>
    </r>
    <r>
      <rPr>
        <sz val="11"/>
        <rFont val="Calibri"/>
        <family val="2"/>
        <scheme val="minor"/>
      </rPr>
      <t xml:space="preserve"> and PARP inhibitor (olaparib) while overexpression of USP13 renders ovarian cancer cells resistant to chemotherapy. </t>
    </r>
  </si>
  <si>
    <t>22357538, 28569838</t>
  </si>
  <si>
    <t>32678482, 24527071, 22534668</t>
  </si>
  <si>
    <t>25560806, 23723247</t>
  </si>
  <si>
    <t>26201611, 33202209, 32412667</t>
  </si>
  <si>
    <t>28545442, 26146406, 17397945</t>
  </si>
  <si>
    <t>21115814, 27026368, 20603016</t>
  </si>
  <si>
    <t>33061807, 20443017</t>
  </si>
  <si>
    <t>IGF2R</t>
  </si>
  <si>
    <t>MPRI</t>
  </si>
  <si>
    <t>insulin like growth factor 2 receptor / Cation-independent mannose-6-phosphate receptor</t>
  </si>
  <si>
    <t>Mediates the transport of phosphorylated lysosomal enzymes from the Golgi complex and the cell surface to lysosomes; binds IGF2</t>
  </si>
  <si>
    <t>Endonuclease 8-like 2</t>
  </si>
  <si>
    <t>Protein name</t>
  </si>
  <si>
    <t>The function of this peroxisomal membrane protein is unknown; however this protein is speculated to function as a dimerization partner of ABCD1 and/or other peroxisomal ABC transporters. </t>
  </si>
  <si>
    <t>ATP-binding cassette proteins transport various molecules across extra- and intracellular membranes. Alterations in this gene may be involved in cancer progression. </t>
  </si>
  <si>
    <t>Function</t>
  </si>
  <si>
    <t>the first rate-limiting enzyme of glutathione synthesis. </t>
  </si>
  <si>
    <r>
      <rPr>
        <b/>
        <sz val="11"/>
        <color rgb="FF333333"/>
        <rFont val="Calibri"/>
        <family val="2"/>
        <scheme val="minor"/>
      </rPr>
      <t>1)</t>
    </r>
    <r>
      <rPr>
        <sz val="11"/>
        <color rgb="FF333333"/>
        <rFont val="Calibri"/>
        <family val="2"/>
        <scheme val="minor"/>
      </rPr>
      <t xml:space="preserve"> transient overexpression of </t>
    </r>
    <r>
      <rPr>
        <b/>
        <sz val="11"/>
        <color rgb="FF333333"/>
        <rFont val="Calibri"/>
        <family val="2"/>
        <scheme val="minor"/>
      </rPr>
      <t>ABCF2</t>
    </r>
    <r>
      <rPr>
        <sz val="11"/>
        <color rgb="FF333333"/>
        <rFont val="Calibri"/>
        <family val="2"/>
        <scheme val="minor"/>
      </rPr>
      <t xml:space="preserve"> in the parental cells decreased apoptosis and increased cell viability following </t>
    </r>
    <r>
      <rPr>
        <b/>
        <sz val="11"/>
        <color rgb="FF333333"/>
        <rFont val="Calibri"/>
        <family val="2"/>
        <scheme val="minor"/>
      </rPr>
      <t>cisplatin</t>
    </r>
    <r>
      <rPr>
        <sz val="11"/>
        <color rgb="FF333333"/>
        <rFont val="Calibri"/>
        <family val="2"/>
        <scheme val="minor"/>
      </rPr>
      <t xml:space="preserve"> treatment. </t>
    </r>
    <r>
      <rPr>
        <b/>
        <sz val="11"/>
        <color rgb="FF333333"/>
        <rFont val="Calibri"/>
        <family val="2"/>
        <scheme val="minor"/>
      </rPr>
      <t xml:space="preserve">2) </t>
    </r>
    <r>
      <rPr>
        <sz val="11"/>
        <color rgb="FF333333"/>
        <rFont val="Calibri"/>
        <family val="2"/>
        <scheme val="minor"/>
      </rPr>
      <t xml:space="preserve">knockdown of ABCF2 using specific siRNA notably increased apoptosis and decreased cell viability in cisplatin-resistant cells treated with cisplatin. </t>
    </r>
    <r>
      <rPr>
        <b/>
        <sz val="11"/>
        <color rgb="FF333333"/>
        <rFont val="Calibri"/>
        <family val="2"/>
        <scheme val="minor"/>
      </rPr>
      <t xml:space="preserve">3) </t>
    </r>
    <r>
      <rPr>
        <sz val="11"/>
        <color rgb="FF333333"/>
        <rFont val="Calibri"/>
        <family val="2"/>
        <scheme val="minor"/>
      </rPr>
      <t>The NRF2-overexpressing cell line, containing high levels of ABCF2, was more resistant to cisplatin-induced apoptosis compared to its control cell line;</t>
    </r>
    <r>
      <rPr>
        <b/>
        <sz val="11"/>
        <color rgb="FF333333"/>
        <rFont val="Calibri"/>
        <family val="2"/>
        <scheme val="minor"/>
      </rPr>
      <t xml:space="preserve"> 4)</t>
    </r>
    <r>
      <rPr>
        <sz val="11"/>
        <color rgb="FF333333"/>
        <rFont val="Calibri"/>
        <family val="2"/>
        <scheme val="minor"/>
      </rPr>
      <t xml:space="preserve"> the NRF2 knockdown cell line with low levels of ABCF2, was more sensitive to cisplatin treatment than its control cell line. </t>
    </r>
  </si>
  <si>
    <r>
      <rPr>
        <b/>
        <sz val="11"/>
        <color rgb="FF333333"/>
        <rFont val="Calibri"/>
        <family val="2"/>
        <scheme val="minor"/>
      </rPr>
      <t xml:space="preserve">1) </t>
    </r>
    <r>
      <rPr>
        <sz val="11"/>
        <color rgb="FF333333"/>
        <rFont val="Calibri"/>
        <family val="2"/>
        <scheme val="minor"/>
      </rPr>
      <t>An increase in Akt and ERK phosphorylation after chemotherapy was observed in 5 and 8 patients, respectively out of 10 patients examined. </t>
    </r>
    <r>
      <rPr>
        <b/>
        <sz val="11"/>
        <color rgb="FF333333"/>
        <rFont val="Calibri"/>
        <family val="2"/>
        <scheme val="minor"/>
      </rPr>
      <t>2)</t>
    </r>
    <r>
      <rPr>
        <sz val="11"/>
        <color rgb="FF333333"/>
        <rFont val="Calibri"/>
        <family val="2"/>
        <scheme val="minor"/>
      </rPr>
      <t xml:space="preserve"> Akt and ERK activation by chemotherapy were associated with a </t>
    </r>
    <r>
      <rPr>
        <b/>
        <sz val="11"/>
        <color rgb="FF333333"/>
        <rFont val="Calibri"/>
        <family val="2"/>
        <scheme val="minor"/>
      </rPr>
      <t>favorable</t>
    </r>
    <r>
      <rPr>
        <sz val="11"/>
        <color rgb="FF333333"/>
        <rFont val="Calibri"/>
        <family val="2"/>
        <scheme val="minor"/>
      </rPr>
      <t xml:space="preserve"> overall survival. </t>
    </r>
    <r>
      <rPr>
        <b/>
        <sz val="11"/>
        <color rgb="FF333333"/>
        <rFont val="Calibri"/>
        <family val="2"/>
        <scheme val="minor"/>
      </rPr>
      <t xml:space="preserve">3) </t>
    </r>
    <r>
      <rPr>
        <sz val="11"/>
        <color rgb="FF333333"/>
        <rFont val="Calibri"/>
        <family val="2"/>
        <scheme val="minor"/>
      </rPr>
      <t xml:space="preserve">The combination of </t>
    </r>
    <r>
      <rPr>
        <b/>
        <sz val="11"/>
        <color rgb="FF333333"/>
        <rFont val="Calibri"/>
        <family val="2"/>
        <scheme val="minor"/>
      </rPr>
      <t>cisplatin</t>
    </r>
    <r>
      <rPr>
        <sz val="11"/>
        <color rgb="FF333333"/>
        <rFont val="Calibri"/>
        <family val="2"/>
        <scheme val="minor"/>
      </rPr>
      <t xml:space="preserve">, DNA-PK inhibitor NU7441, and </t>
    </r>
    <r>
      <rPr>
        <b/>
        <sz val="11"/>
        <color rgb="FF333333"/>
        <rFont val="Calibri"/>
        <family val="2"/>
        <scheme val="minor"/>
      </rPr>
      <t>AKT inhibitor</t>
    </r>
    <r>
      <rPr>
        <sz val="11"/>
        <color rgb="FF333333"/>
        <rFont val="Calibri"/>
        <family val="2"/>
        <scheme val="minor"/>
      </rPr>
      <t xml:space="preserve"> TCN can overcome drug resistance, increase apoptosis, and re-sensitize </t>
    </r>
    <r>
      <rPr>
        <b/>
        <sz val="11"/>
        <color rgb="FF333333"/>
        <rFont val="Calibri"/>
        <family val="2"/>
        <scheme val="minor"/>
      </rPr>
      <t>PEO4</t>
    </r>
    <r>
      <rPr>
        <sz val="11"/>
        <color rgb="FF333333"/>
        <rFont val="Calibri"/>
        <family val="2"/>
        <scheme val="minor"/>
      </rPr>
      <t xml:space="preserve"> cells to cisplatin treatment. </t>
    </r>
    <r>
      <rPr>
        <b/>
        <sz val="11"/>
        <color rgb="FF333333"/>
        <rFont val="Calibri"/>
        <family val="2"/>
        <scheme val="minor"/>
      </rPr>
      <t xml:space="preserve">4) </t>
    </r>
    <r>
      <rPr>
        <sz val="11"/>
        <color rgb="FF333333"/>
        <rFont val="Calibri"/>
        <family val="2"/>
        <scheme val="minor"/>
      </rPr>
      <t xml:space="preserve">Advanced </t>
    </r>
    <r>
      <rPr>
        <b/>
        <sz val="11"/>
        <color rgb="FF333333"/>
        <rFont val="Calibri"/>
        <family val="2"/>
        <scheme val="minor"/>
      </rPr>
      <t>EOCs</t>
    </r>
    <r>
      <rPr>
        <sz val="11"/>
        <color rgb="FF333333"/>
        <rFont val="Calibri"/>
        <family val="2"/>
        <scheme val="minor"/>
      </rPr>
      <t xml:space="preserve"> were characterised by a heterogeneous kinase-driven metabolic signature and </t>
    </r>
    <r>
      <rPr>
        <b/>
        <sz val="11"/>
        <color rgb="FF333333"/>
        <rFont val="Calibri"/>
        <family val="2"/>
        <scheme val="minor"/>
      </rPr>
      <t>decreased phosphorylation</t>
    </r>
    <r>
      <rPr>
        <sz val="11"/>
        <color rgb="FF333333"/>
        <rFont val="Calibri"/>
        <family val="2"/>
        <scheme val="minor"/>
      </rPr>
      <t xml:space="preserve"> of the </t>
    </r>
    <r>
      <rPr>
        <b/>
        <sz val="11"/>
        <color rgb="FF333333"/>
        <rFont val="Calibri"/>
        <family val="2"/>
        <scheme val="minor"/>
      </rPr>
      <t>AMPK-AKT-mTOR</t>
    </r>
    <r>
      <rPr>
        <sz val="11"/>
        <color rgb="FF333333"/>
        <rFont val="Calibri"/>
        <family val="2"/>
        <scheme val="minor"/>
      </rPr>
      <t xml:space="preserve"> axis compared to early EOC (P&lt;0.05 for AMPKα T172, AMPKα1 S485, AMPKβ1 S108, AKT S473 and T308, mTOR S2448, p70S6 S371, 4EBP1 S65, GSK-3 α/β S21/9, FOXO1 T24/FOXO3 T32, and FOXO1 S256). </t>
    </r>
    <r>
      <rPr>
        <b/>
        <sz val="11"/>
        <color rgb="FF333333"/>
        <rFont val="Calibri"/>
        <family val="2"/>
        <scheme val="minor"/>
      </rPr>
      <t>5)</t>
    </r>
    <r>
      <rPr>
        <sz val="11"/>
        <color rgb="FF333333"/>
        <rFont val="Calibri"/>
        <family val="2"/>
        <scheme val="minor"/>
      </rPr>
      <t xml:space="preserve"> Advanced tumours with </t>
    </r>
    <r>
      <rPr>
        <b/>
        <sz val="11"/>
        <color rgb="FF333333"/>
        <rFont val="Calibri"/>
        <family val="2"/>
        <scheme val="minor"/>
      </rPr>
      <t>low</t>
    </r>
    <r>
      <rPr>
        <sz val="11"/>
        <color rgb="FF333333"/>
        <rFont val="Calibri"/>
        <family val="2"/>
        <scheme val="minor"/>
      </rPr>
      <t xml:space="preserve"> relative activation of the metabolic signature and increased FOXO1 T24/FOXO3 T32 phosphorylation (P=0.041) were associated with </t>
    </r>
    <r>
      <rPr>
        <b/>
        <sz val="11"/>
        <color rgb="FF333333"/>
        <rFont val="Calibri"/>
        <family val="2"/>
        <scheme val="minor"/>
      </rPr>
      <t>carboplatin</t>
    </r>
    <r>
      <rPr>
        <sz val="11"/>
        <color rgb="FF333333"/>
        <rFont val="Calibri"/>
        <family val="2"/>
        <scheme val="minor"/>
      </rPr>
      <t>-paclitaxel resistance..</t>
    </r>
  </si>
  <si>
    <r>
      <rPr>
        <b/>
        <sz val="11"/>
        <color rgb="FF333333"/>
        <rFont val="Calibri"/>
        <family val="2"/>
        <scheme val="minor"/>
      </rPr>
      <t xml:space="preserve"> 1) </t>
    </r>
    <r>
      <rPr>
        <sz val="11"/>
        <color rgb="FF333333"/>
        <rFont val="Calibri"/>
        <family val="2"/>
        <scheme val="minor"/>
      </rPr>
      <t xml:space="preserve">W1 </t>
    </r>
    <r>
      <rPr>
        <b/>
        <sz val="11"/>
        <color rgb="FF333333"/>
        <rFont val="Calibri"/>
        <family val="2"/>
        <scheme val="minor"/>
      </rPr>
      <t>OC</t>
    </r>
    <r>
      <rPr>
        <sz val="11"/>
        <color rgb="FF333333"/>
        <rFont val="Calibri"/>
        <family val="2"/>
        <scheme val="minor"/>
      </rPr>
      <t xml:space="preserve"> cell binding to </t>
    </r>
    <r>
      <rPr>
        <b/>
        <sz val="11"/>
        <color rgb="FF333333"/>
        <rFont val="Calibri"/>
        <family val="2"/>
        <scheme val="minor"/>
      </rPr>
      <t>COL1</t>
    </r>
    <r>
      <rPr>
        <sz val="11"/>
        <color rgb="FF333333"/>
        <rFont val="Calibri"/>
        <family val="2"/>
        <scheme val="minor"/>
      </rPr>
      <t xml:space="preserve"> upregulates integrin-associated signals via FAK/</t>
    </r>
    <r>
      <rPr>
        <b/>
        <sz val="11"/>
        <color rgb="FF333333"/>
        <rFont val="Calibri"/>
        <family val="2"/>
        <scheme val="minor"/>
      </rPr>
      <t>PRAS40</t>
    </r>
    <r>
      <rPr>
        <sz val="11"/>
        <color rgb="FF333333"/>
        <rFont val="Calibri"/>
        <family val="2"/>
        <scheme val="minor"/>
      </rPr>
      <t xml:space="preserve">/mTOR, confirmed by </t>
    </r>
    <r>
      <rPr>
        <b/>
        <sz val="11"/>
        <color rgb="FF333333"/>
        <rFont val="Calibri"/>
        <family val="2"/>
        <scheme val="minor"/>
      </rPr>
      <t>ITGB1</t>
    </r>
    <r>
      <rPr>
        <sz val="11"/>
        <color rgb="FF333333"/>
        <rFont val="Calibri"/>
        <family val="2"/>
        <scheme val="minor"/>
      </rPr>
      <t xml:space="preserve"> knockdown; </t>
    </r>
    <r>
      <rPr>
        <b/>
        <sz val="11"/>
        <color rgb="FF333333"/>
        <rFont val="Calibri"/>
        <family val="2"/>
        <scheme val="minor"/>
      </rPr>
      <t>mTOR</t>
    </r>
    <r>
      <rPr>
        <sz val="11"/>
        <color rgb="FF333333"/>
        <rFont val="Calibri"/>
        <family val="2"/>
        <scheme val="minor"/>
      </rPr>
      <t xml:space="preserve"> appears as key for resistance, its blockade reversed </t>
    </r>
    <r>
      <rPr>
        <b/>
        <sz val="11"/>
        <color rgb="FF333333"/>
        <rFont val="Calibri"/>
        <family val="2"/>
        <scheme val="minor"/>
      </rPr>
      <t>COL1</t>
    </r>
    <r>
      <rPr>
        <sz val="11"/>
        <color rgb="FF333333"/>
        <rFont val="Calibri"/>
        <family val="2"/>
        <scheme val="minor"/>
      </rPr>
      <t xml:space="preserve"> effects on </t>
    </r>
    <r>
      <rPr>
        <b/>
        <sz val="11"/>
        <color rgb="FF333333"/>
        <rFont val="Calibri"/>
        <family val="2"/>
        <scheme val="minor"/>
      </rPr>
      <t>cisplatin</t>
    </r>
    <r>
      <rPr>
        <sz val="11"/>
        <color rgb="FF333333"/>
        <rFont val="Calibri"/>
        <family val="2"/>
        <scheme val="minor"/>
      </rPr>
      <t xml:space="preserve"> resistance completely. </t>
    </r>
  </si>
  <si>
    <r>
      <rPr>
        <b/>
        <sz val="11"/>
        <color rgb="FF000000"/>
        <rFont val="Calibri"/>
        <family val="2"/>
        <scheme val="minor"/>
      </rPr>
      <t xml:space="preserve">1) </t>
    </r>
    <r>
      <rPr>
        <sz val="11"/>
        <color indexed="8"/>
        <rFont val="Calibri"/>
        <family val="2"/>
        <scheme val="minor"/>
      </rPr>
      <t xml:space="preserve">2-Deoxy-d-Glucose (2-DG) sensitizes human </t>
    </r>
    <r>
      <rPr>
        <b/>
        <sz val="11"/>
        <color rgb="FF000000"/>
        <rFont val="Calibri"/>
        <family val="2"/>
        <scheme val="minor"/>
      </rPr>
      <t>Ovarian</t>
    </r>
    <r>
      <rPr>
        <sz val="11"/>
        <color indexed="8"/>
        <rFont val="Calibri"/>
        <family val="2"/>
        <scheme val="minor"/>
      </rPr>
      <t xml:space="preserve"> Cancer Cells to </t>
    </r>
    <r>
      <rPr>
        <b/>
        <sz val="11"/>
        <color rgb="FF000000"/>
        <rFont val="Calibri"/>
        <family val="2"/>
        <scheme val="minor"/>
      </rPr>
      <t>Cisplatin</t>
    </r>
    <r>
      <rPr>
        <sz val="11"/>
        <color indexed="8"/>
        <rFont val="Calibri"/>
        <family val="2"/>
        <scheme val="minor"/>
      </rPr>
      <t xml:space="preserve"> by increasing ER stress and decreasing ATP stores in acidic vesicles. </t>
    </r>
    <r>
      <rPr>
        <b/>
        <sz val="11"/>
        <color rgb="FF000000"/>
        <rFont val="Calibri"/>
        <family val="2"/>
        <scheme val="minor"/>
      </rPr>
      <t>2)</t>
    </r>
    <r>
      <rPr>
        <sz val="11"/>
        <color indexed="8"/>
        <rFont val="Calibri"/>
        <family val="2"/>
        <scheme val="minor"/>
      </rPr>
      <t xml:space="preserve"> Cytotoxic doses of cisplatin and carboplatin treatments consistently induced</t>
    </r>
    <r>
      <rPr>
        <b/>
        <sz val="11"/>
        <color rgb="FF000000"/>
        <rFont val="Calibri"/>
        <family val="2"/>
        <scheme val="minor"/>
      </rPr>
      <t xml:space="preserve"> ATF3</t>
    </r>
    <r>
      <rPr>
        <sz val="11"/>
        <color indexed="8"/>
        <rFont val="Calibri"/>
        <family val="2"/>
        <scheme val="minor"/>
      </rPr>
      <t xml:space="preserve"> expression in five tumor-derived cell lines. </t>
    </r>
    <r>
      <rPr>
        <b/>
        <sz val="11"/>
        <color rgb="FF000000"/>
        <rFont val="Calibri"/>
        <family val="2"/>
        <scheme val="minor"/>
      </rPr>
      <t xml:space="preserve">3) </t>
    </r>
    <r>
      <rPr>
        <sz val="11"/>
        <color indexed="8"/>
        <rFont val="Calibri"/>
        <family val="2"/>
        <scheme val="minor"/>
      </rPr>
      <t xml:space="preserve">In A549 </t>
    </r>
    <r>
      <rPr>
        <b/>
        <sz val="11"/>
        <color rgb="FF000000"/>
        <rFont val="Calibri"/>
        <family val="2"/>
        <scheme val="minor"/>
      </rPr>
      <t xml:space="preserve">lung </t>
    </r>
    <r>
      <rPr>
        <sz val="11"/>
        <color indexed="8"/>
        <rFont val="Calibri"/>
        <family val="2"/>
        <scheme val="minor"/>
      </rPr>
      <t xml:space="preserve">carcinoma cells, targeting ATF3 with specific shRNA attenuated the cytotoxic effects of </t>
    </r>
    <r>
      <rPr>
        <b/>
        <sz val="11"/>
        <color rgb="FF000000"/>
        <rFont val="Calibri"/>
        <family val="2"/>
        <scheme val="minor"/>
      </rPr>
      <t>cisplatin</t>
    </r>
    <r>
      <rPr>
        <sz val="11"/>
        <color indexed="8"/>
        <rFont val="Calibri"/>
        <family val="2"/>
        <scheme val="minor"/>
      </rPr>
      <t xml:space="preserve">. </t>
    </r>
    <r>
      <rPr>
        <b/>
        <sz val="11"/>
        <color rgb="FF000000"/>
        <rFont val="Calibri"/>
        <family val="2"/>
        <scheme val="minor"/>
      </rPr>
      <t xml:space="preserve">4) </t>
    </r>
    <r>
      <rPr>
        <sz val="11"/>
        <color indexed="8"/>
        <rFont val="Calibri"/>
        <family val="2"/>
        <scheme val="minor"/>
      </rPr>
      <t xml:space="preserve">A role for ATF3 in tumorigenesis has been implicated through its ability to affect the transcription of a number of regulators of apoptosis and cell proliferation including </t>
    </r>
    <r>
      <rPr>
        <b/>
        <sz val="11"/>
        <color rgb="FF000000"/>
        <rFont val="Calibri"/>
        <family val="2"/>
        <scheme val="minor"/>
      </rPr>
      <t>CHOP</t>
    </r>
    <r>
      <rPr>
        <sz val="11"/>
        <color indexed="8"/>
        <rFont val="Calibri"/>
        <family val="2"/>
        <scheme val="minor"/>
      </rPr>
      <t xml:space="preserve"> and cyclin D1, respectively. </t>
    </r>
    <r>
      <rPr>
        <b/>
        <sz val="11"/>
        <color rgb="FF000000"/>
        <rFont val="Calibri"/>
        <family val="2"/>
        <scheme val="minor"/>
      </rPr>
      <t>5) ATF3</t>
    </r>
    <r>
      <rPr>
        <sz val="11"/>
        <color indexed="8"/>
        <rFont val="Calibri"/>
        <family val="2"/>
        <scheme val="minor"/>
      </rPr>
      <t xml:space="preserve"> repressed mutp53-induced NFKB2 expression and sensitized R175H-expressing cancer cells to </t>
    </r>
    <r>
      <rPr>
        <b/>
        <sz val="11"/>
        <color rgb="FF000000"/>
        <rFont val="Calibri"/>
        <family val="2"/>
        <scheme val="minor"/>
      </rPr>
      <t>cisplatin</t>
    </r>
    <r>
      <rPr>
        <sz val="11"/>
        <color indexed="8"/>
        <rFont val="Calibri"/>
        <family val="2"/>
        <scheme val="minor"/>
      </rPr>
      <t xml:space="preserve"> and etoposide treatments. </t>
    </r>
  </si>
  <si>
    <r>
      <rPr>
        <b/>
        <sz val="11"/>
        <color rgb="FF333333"/>
        <rFont val="Calibri"/>
        <family val="2"/>
        <scheme val="minor"/>
      </rPr>
      <t>1)</t>
    </r>
    <r>
      <rPr>
        <sz val="11"/>
        <color rgb="FF333333"/>
        <rFont val="Calibri"/>
        <family val="2"/>
        <scheme val="minor"/>
      </rPr>
      <t xml:space="preserve"> High </t>
    </r>
    <r>
      <rPr>
        <b/>
        <sz val="11"/>
        <color rgb="FF333333"/>
        <rFont val="Calibri"/>
        <family val="2"/>
        <scheme val="minor"/>
      </rPr>
      <t>ATM</t>
    </r>
    <r>
      <rPr>
        <sz val="11"/>
        <color rgb="FF333333"/>
        <rFont val="Calibri"/>
        <family val="2"/>
        <scheme val="minor"/>
      </rPr>
      <t xml:space="preserve"> protein expression was associated with serous cystadenocarcinomas (p = 0.021) and </t>
    </r>
    <r>
      <rPr>
        <b/>
        <sz val="11"/>
        <color rgb="FF333333"/>
        <rFont val="Calibri"/>
        <family val="2"/>
        <scheme val="minor"/>
      </rPr>
      <t>platinum</t>
    </r>
    <r>
      <rPr>
        <sz val="11"/>
        <color rgb="FF333333"/>
        <rFont val="Calibri"/>
        <family val="2"/>
        <scheme val="minor"/>
      </rPr>
      <t xml:space="preserve"> resistance (p = 0.017). </t>
    </r>
    <r>
      <rPr>
        <b/>
        <sz val="11"/>
        <color rgb="FF333333"/>
        <rFont val="Calibri"/>
        <family val="2"/>
        <scheme val="minor"/>
      </rPr>
      <t>2)</t>
    </r>
    <r>
      <rPr>
        <sz val="11"/>
        <color rgb="FF333333"/>
        <rFont val="Calibri"/>
        <family val="2"/>
        <scheme val="minor"/>
      </rPr>
      <t xml:space="preserve"> High DNA-PKcs protein expression was associated with serous cystadenocarcinomas (p = 0.006) and advanced stage tumours (p = 0.018). </t>
    </r>
    <r>
      <rPr>
        <b/>
        <sz val="11"/>
        <color rgb="FF333333"/>
        <rFont val="Calibri"/>
        <family val="2"/>
        <scheme val="minor"/>
      </rPr>
      <t xml:space="preserve">3) </t>
    </r>
    <r>
      <rPr>
        <sz val="11"/>
        <color rgb="FF333333"/>
        <rFont val="Calibri"/>
        <family val="2"/>
        <scheme val="minor"/>
      </rPr>
      <t xml:space="preserve">High ATM protein (p = 0.001), high ATM mRNA (p = 0.018), high DNA-PKcs protein (p = 0.002), high DNA-PKcs mRNA (p = 0.044) and high ATR protein (p = 0.001) expressions are correlated with poor </t>
    </r>
    <r>
      <rPr>
        <b/>
        <sz val="11"/>
        <color rgb="FF333333"/>
        <rFont val="Calibri"/>
        <family val="2"/>
        <scheme val="minor"/>
      </rPr>
      <t>ovarian</t>
    </r>
    <r>
      <rPr>
        <sz val="11"/>
        <color rgb="FF333333"/>
        <rFont val="Calibri"/>
        <family val="2"/>
        <scheme val="minor"/>
      </rPr>
      <t xml:space="preserve"> cancer specific survival (OCSS). </t>
    </r>
    <r>
      <rPr>
        <b/>
        <sz val="11"/>
        <color rgb="FF333333"/>
        <rFont val="Calibri"/>
        <family val="2"/>
        <scheme val="minor"/>
      </rPr>
      <t>4)</t>
    </r>
    <r>
      <rPr>
        <sz val="11"/>
        <color rgb="FF333333"/>
        <rFont val="Calibri"/>
        <family val="2"/>
        <scheme val="minor"/>
      </rPr>
      <t xml:space="preserve"> In multivariate Cox model, high DNA-PKcs (p = 0.006) and high ATR (p = 0.043) protein expressions remain independently associated with poor OCSS. </t>
    </r>
    <r>
      <rPr>
        <b/>
        <sz val="11"/>
        <color rgb="FF333333"/>
        <rFont val="Calibri"/>
        <family val="2"/>
        <scheme val="minor"/>
      </rPr>
      <t>5)</t>
    </r>
    <r>
      <rPr>
        <sz val="11"/>
        <color rgb="FF333333"/>
        <rFont val="Calibri"/>
        <family val="2"/>
        <scheme val="minor"/>
      </rPr>
      <t xml:space="preserve"> several kinases in the DNA-repair pathway are activated after cells are exposed to cisplatin. These include </t>
    </r>
    <r>
      <rPr>
        <b/>
        <sz val="11"/>
        <color rgb="FF333333"/>
        <rFont val="Calibri"/>
        <family val="2"/>
        <scheme val="minor"/>
      </rPr>
      <t>ATM</t>
    </r>
    <r>
      <rPr>
        <sz val="11"/>
        <color rgb="FF333333"/>
        <rFont val="Calibri"/>
        <family val="2"/>
        <scheme val="minor"/>
      </rPr>
      <t>, p53, and Chk2.</t>
    </r>
  </si>
  <si>
    <r>
      <rPr>
        <b/>
        <sz val="11"/>
        <color rgb="FF333333"/>
        <rFont val="Calibri"/>
        <family val="2"/>
        <scheme val="minor"/>
      </rPr>
      <t>1) DYNLL1</t>
    </r>
    <r>
      <rPr>
        <sz val="11"/>
        <color rgb="FF333333"/>
        <rFont val="Calibri"/>
        <family val="2"/>
        <scheme val="minor"/>
      </rPr>
      <t xml:space="preserve"> was among the top-ranked factors that cause resistance in both the olaparib and </t>
    </r>
    <r>
      <rPr>
        <b/>
        <sz val="11"/>
        <color rgb="FF333333"/>
        <rFont val="Calibri"/>
        <family val="2"/>
        <scheme val="minor"/>
      </rPr>
      <t>platinum</t>
    </r>
    <r>
      <rPr>
        <sz val="11"/>
        <color rgb="FF333333"/>
        <rFont val="Calibri"/>
        <family val="2"/>
        <scheme val="minor"/>
      </rPr>
      <t xml:space="preserve"> screen, as was the transcriptional regulator of DYNLL1, the </t>
    </r>
    <r>
      <rPr>
        <b/>
        <sz val="11"/>
        <color rgb="FF333333"/>
        <rFont val="Calibri"/>
        <family val="2"/>
        <scheme val="minor"/>
      </rPr>
      <t>ATM</t>
    </r>
    <r>
      <rPr>
        <sz val="11"/>
        <color rgb="FF333333"/>
        <rFont val="Calibri"/>
        <family val="2"/>
        <scheme val="minor"/>
      </rPr>
      <t xml:space="preserve">-interacting protein </t>
    </r>
    <r>
      <rPr>
        <b/>
        <sz val="11"/>
        <color rgb="FF333333"/>
        <rFont val="Calibri"/>
        <family val="2"/>
        <scheme val="minor"/>
      </rPr>
      <t>ATMIN</t>
    </r>
    <r>
      <rPr>
        <sz val="11"/>
        <color rgb="FF333333"/>
        <rFont val="Calibri"/>
        <family val="2"/>
        <scheme val="minor"/>
      </rPr>
      <t xml:space="preserve">. </t>
    </r>
    <r>
      <rPr>
        <b/>
        <sz val="11"/>
        <color rgb="FF333333"/>
        <rFont val="Calibri"/>
        <family val="2"/>
        <scheme val="minor"/>
      </rPr>
      <t>2)</t>
    </r>
    <r>
      <rPr>
        <sz val="11"/>
        <color rgb="FF333333"/>
        <rFont val="Calibri"/>
        <family val="2"/>
        <scheme val="minor"/>
      </rPr>
      <t xml:space="preserve"> loss of </t>
    </r>
    <r>
      <rPr>
        <b/>
        <sz val="11"/>
        <color rgb="FF333333"/>
        <rFont val="Calibri"/>
        <family val="2"/>
        <scheme val="minor"/>
      </rPr>
      <t xml:space="preserve">ATMIN </t>
    </r>
    <r>
      <rPr>
        <sz val="11"/>
        <color rgb="FF333333"/>
        <rFont val="Calibri"/>
        <family val="2"/>
        <scheme val="minor"/>
      </rPr>
      <t xml:space="preserve">or </t>
    </r>
    <r>
      <rPr>
        <b/>
        <sz val="11"/>
        <color rgb="FF333333"/>
        <rFont val="Calibri"/>
        <family val="2"/>
        <scheme val="minor"/>
      </rPr>
      <t>DYNLL1</t>
    </r>
    <r>
      <rPr>
        <sz val="11"/>
        <color rgb="FF333333"/>
        <rFont val="Calibri"/>
        <family val="2"/>
        <scheme val="minor"/>
      </rPr>
      <t xml:space="preserve"> leads to significant resistance to PARPi drugs, olaparib and niraparib, and the platinum drugs, </t>
    </r>
    <r>
      <rPr>
        <b/>
        <sz val="11"/>
        <color rgb="FF333333"/>
        <rFont val="Calibri"/>
        <family val="2"/>
        <scheme val="minor"/>
      </rPr>
      <t>cisplatin</t>
    </r>
    <r>
      <rPr>
        <sz val="11"/>
        <color rgb="FF333333"/>
        <rFont val="Calibri"/>
        <family val="2"/>
        <scheme val="minor"/>
      </rPr>
      <t xml:space="preserve"> and </t>
    </r>
    <r>
      <rPr>
        <b/>
        <sz val="11"/>
        <color rgb="FF333333"/>
        <rFont val="Calibri"/>
        <family val="2"/>
        <scheme val="minor"/>
      </rPr>
      <t>carboplatin</t>
    </r>
    <r>
      <rPr>
        <sz val="11"/>
        <color rgb="FF333333"/>
        <rFont val="Calibri"/>
        <family val="2"/>
        <scheme val="minor"/>
      </rPr>
      <t>.</t>
    </r>
    <r>
      <rPr>
        <b/>
        <sz val="11"/>
        <color rgb="FF333333"/>
        <rFont val="Calibri"/>
        <family val="2"/>
        <scheme val="minor"/>
      </rPr>
      <t xml:space="preserve"> 3) </t>
    </r>
    <r>
      <rPr>
        <sz val="11"/>
        <color rgb="FF333333"/>
        <rFont val="Calibri"/>
        <family val="2"/>
        <scheme val="minor"/>
      </rPr>
      <t>restoration of DYNLL1 expression in ATMIN−/− cells also restored sensitivity to cisplatin and olaparib, suggesting that the effect of</t>
    </r>
    <r>
      <rPr>
        <b/>
        <sz val="11"/>
        <color rgb="FF333333"/>
        <rFont val="Calibri"/>
        <family val="2"/>
        <scheme val="minor"/>
      </rPr>
      <t xml:space="preserve"> ATMIN</t>
    </r>
    <r>
      <rPr>
        <sz val="11"/>
        <color rgb="FF333333"/>
        <rFont val="Calibri"/>
        <family val="2"/>
        <scheme val="minor"/>
      </rPr>
      <t xml:space="preserve"> loss in resistance to PARPi and platinum in </t>
    </r>
    <r>
      <rPr>
        <b/>
        <sz val="11"/>
        <color rgb="FF333333"/>
        <rFont val="Calibri"/>
        <family val="2"/>
        <scheme val="minor"/>
      </rPr>
      <t>BRCA1</t>
    </r>
    <r>
      <rPr>
        <sz val="11"/>
        <color rgb="FF333333"/>
        <rFont val="Calibri"/>
        <family val="2"/>
        <scheme val="minor"/>
      </rPr>
      <t xml:space="preserve">-mutant cells is mediated by </t>
    </r>
    <r>
      <rPr>
        <b/>
        <sz val="11"/>
        <color rgb="FF333333"/>
        <rFont val="Calibri"/>
        <family val="2"/>
        <scheme val="minor"/>
      </rPr>
      <t>DYNLL1</t>
    </r>
    <r>
      <rPr>
        <sz val="11"/>
        <color rgb="FF333333"/>
        <rFont val="Calibri"/>
        <family val="2"/>
        <scheme val="minor"/>
      </rPr>
      <t xml:space="preserve">. </t>
    </r>
    <r>
      <rPr>
        <b/>
        <sz val="11"/>
        <color rgb="FF333333"/>
        <rFont val="Calibri"/>
        <family val="2"/>
        <scheme val="minor"/>
      </rPr>
      <t>4) ATMIN</t>
    </r>
    <r>
      <rPr>
        <sz val="11"/>
        <color rgb="FF333333"/>
        <rFont val="Calibri"/>
        <family val="2"/>
        <scheme val="minor"/>
      </rPr>
      <t xml:space="preserve"> is altered in approximately 30% of </t>
    </r>
    <r>
      <rPr>
        <b/>
        <sz val="11"/>
        <color rgb="FF333333"/>
        <rFont val="Calibri"/>
        <family val="2"/>
        <scheme val="minor"/>
      </rPr>
      <t>HGSOCs</t>
    </r>
    <r>
      <rPr>
        <sz val="11"/>
        <color rgb="FF333333"/>
        <rFont val="Calibri"/>
        <family val="2"/>
        <scheme val="minor"/>
      </rPr>
      <t xml:space="preserve">.  </t>
    </r>
  </si>
  <si>
    <r>
      <rPr>
        <b/>
        <sz val="11"/>
        <color rgb="FF333333"/>
        <rFont val="Calibri"/>
        <family val="2"/>
        <scheme val="minor"/>
      </rPr>
      <t>1)</t>
    </r>
    <r>
      <rPr>
        <sz val="11"/>
        <color rgb="FF333333"/>
        <rFont val="Calibri"/>
        <family val="2"/>
        <scheme val="minor"/>
      </rPr>
      <t xml:space="preserve"> </t>
    </r>
    <r>
      <rPr>
        <b/>
        <sz val="11"/>
        <color rgb="FF333333"/>
        <rFont val="Calibri"/>
        <family val="2"/>
        <scheme val="minor"/>
      </rPr>
      <t>ATP11B</t>
    </r>
    <r>
      <rPr>
        <sz val="11"/>
        <color rgb="FF333333"/>
        <rFont val="Calibri"/>
        <family val="2"/>
        <scheme val="minor"/>
      </rPr>
      <t xml:space="preserve"> expression was correlated with higher tumor grade in human </t>
    </r>
    <r>
      <rPr>
        <b/>
        <sz val="11"/>
        <color rgb="FF333333"/>
        <rFont val="Calibri"/>
        <family val="2"/>
        <scheme val="minor"/>
      </rPr>
      <t>ovarian</t>
    </r>
    <r>
      <rPr>
        <sz val="11"/>
        <color rgb="FF333333"/>
        <rFont val="Calibri"/>
        <family val="2"/>
        <scheme val="minor"/>
      </rPr>
      <t xml:space="preserve"> cancer samples and with </t>
    </r>
    <r>
      <rPr>
        <b/>
        <sz val="11"/>
        <color rgb="FF333333"/>
        <rFont val="Calibri"/>
        <family val="2"/>
        <scheme val="minor"/>
      </rPr>
      <t>cisplatin</t>
    </r>
    <r>
      <rPr>
        <sz val="11"/>
        <color rgb="FF333333"/>
        <rFont val="Calibri"/>
        <family val="2"/>
        <scheme val="minor"/>
      </rPr>
      <t xml:space="preserve"> resistance in human ovarian cancer cell lines. </t>
    </r>
    <r>
      <rPr>
        <b/>
        <sz val="11"/>
        <color rgb="FF333333"/>
        <rFont val="Calibri"/>
        <family val="2"/>
        <scheme val="minor"/>
      </rPr>
      <t xml:space="preserve">2) </t>
    </r>
    <r>
      <rPr>
        <sz val="11"/>
        <color rgb="FF333333"/>
        <rFont val="Calibri"/>
        <family val="2"/>
        <scheme val="minor"/>
      </rPr>
      <t xml:space="preserve">ATP11B gene silencing restored the sensitivity of ovarian cancer cell lines to cisplatin in vitro. </t>
    </r>
    <r>
      <rPr>
        <b/>
        <sz val="11"/>
        <color rgb="FF333333"/>
        <rFont val="Calibri"/>
        <family val="2"/>
        <scheme val="minor"/>
      </rPr>
      <t xml:space="preserve">3) </t>
    </r>
    <r>
      <rPr>
        <sz val="11"/>
        <color rgb="FF333333"/>
        <rFont val="Calibri"/>
        <family val="2"/>
        <scheme val="minor"/>
      </rPr>
      <t xml:space="preserve">Combined therapy of cisplatin and ATP11B-targeted siRNA significantly decreased cancer growth in mice bearing ovarian tumors derived from cisplatin-sensitive and -resistant cells. </t>
    </r>
    <r>
      <rPr>
        <b/>
        <sz val="11"/>
        <color rgb="FF333333"/>
        <rFont val="Calibri"/>
        <family val="2"/>
        <scheme val="minor"/>
      </rPr>
      <t xml:space="preserve">4) </t>
    </r>
    <r>
      <rPr>
        <sz val="11"/>
        <color rgb="FF333333"/>
        <rFont val="Calibri"/>
        <family val="2"/>
        <scheme val="minor"/>
      </rPr>
      <t xml:space="preserve">In vitro mechanistic studies on cellular platinum content and cisplatin efflux kinetics indicated that ATP11B enhances the </t>
    </r>
    <r>
      <rPr>
        <b/>
        <sz val="11"/>
        <color rgb="FF333333"/>
        <rFont val="Calibri"/>
        <family val="2"/>
        <scheme val="minor"/>
      </rPr>
      <t>export</t>
    </r>
    <r>
      <rPr>
        <sz val="11"/>
        <color rgb="FF333333"/>
        <rFont val="Calibri"/>
        <family val="2"/>
        <scheme val="minor"/>
      </rPr>
      <t xml:space="preserve"> of cisplatin from cells. The colocalization of ATP11B with fluorescent cisplatin and with vesicular trafficking proteins, such as syntaxin-6 (STX6) and vesicular-associated membrane protein 4 (VAMP4), strongly suggests that ATP11B contributes to secretory vesicular transport of cisplatin from Golgi to plasma membrane. </t>
    </r>
  </si>
  <si>
    <r>
      <rPr>
        <b/>
        <sz val="11"/>
        <rFont val="Calibri"/>
        <family val="2"/>
        <scheme val="minor"/>
      </rPr>
      <t xml:space="preserve">1) </t>
    </r>
    <r>
      <rPr>
        <sz val="11"/>
        <rFont val="Calibri"/>
        <family val="2"/>
        <scheme val="minor"/>
      </rPr>
      <t xml:space="preserve">A panel of human </t>
    </r>
    <r>
      <rPr>
        <b/>
        <sz val="11"/>
        <rFont val="Calibri"/>
        <family val="2"/>
        <scheme val="minor"/>
      </rPr>
      <t>ovarian</t>
    </r>
    <r>
      <rPr>
        <sz val="11"/>
        <rFont val="Calibri"/>
        <family val="2"/>
        <scheme val="minor"/>
      </rPr>
      <t xml:space="preserve">, endometrial and cervical cancer cell lines were treated with platinum drugs or ionizing radiation (IR). </t>
    </r>
    <r>
      <rPr>
        <b/>
        <sz val="11"/>
        <rFont val="Calibri"/>
        <family val="2"/>
        <scheme val="minor"/>
      </rPr>
      <t>2)</t>
    </r>
    <r>
      <rPr>
        <sz val="11"/>
        <rFont val="Calibri"/>
        <family val="2"/>
        <scheme val="minor"/>
      </rPr>
      <t xml:space="preserve"> Pharmacologic inhibition of </t>
    </r>
    <r>
      <rPr>
        <b/>
        <sz val="11"/>
        <rFont val="Calibri"/>
        <family val="2"/>
        <scheme val="minor"/>
      </rPr>
      <t>ATR</t>
    </r>
    <r>
      <rPr>
        <sz val="11"/>
        <rFont val="Calibri"/>
        <family val="2"/>
        <scheme val="minor"/>
      </rPr>
      <t xml:space="preserve"> significantly enhanced </t>
    </r>
    <r>
      <rPr>
        <b/>
        <sz val="11"/>
        <rFont val="Calibri"/>
        <family val="2"/>
        <scheme val="minor"/>
      </rPr>
      <t>platinum</t>
    </r>
    <r>
      <rPr>
        <sz val="11"/>
        <rFont val="Calibri"/>
        <family val="2"/>
        <scheme val="minor"/>
      </rPr>
      <t xml:space="preserve"> drug response in all GYN cancer cell lines tested, whereas inhibition of ATM did not enhance the response to platinum drugs. Co-inhibition of ATM and ATR did not enhance platinum kill beyond that observed by inhibition of ATR alone. </t>
    </r>
    <r>
      <rPr>
        <b/>
        <sz val="11"/>
        <rFont val="Calibri"/>
        <family val="2"/>
        <scheme val="minor"/>
      </rPr>
      <t xml:space="preserve">3) </t>
    </r>
    <r>
      <rPr>
        <sz val="11"/>
        <rFont val="Calibri"/>
        <family val="2"/>
        <scheme val="minor"/>
      </rPr>
      <t>By contrast, inhibiting either ATR or ATM enhanced the response to IR in all GYN cancer cells, with further enhancement achieved with co-inhibition.</t>
    </r>
  </si>
  <si>
    <r>
      <rPr>
        <b/>
        <sz val="11"/>
        <rFont val="Calibri"/>
        <family val="2"/>
        <scheme val="minor"/>
      </rPr>
      <t>1)</t>
    </r>
    <r>
      <rPr>
        <sz val="11"/>
        <rFont val="Calibri"/>
        <family val="2"/>
        <scheme val="minor"/>
      </rPr>
      <t xml:space="preserve"> As in ATR </t>
    </r>
    <r>
      <rPr>
        <b/>
        <sz val="11"/>
        <rFont val="Calibri"/>
        <family val="2"/>
        <scheme val="minor"/>
      </rPr>
      <t>2)</t>
    </r>
    <r>
      <rPr>
        <sz val="11"/>
        <rFont val="Calibri"/>
        <family val="2"/>
        <scheme val="minor"/>
      </rPr>
      <t xml:space="preserve"> following cellular exposure to DNA cross-linking damage, the FA core complex enhances binding and localization of </t>
    </r>
    <r>
      <rPr>
        <b/>
        <sz val="11"/>
        <rFont val="Calibri"/>
        <family val="2"/>
        <scheme val="minor"/>
      </rPr>
      <t>ATRIP</t>
    </r>
    <r>
      <rPr>
        <sz val="11"/>
        <rFont val="Calibri"/>
        <family val="2"/>
        <scheme val="minor"/>
      </rPr>
      <t xml:space="preserve"> within damaged chromatin. In cells lacking the core complex, ATR-mediated phosphorylation of two functional response targets, ATRIP and FANCI, is defective. </t>
    </r>
    <r>
      <rPr>
        <b/>
        <sz val="11"/>
        <rFont val="Calibri"/>
        <family val="2"/>
        <scheme val="minor"/>
      </rPr>
      <t>3)</t>
    </r>
    <r>
      <rPr>
        <sz val="11"/>
        <rFont val="Calibri"/>
        <family val="2"/>
        <scheme val="minor"/>
      </rPr>
      <t xml:space="preserve"> the canonical ATR activation pathway involving RAD17 and TOPBP1 is largely dispensable for the FA pathway activation.</t>
    </r>
  </si>
  <si>
    <r>
      <rPr>
        <b/>
        <sz val="11"/>
        <color rgb="FF333333"/>
        <rFont val="Calibri"/>
        <family val="2"/>
        <scheme val="minor"/>
      </rPr>
      <t>1) AXL</t>
    </r>
    <r>
      <rPr>
        <sz val="11"/>
        <color rgb="FF333333"/>
        <rFont val="Calibri"/>
        <family val="2"/>
        <scheme val="minor"/>
      </rPr>
      <t xml:space="preserve"> overexpression was detected in more than 50% of tumors examined. </t>
    </r>
    <r>
      <rPr>
        <b/>
        <sz val="11"/>
        <color rgb="FF333333"/>
        <rFont val="Calibri"/>
        <family val="2"/>
        <scheme val="minor"/>
      </rPr>
      <t xml:space="preserve">2) </t>
    </r>
    <r>
      <rPr>
        <sz val="11"/>
        <color rgb="FF333333"/>
        <rFont val="Calibri"/>
        <family val="2"/>
        <scheme val="minor"/>
      </rPr>
      <t xml:space="preserve">Elevating AXL in nonoverexpressing cells doubled the </t>
    </r>
    <r>
      <rPr>
        <b/>
        <sz val="11"/>
        <color rgb="FF333333"/>
        <rFont val="Calibri"/>
        <family val="2"/>
        <scheme val="minor"/>
      </rPr>
      <t>CDDP</t>
    </r>
    <r>
      <rPr>
        <sz val="11"/>
        <color rgb="FF333333"/>
        <rFont val="Calibri"/>
        <family val="2"/>
        <scheme val="minor"/>
      </rPr>
      <t xml:space="preserve"> IC(50) and increased cell survival three-fold, </t>
    </r>
    <r>
      <rPr>
        <b/>
        <sz val="11"/>
        <color rgb="FF333333"/>
        <rFont val="Calibri"/>
        <family val="2"/>
        <scheme val="minor"/>
      </rPr>
      <t xml:space="preserve">3) </t>
    </r>
    <r>
      <rPr>
        <sz val="11"/>
        <color rgb="FF333333"/>
        <rFont val="Calibri"/>
        <family val="2"/>
        <scheme val="minor"/>
      </rPr>
      <t xml:space="preserve">attenuating AXL in overexpressing cells reduced survival two-fold. </t>
    </r>
    <r>
      <rPr>
        <b/>
        <sz val="11"/>
        <color rgb="FF333333"/>
        <rFont val="Calibri"/>
        <family val="2"/>
        <scheme val="minor"/>
      </rPr>
      <t xml:space="preserve">4) </t>
    </r>
    <r>
      <rPr>
        <sz val="11"/>
        <color rgb="FF333333"/>
        <rFont val="Calibri"/>
        <family val="2"/>
        <scheme val="minor"/>
      </rPr>
      <t>AXL blocked CDDP-induced activation of endogenous p73β (</t>
    </r>
    <r>
      <rPr>
        <b/>
        <sz val="11"/>
        <color rgb="FF333333"/>
        <rFont val="Calibri"/>
        <family val="2"/>
        <scheme val="minor"/>
      </rPr>
      <t>TP73</t>
    </r>
    <r>
      <rPr>
        <sz val="11"/>
        <color rgb="FF333333"/>
        <rFont val="Calibri"/>
        <family val="2"/>
        <scheme val="minor"/>
      </rPr>
      <t xml:space="preserve">), reducing its protein half-life, and </t>
    </r>
    <r>
      <rPr>
        <b/>
        <sz val="11"/>
        <color rgb="FF333333"/>
        <rFont val="Calibri"/>
        <family val="2"/>
        <scheme val="minor"/>
      </rPr>
      <t xml:space="preserve">5) </t>
    </r>
    <r>
      <rPr>
        <sz val="11"/>
        <color rgb="FF333333"/>
        <rFont val="Calibri"/>
        <family val="2"/>
        <scheme val="minor"/>
      </rPr>
      <t xml:space="preserve">inhibited CDDP-induced levels of </t>
    </r>
    <r>
      <rPr>
        <b/>
        <sz val="11"/>
        <color rgb="FF333333"/>
        <rFont val="Calibri"/>
        <family val="2"/>
        <scheme val="minor"/>
      </rPr>
      <t xml:space="preserve">p-c-ABL(Y412) </t>
    </r>
    <r>
      <rPr>
        <sz val="11"/>
        <color rgb="FF333333"/>
        <rFont val="Calibri"/>
        <family val="2"/>
        <scheme val="minor"/>
      </rPr>
      <t xml:space="preserve">and p-p73β(Y99). </t>
    </r>
    <r>
      <rPr>
        <b/>
        <sz val="11"/>
        <color rgb="FF333333"/>
        <rFont val="Calibri"/>
        <family val="2"/>
        <scheme val="minor"/>
      </rPr>
      <t>6)</t>
    </r>
    <r>
      <rPr>
        <sz val="11"/>
        <color rgb="FF333333"/>
        <rFont val="Calibri"/>
        <family val="2"/>
        <scheme val="minor"/>
      </rPr>
      <t xml:space="preserve"> a disruption of c-ABL/p73β protein interactions due to association with c-ABL in the cytoplasm, thereby blocking nuclear accumulation of c-ABL and phosphorylation of p73β in response to DNA damage. </t>
    </r>
  </si>
  <si>
    <r>
      <rPr>
        <b/>
        <sz val="11"/>
        <color rgb="FF333333"/>
        <rFont val="Calibri"/>
        <family val="2"/>
        <scheme val="minor"/>
      </rPr>
      <t>1)</t>
    </r>
    <r>
      <rPr>
        <sz val="11"/>
        <color rgb="FF333333"/>
        <rFont val="Calibri"/>
        <family val="2"/>
        <scheme val="minor"/>
      </rPr>
      <t xml:space="preserve"> </t>
    </r>
    <r>
      <rPr>
        <b/>
        <sz val="11"/>
        <color rgb="FF333333"/>
        <rFont val="Calibri"/>
        <family val="2"/>
        <scheme val="minor"/>
      </rPr>
      <t>BAG3</t>
    </r>
    <r>
      <rPr>
        <sz val="11"/>
        <color rgb="FF333333"/>
        <rFont val="Calibri"/>
        <family val="2"/>
        <scheme val="minor"/>
      </rPr>
      <t xml:space="preserve"> knockdown increased the chemosensitivity to </t>
    </r>
    <r>
      <rPr>
        <b/>
        <sz val="11"/>
        <color rgb="FF333333"/>
        <rFont val="Calibri"/>
        <family val="2"/>
        <scheme val="minor"/>
      </rPr>
      <t>paclitaxel</t>
    </r>
    <r>
      <rPr>
        <sz val="11"/>
        <color rgb="FF333333"/>
        <rFont val="Calibri"/>
        <family val="2"/>
        <scheme val="minor"/>
      </rPr>
      <t xml:space="preserve"> of ES2 </t>
    </r>
    <r>
      <rPr>
        <b/>
        <sz val="11"/>
        <color rgb="FF333333"/>
        <rFont val="Calibri"/>
        <family val="2"/>
        <scheme val="minor"/>
      </rPr>
      <t>ovarian</t>
    </r>
    <r>
      <rPr>
        <sz val="11"/>
        <color rgb="FF333333"/>
        <rFont val="Calibri"/>
        <family val="2"/>
        <scheme val="minor"/>
      </rPr>
      <t xml:space="preserve"> clear cell carcinoma cells to a greater degree than AMOC2 serous adenocarcinoma cells. </t>
    </r>
    <r>
      <rPr>
        <b/>
        <sz val="11"/>
        <color rgb="FF333333"/>
        <rFont val="Calibri"/>
        <family val="2"/>
        <scheme val="minor"/>
      </rPr>
      <t>2)</t>
    </r>
    <r>
      <rPr>
        <sz val="11"/>
        <color rgb="FF333333"/>
        <rFont val="Calibri"/>
        <family val="2"/>
        <scheme val="minor"/>
      </rPr>
      <t xml:space="preserve"> miR-29b expression was significantly upregulated in primary cancer tissue expressing low levels of BAG3, as compared to tissue expressing high levels. </t>
    </r>
    <r>
      <rPr>
        <b/>
        <sz val="11"/>
        <color rgb="FF333333"/>
        <rFont val="Calibri"/>
        <family val="2"/>
        <scheme val="minor"/>
      </rPr>
      <t xml:space="preserve">3) </t>
    </r>
    <r>
      <rPr>
        <sz val="11"/>
        <color rgb="FF333333"/>
        <rFont val="Calibri"/>
        <family val="2"/>
        <scheme val="minor"/>
      </rPr>
      <t xml:space="preserve">levels of miR-29b correlated significantly with progression-free survival. </t>
    </r>
    <r>
      <rPr>
        <b/>
        <sz val="11"/>
        <color rgb="FF333333"/>
        <rFont val="Calibri"/>
        <family val="2"/>
        <scheme val="minor"/>
      </rPr>
      <t xml:space="preserve">4) </t>
    </r>
    <r>
      <rPr>
        <sz val="11"/>
        <color rgb="FF333333"/>
        <rFont val="Calibri"/>
        <family val="2"/>
        <scheme val="minor"/>
      </rPr>
      <t xml:space="preserve">Upregulation of miR-29b also reduced levels of Mcl-1 and sensitized ES2 cells to low-dose paclitaxel. </t>
    </r>
    <r>
      <rPr>
        <b/>
        <sz val="11"/>
        <color rgb="FF333333"/>
        <rFont val="Calibri"/>
        <family val="2"/>
        <scheme val="minor"/>
      </rPr>
      <t>5) cisplatin</t>
    </r>
    <r>
      <rPr>
        <sz val="11"/>
        <color rgb="FF333333"/>
        <rFont val="Calibri"/>
        <family val="2"/>
        <scheme val="minor"/>
      </rPr>
      <t xml:space="preserve">-induced </t>
    </r>
    <r>
      <rPr>
        <b/>
        <sz val="11"/>
        <color rgb="FF333333"/>
        <rFont val="Calibri"/>
        <family val="2"/>
        <scheme val="minor"/>
      </rPr>
      <t>autophagy</t>
    </r>
    <r>
      <rPr>
        <sz val="11"/>
        <color rgb="FF333333"/>
        <rFont val="Calibri"/>
        <family val="2"/>
        <scheme val="minor"/>
      </rPr>
      <t xml:space="preserve"> protected ovarian cancer cells from the toxicity of the drug and that this process was regulated by </t>
    </r>
    <r>
      <rPr>
        <b/>
        <sz val="11"/>
        <color rgb="FF333333"/>
        <rFont val="Calibri"/>
        <family val="2"/>
        <scheme val="minor"/>
      </rPr>
      <t>BAG3</t>
    </r>
    <r>
      <rPr>
        <sz val="11"/>
        <color rgb="FF333333"/>
        <rFont val="Calibri"/>
        <family val="2"/>
        <scheme val="minor"/>
      </rPr>
      <t xml:space="preserve">. </t>
    </r>
    <r>
      <rPr>
        <b/>
        <sz val="11"/>
        <color rgb="FF333333"/>
        <rFont val="Calibri"/>
        <family val="2"/>
        <scheme val="minor"/>
      </rPr>
      <t>6)</t>
    </r>
    <r>
      <rPr>
        <sz val="11"/>
        <color rgb="FF333333"/>
        <rFont val="Calibri"/>
        <family val="2"/>
        <scheme val="minor"/>
      </rPr>
      <t xml:space="preserve"> Silencing of BAG3 increased cisplatin-induced apoptosis. </t>
    </r>
  </si>
  <si>
    <r>
      <rPr>
        <b/>
        <sz val="11"/>
        <rFont val="Calibri"/>
        <family val="2"/>
        <scheme val="minor"/>
      </rPr>
      <t>1) BARD1</t>
    </r>
    <r>
      <rPr>
        <sz val="11"/>
        <rFont val="Calibri"/>
        <family val="2"/>
        <scheme val="minor"/>
      </rPr>
      <t xml:space="preserve"> expression is minimal in the parental A2780ip2 line, but increases at baseline (“Untreated”) with each degree of </t>
    </r>
    <r>
      <rPr>
        <b/>
        <sz val="11"/>
        <rFont val="Calibri"/>
        <family val="2"/>
        <scheme val="minor"/>
      </rPr>
      <t>platinum</t>
    </r>
    <r>
      <rPr>
        <sz val="11"/>
        <rFont val="Calibri"/>
        <family val="2"/>
        <scheme val="minor"/>
      </rPr>
      <t xml:space="preserve"> resistance (A2780cp20 and A2780cp55). </t>
    </r>
    <r>
      <rPr>
        <b/>
        <sz val="11"/>
        <rFont val="Calibri"/>
        <family val="2"/>
        <scheme val="minor"/>
      </rPr>
      <t xml:space="preserve">2) </t>
    </r>
    <r>
      <rPr>
        <sz val="11"/>
        <rFont val="Calibri"/>
        <family val="2"/>
        <scheme val="minor"/>
      </rPr>
      <t xml:space="preserve">when exposed to carboplatin, BARD1 mRNA production is significant increased in both A2780ip2 and A2780cp20. Levels were unchanged with carboplatin exposure in A2780cp55, likely due to its high baseline expression. </t>
    </r>
  </si>
  <si>
    <r>
      <rPr>
        <b/>
        <sz val="11"/>
        <rFont val="Calibri"/>
        <family val="2"/>
        <scheme val="minor"/>
      </rPr>
      <t xml:space="preserve">1) </t>
    </r>
    <r>
      <rPr>
        <sz val="11"/>
        <rFont val="Calibri"/>
        <family val="2"/>
        <scheme val="minor"/>
      </rPr>
      <t xml:space="preserve">Silencing </t>
    </r>
    <r>
      <rPr>
        <b/>
        <sz val="11"/>
        <rFont val="Calibri"/>
        <family val="2"/>
        <scheme val="minor"/>
      </rPr>
      <t>BMI1</t>
    </r>
    <r>
      <rPr>
        <sz val="11"/>
        <rFont val="Calibri"/>
        <family val="2"/>
        <scheme val="minor"/>
      </rPr>
      <t xml:space="preserve"> could reduce cell growth and metastasis, promote cell apoptosis, and enhance the </t>
    </r>
    <r>
      <rPr>
        <b/>
        <sz val="11"/>
        <rFont val="Calibri"/>
        <family val="2"/>
        <scheme val="minor"/>
      </rPr>
      <t>platinum</t>
    </r>
    <r>
      <rPr>
        <sz val="11"/>
        <rFont val="Calibri"/>
        <family val="2"/>
        <scheme val="minor"/>
      </rPr>
      <t xml:space="preserve"> sensitivity of </t>
    </r>
    <r>
      <rPr>
        <b/>
        <sz val="11"/>
        <rFont val="Calibri"/>
        <family val="2"/>
        <scheme val="minor"/>
      </rPr>
      <t>EOC</t>
    </r>
    <r>
      <rPr>
        <sz val="11"/>
        <rFont val="Calibri"/>
        <family val="2"/>
        <scheme val="minor"/>
      </rPr>
      <t xml:space="preserve"> cells. </t>
    </r>
    <r>
      <rPr>
        <b/>
        <sz val="11"/>
        <rFont val="Calibri"/>
        <family val="2"/>
        <scheme val="minor"/>
      </rPr>
      <t xml:space="preserve">2) </t>
    </r>
    <r>
      <rPr>
        <sz val="11"/>
        <rFont val="Calibri"/>
        <family val="2"/>
        <scheme val="minor"/>
      </rPr>
      <t xml:space="preserve">BMI1 might alter extracellular matrix structure and angiogenesis of tumor cells through regulating Focal adhesion and PI3K/AKT pathways. </t>
    </r>
    <r>
      <rPr>
        <b/>
        <sz val="11"/>
        <rFont val="Calibri"/>
        <family val="2"/>
        <scheme val="minor"/>
      </rPr>
      <t xml:space="preserve">3) </t>
    </r>
    <r>
      <rPr>
        <sz val="11"/>
        <rFont val="Calibri"/>
        <family val="2"/>
        <scheme val="minor"/>
      </rPr>
      <t xml:space="preserve">Patients with Bmi-1-positive localized tumors had a much lower 5-year disease-free survival and overall survival. </t>
    </r>
    <r>
      <rPr>
        <b/>
        <sz val="11"/>
        <rFont val="Calibri"/>
        <family val="2"/>
        <scheme val="minor"/>
      </rPr>
      <t xml:space="preserve">4) </t>
    </r>
    <r>
      <rPr>
        <sz val="11"/>
        <rFont val="Calibri"/>
        <family val="2"/>
        <scheme val="minor"/>
      </rPr>
      <t xml:space="preserve">silencing </t>
    </r>
    <r>
      <rPr>
        <b/>
        <sz val="11"/>
        <rFont val="Calibri"/>
        <family val="2"/>
        <scheme val="minor"/>
      </rPr>
      <t>Bmi-1</t>
    </r>
    <r>
      <rPr>
        <sz val="11"/>
        <rFont val="Calibri"/>
        <family val="2"/>
        <scheme val="minor"/>
      </rPr>
      <t xml:space="preserve"> reduces intracellular GSH levels and thereby sensitizes chemoresistant </t>
    </r>
    <r>
      <rPr>
        <b/>
        <sz val="11"/>
        <rFont val="Calibri"/>
        <family val="2"/>
        <scheme val="minor"/>
      </rPr>
      <t>ovarian</t>
    </r>
    <r>
      <rPr>
        <sz val="11"/>
        <rFont val="Calibri"/>
        <family val="2"/>
        <scheme val="minor"/>
      </rPr>
      <t xml:space="preserve"> cancer cells to cisplatin; activates the DNA damage response pathway, caspases and cleaves PARP. </t>
    </r>
    <r>
      <rPr>
        <b/>
        <sz val="11"/>
        <rFont val="Calibri"/>
        <family val="2"/>
        <scheme val="minor"/>
      </rPr>
      <t>5)</t>
    </r>
    <r>
      <rPr>
        <sz val="11"/>
        <rFont val="Calibri"/>
        <family val="2"/>
        <scheme val="minor"/>
      </rPr>
      <t xml:space="preserve"> In an in vivo orthotopic mouse model of chemoresistant ovarian cancer, knockdown of Bmi-1 by nanoliposomal delivery significantly inhibits tumor growth; While cisplatin monotherapy was inactive, combination of Bmi-1 silencing along with cisplatin almost completely abrogated ovarian tumor growth. </t>
    </r>
  </si>
  <si>
    <r>
      <rPr>
        <b/>
        <sz val="11"/>
        <rFont val="Calibri"/>
        <family val="2"/>
        <scheme val="minor"/>
      </rPr>
      <t xml:space="preserve">1) </t>
    </r>
    <r>
      <rPr>
        <sz val="11"/>
        <rFont val="Calibri"/>
        <family val="2"/>
        <scheme val="minor"/>
      </rPr>
      <t xml:space="preserve">Epigenomic analysis identified </t>
    </r>
    <r>
      <rPr>
        <b/>
        <sz val="11"/>
        <rFont val="Calibri"/>
        <family val="2"/>
        <scheme val="minor"/>
      </rPr>
      <t>BMP4</t>
    </r>
    <r>
      <rPr>
        <sz val="11"/>
        <rFont val="Calibri"/>
        <family val="2"/>
        <scheme val="minor"/>
      </rPr>
      <t xml:space="preserve"> as an epigenetically regulated gene highly expressed in </t>
    </r>
    <r>
      <rPr>
        <b/>
        <sz val="11"/>
        <rFont val="Calibri"/>
        <family val="2"/>
        <scheme val="minor"/>
      </rPr>
      <t>cisplatin</t>
    </r>
    <r>
      <rPr>
        <sz val="11"/>
        <rFont val="Calibri"/>
        <family val="2"/>
        <scheme val="minor"/>
      </rPr>
      <t xml:space="preserve">-resistant lines. </t>
    </r>
    <r>
      <rPr>
        <b/>
        <sz val="11"/>
        <rFont val="Calibri"/>
        <family val="2"/>
        <scheme val="minor"/>
      </rPr>
      <t xml:space="preserve">2) </t>
    </r>
    <r>
      <rPr>
        <sz val="11"/>
        <rFont val="Calibri"/>
        <family val="2"/>
        <scheme val="minor"/>
      </rPr>
      <t xml:space="preserve">BMP4 is necessary and sufficient for the expression of several prooncogenic traits, likely mediated through stimulation of EMT. </t>
    </r>
    <r>
      <rPr>
        <b/>
        <sz val="11"/>
        <rFont val="Calibri"/>
        <family val="2"/>
        <scheme val="minor"/>
      </rPr>
      <t>3)</t>
    </r>
    <r>
      <rPr>
        <sz val="11"/>
        <rFont val="Calibri"/>
        <family val="2"/>
        <scheme val="minor"/>
      </rPr>
      <t xml:space="preserve"> In primary tumours, </t>
    </r>
    <r>
      <rPr>
        <b/>
        <sz val="11"/>
        <rFont val="Calibri"/>
        <family val="2"/>
        <scheme val="minor"/>
      </rPr>
      <t>BMP4</t>
    </r>
    <r>
      <rPr>
        <sz val="11"/>
        <rFont val="Calibri"/>
        <family val="2"/>
        <scheme val="minor"/>
      </rPr>
      <t xml:space="preserve"> promoter methylation levels were inversely correlated with BMP4 expression, and patients with high BMP4-expressing </t>
    </r>
    <r>
      <rPr>
        <b/>
        <sz val="11"/>
        <rFont val="Calibri"/>
        <family val="2"/>
        <scheme val="minor"/>
      </rPr>
      <t>GC</t>
    </r>
    <r>
      <rPr>
        <sz val="11"/>
        <rFont val="Calibri"/>
        <family val="2"/>
        <scheme val="minor"/>
      </rPr>
      <t xml:space="preserve"> tumors exhibited significantly worse prognosis. </t>
    </r>
    <r>
      <rPr>
        <b/>
        <sz val="11"/>
        <rFont val="Calibri"/>
        <family val="2"/>
        <scheme val="minor"/>
      </rPr>
      <t xml:space="preserve">4) </t>
    </r>
    <r>
      <rPr>
        <sz val="11"/>
        <rFont val="Calibri"/>
        <family val="2"/>
        <scheme val="minor"/>
      </rPr>
      <t xml:space="preserve">targeted genetic inhibition of BMP4 caused significant sensitisation of </t>
    </r>
    <r>
      <rPr>
        <b/>
        <sz val="11"/>
        <rFont val="Calibri"/>
        <family val="2"/>
        <scheme val="minor"/>
      </rPr>
      <t>GC</t>
    </r>
    <r>
      <rPr>
        <sz val="11"/>
        <rFont val="Calibri"/>
        <family val="2"/>
        <scheme val="minor"/>
      </rPr>
      <t xml:space="preserve"> cells to cisplatin. </t>
    </r>
    <r>
      <rPr>
        <b/>
        <sz val="11"/>
        <rFont val="Calibri"/>
        <family val="2"/>
        <scheme val="minor"/>
      </rPr>
      <t xml:space="preserve">5) </t>
    </r>
    <r>
      <rPr>
        <sz val="11"/>
        <rFont val="Calibri"/>
        <family val="2"/>
        <scheme val="minor"/>
      </rPr>
      <t xml:space="preserve">In carcinoma samples taken before and after </t>
    </r>
    <r>
      <rPr>
        <b/>
        <sz val="11"/>
        <rFont val="Calibri"/>
        <family val="2"/>
        <scheme val="minor"/>
      </rPr>
      <t>platinum</t>
    </r>
    <r>
      <rPr>
        <sz val="11"/>
        <rFont val="Calibri"/>
        <family val="2"/>
        <scheme val="minor"/>
      </rPr>
      <t xml:space="preserve">-based neoadjuvant chemotherapy from 28 patients with advanced, high-grade serous </t>
    </r>
    <r>
      <rPr>
        <b/>
        <sz val="11"/>
        <rFont val="Calibri"/>
        <family val="2"/>
        <scheme val="minor"/>
      </rPr>
      <t>ovarian</t>
    </r>
    <r>
      <rPr>
        <sz val="11"/>
        <rFont val="Calibri"/>
        <family val="2"/>
        <scheme val="minor"/>
      </rPr>
      <t xml:space="preserve"> carcinoma, strong expression of BMP-4 before chemotherapy was an independent prognostic factor of longer progression-free time (p = 0.002) and overall survival (p = 0.02). </t>
    </r>
  </si>
  <si>
    <r>
      <rPr>
        <b/>
        <sz val="11"/>
        <rFont val="Calibri"/>
        <family val="2"/>
        <scheme val="minor"/>
      </rPr>
      <t>1) BMP</t>
    </r>
    <r>
      <rPr>
        <sz val="11"/>
        <rFont val="Calibri"/>
        <family val="2"/>
        <scheme val="minor"/>
      </rPr>
      <t xml:space="preserve"> ligands are amplified in human </t>
    </r>
    <r>
      <rPr>
        <b/>
        <sz val="11"/>
        <rFont val="Calibri"/>
        <family val="2"/>
        <scheme val="minor"/>
      </rPr>
      <t>ovarian</t>
    </r>
    <r>
      <rPr>
        <sz val="11"/>
        <rFont val="Calibri"/>
        <family val="2"/>
        <scheme val="minor"/>
      </rPr>
      <t xml:space="preserve"> cancers. </t>
    </r>
    <r>
      <rPr>
        <b/>
        <sz val="11"/>
        <rFont val="Calibri"/>
        <family val="2"/>
        <scheme val="minor"/>
      </rPr>
      <t>2)</t>
    </r>
    <r>
      <rPr>
        <sz val="11"/>
        <rFont val="Calibri"/>
        <family val="2"/>
        <scheme val="minor"/>
      </rPr>
      <t xml:space="preserve"> BMP receptor expression correlates with poor progression-free-survival (PFS). </t>
    </r>
    <r>
      <rPr>
        <b/>
        <sz val="11"/>
        <rFont val="Calibri"/>
        <family val="2"/>
        <scheme val="minor"/>
      </rPr>
      <t xml:space="preserve">2) </t>
    </r>
    <r>
      <rPr>
        <sz val="11"/>
        <rFont val="Calibri"/>
        <family val="2"/>
        <scheme val="minor"/>
      </rPr>
      <t xml:space="preserve">active BMP signaling has been observed in human </t>
    </r>
    <r>
      <rPr>
        <b/>
        <sz val="11"/>
        <rFont val="Calibri"/>
        <family val="2"/>
        <scheme val="minor"/>
      </rPr>
      <t>ovarian</t>
    </r>
    <r>
      <rPr>
        <sz val="11"/>
        <rFont val="Calibri"/>
        <family val="2"/>
        <scheme val="minor"/>
      </rPr>
      <t xml:space="preserve"> cancer tissue. </t>
    </r>
    <r>
      <rPr>
        <b/>
        <sz val="11"/>
        <rFont val="Calibri"/>
        <family val="2"/>
        <scheme val="minor"/>
      </rPr>
      <t>4)</t>
    </r>
    <r>
      <rPr>
        <sz val="11"/>
        <rFont val="Calibri"/>
        <family val="2"/>
        <scheme val="minor"/>
      </rPr>
      <t xml:space="preserve"> ovarian cancer cell lines have active BMP signaling in a cell autonomous fashion. </t>
    </r>
    <r>
      <rPr>
        <b/>
        <sz val="11"/>
        <rFont val="Calibri"/>
        <family val="2"/>
        <scheme val="minor"/>
      </rPr>
      <t xml:space="preserve">5) </t>
    </r>
    <r>
      <rPr>
        <sz val="11"/>
        <rFont val="Calibri"/>
        <family val="2"/>
        <scheme val="minor"/>
      </rPr>
      <t xml:space="preserve">Inhibition of BMP signaling with a small molecule receptor kinase antagonist is effective at reducing ovarian tumor sphere growth. </t>
    </r>
    <r>
      <rPr>
        <b/>
        <sz val="11"/>
        <rFont val="Calibri"/>
        <family val="2"/>
        <scheme val="minor"/>
      </rPr>
      <t>6)</t>
    </r>
    <r>
      <rPr>
        <sz val="11"/>
        <rFont val="Calibri"/>
        <family val="2"/>
        <scheme val="minor"/>
      </rPr>
      <t xml:space="preserve"> BMP inhibition can enhance sensitivity to </t>
    </r>
    <r>
      <rPr>
        <b/>
        <sz val="11"/>
        <rFont val="Calibri"/>
        <family val="2"/>
        <scheme val="minor"/>
      </rPr>
      <t>Cisplatin</t>
    </r>
    <r>
      <rPr>
        <sz val="11"/>
        <rFont val="Calibri"/>
        <family val="2"/>
        <scheme val="minor"/>
      </rPr>
      <t xml:space="preserve"> treatment and regulates gene expression involved in platinum resistance in ovarian cancer. </t>
    </r>
  </si>
  <si>
    <r>
      <rPr>
        <b/>
        <sz val="11"/>
        <rFont val="Calibri"/>
        <family val="2"/>
        <scheme val="minor"/>
      </rPr>
      <t xml:space="preserve">1) BNIP3 </t>
    </r>
    <r>
      <rPr>
        <sz val="11"/>
        <rFont val="Calibri"/>
        <family val="2"/>
        <scheme val="minor"/>
      </rPr>
      <t>and</t>
    </r>
    <r>
      <rPr>
        <b/>
        <sz val="11"/>
        <rFont val="Calibri"/>
        <family val="2"/>
        <scheme val="minor"/>
      </rPr>
      <t xml:space="preserve"> BNIP3L</t>
    </r>
    <r>
      <rPr>
        <sz val="11"/>
        <rFont val="Calibri"/>
        <family val="2"/>
        <scheme val="minor"/>
      </rPr>
      <t xml:space="preserve"> abundance was markedly increased by </t>
    </r>
    <r>
      <rPr>
        <b/>
        <sz val="11"/>
        <rFont val="Calibri"/>
        <family val="2"/>
        <scheme val="minor"/>
      </rPr>
      <t>cisplatin</t>
    </r>
    <r>
      <rPr>
        <sz val="11"/>
        <rFont val="Calibri"/>
        <family val="2"/>
        <scheme val="minor"/>
      </rPr>
      <t xml:space="preserve"> or hypoxia. </t>
    </r>
    <r>
      <rPr>
        <b/>
        <sz val="11"/>
        <rFont val="Calibri"/>
        <family val="2"/>
        <scheme val="minor"/>
      </rPr>
      <t>2)</t>
    </r>
    <r>
      <rPr>
        <sz val="11"/>
        <rFont val="Calibri"/>
        <family val="2"/>
        <scheme val="minor"/>
      </rPr>
      <t xml:space="preserve"> The suppressed expression of </t>
    </r>
    <r>
      <rPr>
        <b/>
        <sz val="11"/>
        <rFont val="Calibri"/>
        <family val="2"/>
        <scheme val="minor"/>
      </rPr>
      <t>BNIP3</t>
    </r>
    <r>
      <rPr>
        <sz val="11"/>
        <rFont val="Calibri"/>
        <family val="2"/>
        <scheme val="minor"/>
      </rPr>
      <t xml:space="preserve"> caused inhibition of oxygen consumption and stimulated production of the mitochondrial ROS; </t>
    </r>
    <r>
      <rPr>
        <b/>
        <sz val="11"/>
        <rFont val="Calibri"/>
        <family val="2"/>
        <scheme val="minor"/>
      </rPr>
      <t xml:space="preserve">3) </t>
    </r>
    <r>
      <rPr>
        <sz val="11"/>
        <rFont val="Calibri"/>
        <family val="2"/>
        <scheme val="minor"/>
      </rPr>
      <t xml:space="preserve">cytochrome c release in the cells with </t>
    </r>
    <r>
      <rPr>
        <b/>
        <sz val="11"/>
        <rFont val="Calibri"/>
        <family val="2"/>
        <scheme val="minor"/>
      </rPr>
      <t>BNIP3</t>
    </r>
    <r>
      <rPr>
        <sz val="11"/>
        <rFont val="Calibri"/>
        <family val="2"/>
        <scheme val="minor"/>
      </rPr>
      <t xml:space="preserve"> knockout and knockdown was higher than in the wild-type (WT) upon apoptosis stimulation by </t>
    </r>
    <r>
      <rPr>
        <b/>
        <sz val="11"/>
        <rFont val="Calibri"/>
        <family val="2"/>
        <scheme val="minor"/>
      </rPr>
      <t>cisplatin</t>
    </r>
    <r>
      <rPr>
        <sz val="11"/>
        <rFont val="Calibri"/>
        <family val="2"/>
        <scheme val="minor"/>
      </rPr>
      <t xml:space="preserve">. </t>
    </r>
    <r>
      <rPr>
        <b/>
        <sz val="11"/>
        <rFont val="Calibri"/>
        <family val="2"/>
        <scheme val="minor"/>
      </rPr>
      <t xml:space="preserve">4) </t>
    </r>
    <r>
      <rPr>
        <sz val="11"/>
        <rFont val="Calibri"/>
        <family val="2"/>
        <scheme val="minor"/>
      </rPr>
      <t xml:space="preserve">Analysis of the SubG1 population by flow cytometry confirmed the elevated level of apoptosis in the BNIP3 knockout cells. </t>
    </r>
    <r>
      <rPr>
        <b/>
        <sz val="11"/>
        <rFont val="Calibri"/>
        <family val="2"/>
        <scheme val="minor"/>
      </rPr>
      <t>5)</t>
    </r>
    <r>
      <rPr>
        <sz val="11"/>
        <rFont val="Calibri"/>
        <family val="2"/>
        <scheme val="minor"/>
      </rPr>
      <t xml:space="preserve"> Pretreatment with the antioxidant Trolox did not affect cell death, indicating that it was independent on reactive oxygen species.</t>
    </r>
    <r>
      <rPr>
        <b/>
        <sz val="11"/>
        <rFont val="Calibri"/>
        <family val="2"/>
        <scheme val="minor"/>
      </rPr>
      <t xml:space="preserve"> 6) BNIP3</t>
    </r>
    <r>
      <rPr>
        <sz val="11"/>
        <rFont val="Calibri"/>
        <family val="2"/>
        <scheme val="minor"/>
      </rPr>
      <t xml:space="preserve"> knockdown with siRNA in </t>
    </r>
    <r>
      <rPr>
        <b/>
        <sz val="11"/>
        <rFont val="Calibri"/>
        <family val="2"/>
        <scheme val="minor"/>
      </rPr>
      <t>ovarian</t>
    </r>
    <r>
      <rPr>
        <sz val="11"/>
        <rFont val="Calibri"/>
        <family val="2"/>
        <scheme val="minor"/>
      </rPr>
      <t xml:space="preserve"> cancer cell lines A2780 and OVCAR4 significantly reduced </t>
    </r>
    <r>
      <rPr>
        <b/>
        <sz val="11"/>
        <rFont val="Calibri"/>
        <family val="2"/>
        <scheme val="minor"/>
      </rPr>
      <t>cisplatin</t>
    </r>
    <r>
      <rPr>
        <sz val="11"/>
        <rFont val="Calibri"/>
        <family val="2"/>
        <scheme val="minor"/>
      </rPr>
      <t xml:space="preserve"> cytotoxicity in these two cell lines and alleviated cisplatin-induced apoptosis. </t>
    </r>
    <r>
      <rPr>
        <b/>
        <sz val="11"/>
        <rFont val="Calibri"/>
        <family val="2"/>
        <scheme val="minor"/>
      </rPr>
      <t>7)</t>
    </r>
    <r>
      <rPr>
        <sz val="11"/>
        <rFont val="Calibri"/>
        <family val="2"/>
        <scheme val="minor"/>
      </rPr>
      <t xml:space="preserve"> Gene Expression Omnibus and The Cancer Genome Atlas with </t>
    </r>
    <r>
      <rPr>
        <b/>
        <sz val="11"/>
        <rFont val="Calibri"/>
        <family val="2"/>
        <scheme val="minor"/>
      </rPr>
      <t>ovarian</t>
    </r>
    <r>
      <rPr>
        <sz val="11"/>
        <rFont val="Calibri"/>
        <family val="2"/>
        <scheme val="minor"/>
      </rPr>
      <t xml:space="preserve"> cancer: higher </t>
    </r>
    <r>
      <rPr>
        <b/>
        <sz val="11"/>
        <rFont val="Calibri"/>
        <family val="2"/>
        <scheme val="minor"/>
      </rPr>
      <t>BNIP3</t>
    </r>
    <r>
      <rPr>
        <sz val="11"/>
        <rFont val="Calibri"/>
        <family val="2"/>
        <scheme val="minor"/>
      </rPr>
      <t xml:space="preserve"> level was correlated with poorer overall survival and progression-free survival. </t>
    </r>
  </si>
  <si>
    <r>
      <rPr>
        <b/>
        <sz val="11"/>
        <rFont val="Calibri"/>
        <family val="2"/>
        <scheme val="minor"/>
      </rPr>
      <t>1) BOK</t>
    </r>
    <r>
      <rPr>
        <sz val="11"/>
        <rFont val="Calibri"/>
        <family val="2"/>
        <scheme val="minor"/>
      </rPr>
      <t xml:space="preserve"> was frequently downregulated in </t>
    </r>
    <r>
      <rPr>
        <b/>
        <sz val="11"/>
        <rFont val="Calibri"/>
        <family val="2"/>
        <scheme val="minor"/>
      </rPr>
      <t>Testicular</t>
    </r>
    <r>
      <rPr>
        <sz val="11"/>
        <rFont val="Calibri"/>
        <family val="2"/>
        <scheme val="minor"/>
      </rPr>
      <t xml:space="preserve"> Cancer (TC) tissues compared with paratumor tissues. </t>
    </r>
    <r>
      <rPr>
        <b/>
        <sz val="11"/>
        <rFont val="Calibri"/>
        <family val="2"/>
        <scheme val="minor"/>
      </rPr>
      <t>2)</t>
    </r>
    <r>
      <rPr>
        <sz val="11"/>
        <rFont val="Calibri"/>
        <family val="2"/>
        <scheme val="minor"/>
      </rPr>
      <t xml:space="preserve">BOK overexpression inhibited TC cell proliferation and invasion. </t>
    </r>
    <r>
      <rPr>
        <b/>
        <sz val="11"/>
        <rFont val="Calibri"/>
        <family val="2"/>
        <scheme val="minor"/>
      </rPr>
      <t>3)</t>
    </r>
    <r>
      <rPr>
        <sz val="11"/>
        <rFont val="Calibri"/>
        <family val="2"/>
        <scheme val="minor"/>
      </rPr>
      <t xml:space="preserve"> BOK knockdown promoted TC cell proliferation and invasion. </t>
    </r>
    <r>
      <rPr>
        <b/>
        <sz val="11"/>
        <rFont val="Calibri"/>
        <family val="2"/>
        <scheme val="minor"/>
      </rPr>
      <t xml:space="preserve">4) </t>
    </r>
    <r>
      <rPr>
        <sz val="11"/>
        <rFont val="Calibri"/>
        <family val="2"/>
        <scheme val="minor"/>
      </rPr>
      <t xml:space="preserve">Surprisingly, either BOK overexpression or knockdown rendered TC cells resistant to </t>
    </r>
    <r>
      <rPr>
        <b/>
        <sz val="11"/>
        <rFont val="Calibri"/>
        <family val="2"/>
        <scheme val="minor"/>
      </rPr>
      <t>Cisplatin</t>
    </r>
    <r>
      <rPr>
        <sz val="11"/>
        <rFont val="Calibri"/>
        <family val="2"/>
        <scheme val="minor"/>
      </rPr>
      <t xml:space="preserve"> (DDP). </t>
    </r>
  </si>
  <si>
    <r>
      <rPr>
        <b/>
        <sz val="11"/>
        <rFont val="Calibri"/>
        <family val="2"/>
        <scheme val="minor"/>
      </rPr>
      <t>1)</t>
    </r>
    <r>
      <rPr>
        <sz val="11"/>
        <rFont val="Calibri"/>
        <family val="2"/>
        <scheme val="minor"/>
      </rPr>
      <t xml:space="preserve"> </t>
    </r>
    <r>
      <rPr>
        <b/>
        <sz val="11"/>
        <rFont val="Calibri"/>
        <family val="2"/>
        <scheme val="minor"/>
      </rPr>
      <t>ovarian</t>
    </r>
    <r>
      <rPr>
        <sz val="11"/>
        <rFont val="Calibri"/>
        <family val="2"/>
        <scheme val="minor"/>
      </rPr>
      <t xml:space="preserve"> carcinomas with mutated BRCA1 or </t>
    </r>
    <r>
      <rPr>
        <b/>
        <sz val="11"/>
        <rFont val="Calibri"/>
        <family val="2"/>
        <scheme val="minor"/>
      </rPr>
      <t>BRCA2</t>
    </r>
    <r>
      <rPr>
        <sz val="11"/>
        <rFont val="Calibri"/>
        <family val="2"/>
        <scheme val="minor"/>
      </rPr>
      <t xml:space="preserve"> are sensitive to </t>
    </r>
    <r>
      <rPr>
        <b/>
        <sz val="11"/>
        <rFont val="Calibri"/>
        <family val="2"/>
        <scheme val="minor"/>
      </rPr>
      <t>platinum</t>
    </r>
    <r>
      <rPr>
        <sz val="11"/>
        <rFont val="Calibri"/>
        <family val="2"/>
        <scheme val="minor"/>
      </rPr>
      <t xml:space="preserve"> compounds, such carcinomas eventually develop platinum resistance. </t>
    </r>
    <r>
      <rPr>
        <b/>
        <sz val="11"/>
        <rFont val="Calibri"/>
        <family val="2"/>
        <scheme val="minor"/>
      </rPr>
      <t xml:space="preserve">2) </t>
    </r>
    <r>
      <rPr>
        <sz val="11"/>
        <rFont val="Calibri"/>
        <family val="2"/>
        <scheme val="minor"/>
      </rPr>
      <t xml:space="preserve">acquired resistance to </t>
    </r>
    <r>
      <rPr>
        <b/>
        <sz val="11"/>
        <rFont val="Calibri"/>
        <family val="2"/>
        <scheme val="minor"/>
      </rPr>
      <t>cisplatin</t>
    </r>
    <r>
      <rPr>
        <sz val="11"/>
        <rFont val="Calibri"/>
        <family val="2"/>
        <scheme val="minor"/>
      </rPr>
      <t xml:space="preserve"> in BRCA2-mutated tumors can be mediated by secondary intragenic mutations in BRCA2 that restore the wild-type BRCA2 reading frame.</t>
    </r>
    <r>
      <rPr>
        <b/>
        <sz val="11"/>
        <rFont val="Calibri"/>
        <family val="2"/>
        <scheme val="minor"/>
      </rPr>
      <t xml:space="preserve"> 3)</t>
    </r>
    <r>
      <rPr>
        <sz val="11"/>
        <rFont val="Calibri"/>
        <family val="2"/>
        <scheme val="minor"/>
      </rPr>
      <t xml:space="preserve"> Germ-line mutations of BRCA1 or</t>
    </r>
    <r>
      <rPr>
        <b/>
        <sz val="11"/>
        <rFont val="Calibri"/>
        <family val="2"/>
        <scheme val="minor"/>
      </rPr>
      <t xml:space="preserve"> BRCA2</t>
    </r>
    <r>
      <rPr>
        <sz val="11"/>
        <rFont val="Calibri"/>
        <family val="2"/>
        <scheme val="minor"/>
      </rPr>
      <t xml:space="preserve"> were found in 14.1% of patients overall, including 16.6% of serous cancer patients (high-gradeserous, 17.1%); [corrected] 44% had no reported family history of breast or </t>
    </r>
    <r>
      <rPr>
        <b/>
        <sz val="11"/>
        <rFont val="Calibri"/>
        <family val="2"/>
        <scheme val="minor"/>
      </rPr>
      <t>ovarian</t>
    </r>
    <r>
      <rPr>
        <sz val="11"/>
        <rFont val="Calibri"/>
        <family val="2"/>
        <scheme val="minor"/>
      </rPr>
      <t xml:space="preserve"> cancer. </t>
    </r>
    <r>
      <rPr>
        <b/>
        <sz val="11"/>
        <rFont val="Calibri"/>
        <family val="2"/>
        <scheme val="minor"/>
      </rPr>
      <t xml:space="preserve">4) </t>
    </r>
    <r>
      <rPr>
        <sz val="11"/>
        <rFont val="Calibri"/>
        <family val="2"/>
        <scheme val="minor"/>
      </rPr>
      <t xml:space="preserve">Patients carrying germ-line mutations had improved rates of progression-free and overall survival. </t>
    </r>
    <r>
      <rPr>
        <b/>
        <sz val="11"/>
        <rFont val="Calibri"/>
        <family val="2"/>
        <scheme val="minor"/>
      </rPr>
      <t>5)</t>
    </r>
    <r>
      <rPr>
        <sz val="11"/>
        <rFont val="Calibri"/>
        <family val="2"/>
        <scheme val="minor"/>
      </rPr>
      <t xml:space="preserve"> In the relapse setting, patients carrying mutations more frequently responded to both platin- and nonplatin-based regimens than mutation-negative patients, even in patients with early relapse after primary treatment. </t>
    </r>
    <r>
      <rPr>
        <b/>
        <sz val="11"/>
        <rFont val="Calibri"/>
        <family val="2"/>
        <scheme val="minor"/>
      </rPr>
      <t xml:space="preserve">6) </t>
    </r>
    <r>
      <rPr>
        <sz val="11"/>
        <rFont val="Calibri"/>
        <family val="2"/>
        <scheme val="minor"/>
      </rPr>
      <t xml:space="preserve">Mutation-negative patients who responded to multiple cycles of platin-based treatment were more likely to carry somatic BRCA1/2 mutations. </t>
    </r>
    <r>
      <rPr>
        <b/>
        <sz val="11"/>
        <rFont val="Calibri"/>
        <family val="2"/>
        <scheme val="minor"/>
      </rPr>
      <t>7)</t>
    </r>
    <r>
      <rPr>
        <sz val="11"/>
        <rFont val="Calibri"/>
        <family val="2"/>
        <scheme val="minor"/>
      </rPr>
      <t xml:space="preserve"> The xenograft from a woman carrying a germline </t>
    </r>
    <r>
      <rPr>
        <b/>
        <sz val="11"/>
        <rFont val="Calibri"/>
        <family val="2"/>
        <scheme val="minor"/>
      </rPr>
      <t>BRCA2</t>
    </r>
    <r>
      <rPr>
        <sz val="11"/>
        <rFont val="Calibri"/>
        <family val="2"/>
        <scheme val="minor"/>
      </rPr>
      <t xml:space="preserve"> mutationwas also highly sensitive to radiotherapy and cisplatin-based treatments. </t>
    </r>
    <r>
      <rPr>
        <b/>
        <sz val="11"/>
        <rFont val="Calibri"/>
        <family val="2"/>
        <scheme val="minor"/>
      </rPr>
      <t xml:space="preserve">8) </t>
    </r>
    <r>
      <rPr>
        <sz val="11"/>
        <rFont val="Calibri"/>
        <family val="2"/>
        <scheme val="minor"/>
      </rPr>
      <t xml:space="preserve">platinum-resistant cancer had a higher percentage of high BRCA2 level (87.5% vs 43.6%, P = 0.001), </t>
    </r>
    <r>
      <rPr>
        <b/>
        <sz val="11"/>
        <rFont val="Calibri"/>
        <family val="2"/>
        <scheme val="minor"/>
      </rPr>
      <t xml:space="preserve">9) </t>
    </r>
    <r>
      <rPr>
        <sz val="11"/>
        <rFont val="Calibri"/>
        <family val="2"/>
        <scheme val="minor"/>
      </rPr>
      <t xml:space="preserve">patients with a low BRCA2 level in cancer tissues had longer progression-free survival (with a median time of 28.0 vs 12.0 months, P &lt; 0.001) and platinum-free duration (with a median time of 19.0 vs 5.0 months, P &lt; 0.001) compared with those with a high BRCA2 level. </t>
    </r>
  </si>
  <si>
    <r>
      <rPr>
        <b/>
        <sz val="11"/>
        <rFont val="Calibri"/>
        <family val="2"/>
        <scheme val="minor"/>
      </rPr>
      <t>1) </t>
    </r>
    <r>
      <rPr>
        <sz val="11"/>
        <rFont val="Calibri"/>
        <family val="2"/>
        <scheme val="minor"/>
      </rPr>
      <t xml:space="preserve">ectopic expression of BRIP1 could remarkably enhance the antitumor activity of </t>
    </r>
    <r>
      <rPr>
        <b/>
        <sz val="11"/>
        <rFont val="Calibri"/>
        <family val="2"/>
        <scheme val="minor"/>
      </rPr>
      <t>cisplatin</t>
    </r>
    <r>
      <rPr>
        <sz val="11"/>
        <rFont val="Calibri"/>
        <family val="2"/>
        <scheme val="minor"/>
      </rPr>
      <t xml:space="preserve">, as demonstrated by decreased cell viability, colony formation and tumour xenografts' weight. </t>
    </r>
    <r>
      <rPr>
        <b/>
        <sz val="11"/>
        <rFont val="Calibri"/>
        <family val="2"/>
        <scheme val="minor"/>
      </rPr>
      <t xml:space="preserve">2) </t>
    </r>
    <r>
      <rPr>
        <sz val="11"/>
        <rFont val="Calibri"/>
        <family val="2"/>
        <scheme val="minor"/>
      </rPr>
      <t xml:space="preserve">BRIP1 promoted cisplatin-mediated cell apoptosis and suppressed tumour angiogenesis. </t>
    </r>
    <r>
      <rPr>
        <b/>
        <sz val="11"/>
        <rFont val="Calibri"/>
        <family val="2"/>
        <scheme val="minor"/>
      </rPr>
      <t xml:space="preserve">3) </t>
    </r>
    <r>
      <rPr>
        <sz val="11"/>
        <rFont val="Calibri"/>
        <family val="2"/>
        <scheme val="minor"/>
      </rPr>
      <t xml:space="preserve">BRIP1 expression was observed to be reduced in squamous cancer tissue and adenocarcinoma compared with normal </t>
    </r>
    <r>
      <rPr>
        <b/>
        <sz val="11"/>
        <rFont val="Calibri"/>
        <family val="2"/>
        <scheme val="minor"/>
      </rPr>
      <t>cervix</t>
    </r>
    <r>
      <rPr>
        <sz val="11"/>
        <rFont val="Calibri"/>
        <family val="2"/>
        <scheme val="minor"/>
      </rPr>
      <t xml:space="preserve"> tissue, </t>
    </r>
    <r>
      <rPr>
        <b/>
        <sz val="11"/>
        <rFont val="Calibri"/>
        <family val="2"/>
        <scheme val="minor"/>
      </rPr>
      <t>4)</t>
    </r>
    <r>
      <rPr>
        <sz val="11"/>
        <rFont val="Calibri"/>
        <family val="2"/>
        <scheme val="minor"/>
      </rPr>
      <t xml:space="preserve"> there were significant correlations between the reduction in BRIP1 expression and unfavorable variables. </t>
    </r>
  </si>
  <si>
    <r>
      <rPr>
        <b/>
        <sz val="11"/>
        <color rgb="FF333333"/>
        <rFont val="Calibri"/>
        <family val="2"/>
        <scheme val="minor"/>
      </rPr>
      <t>1)</t>
    </r>
    <r>
      <rPr>
        <sz val="11"/>
        <color rgb="FF333333"/>
        <rFont val="Calibri"/>
        <family val="2"/>
        <scheme val="minor"/>
      </rPr>
      <t xml:space="preserve"> hepatitis B X-interacting protein up-regulated </t>
    </r>
    <r>
      <rPr>
        <b/>
        <sz val="11"/>
        <color rgb="FF333333"/>
        <rFont val="Calibri"/>
        <family val="2"/>
        <scheme val="minor"/>
      </rPr>
      <t>CD147</t>
    </r>
    <r>
      <rPr>
        <sz val="11"/>
        <color rgb="FF333333"/>
        <rFont val="Calibri"/>
        <family val="2"/>
        <scheme val="minor"/>
      </rPr>
      <t xml:space="preserve"> at the protein expression and transcriptional levels. </t>
    </r>
    <r>
      <rPr>
        <b/>
        <sz val="11"/>
        <color rgb="FF333333"/>
        <rFont val="Calibri"/>
        <family val="2"/>
        <scheme val="minor"/>
      </rPr>
      <t>2) Emmprin</t>
    </r>
    <r>
      <rPr>
        <sz val="11"/>
        <color rgb="FF333333"/>
        <rFont val="Calibri"/>
        <family val="2"/>
        <scheme val="minor"/>
      </rPr>
      <t xml:space="preserve"> and </t>
    </r>
    <r>
      <rPr>
        <b/>
        <sz val="11"/>
        <color rgb="FF333333"/>
        <rFont val="Calibri"/>
        <family val="2"/>
        <scheme val="minor"/>
      </rPr>
      <t>survivin</t>
    </r>
    <r>
      <rPr>
        <sz val="11"/>
        <color rgb="FF333333"/>
        <rFont val="Calibri"/>
        <family val="2"/>
        <scheme val="minor"/>
      </rPr>
      <t xml:space="preserve"> proteins were identified as strong independent prognostic factors for response and survival after </t>
    </r>
    <r>
      <rPr>
        <b/>
        <sz val="11"/>
        <color rgb="FF333333"/>
        <rFont val="Calibri"/>
        <family val="2"/>
        <scheme val="minor"/>
      </rPr>
      <t>cisplatin</t>
    </r>
    <r>
      <rPr>
        <sz val="11"/>
        <color rgb="FF333333"/>
        <rFont val="Calibri"/>
        <family val="2"/>
        <scheme val="minor"/>
      </rPr>
      <t>-containing chemotherapy in patients with advanced</t>
    </r>
    <r>
      <rPr>
        <b/>
        <sz val="11"/>
        <color rgb="FF333333"/>
        <rFont val="Calibri"/>
        <family val="2"/>
        <scheme val="minor"/>
      </rPr>
      <t xml:space="preserve"> bladder</t>
    </r>
    <r>
      <rPr>
        <sz val="11"/>
        <color rgb="FF333333"/>
        <rFont val="Calibri"/>
        <family val="2"/>
        <scheme val="minor"/>
      </rPr>
      <t xml:space="preserve"> cancer. </t>
    </r>
    <r>
      <rPr>
        <b/>
        <sz val="11"/>
        <color rgb="FF333333"/>
        <rFont val="Calibri"/>
        <family val="2"/>
        <scheme val="minor"/>
      </rPr>
      <t xml:space="preserve">3) </t>
    </r>
    <r>
      <rPr>
        <sz val="11"/>
        <color rgb="FF333333"/>
        <rFont val="Calibri"/>
        <family val="2"/>
        <scheme val="minor"/>
      </rPr>
      <t xml:space="preserve">cholesterol depletion inhibits the endocytosis of </t>
    </r>
    <r>
      <rPr>
        <b/>
        <sz val="11"/>
        <color rgb="FF333333"/>
        <rFont val="Calibri"/>
        <family val="2"/>
        <scheme val="minor"/>
      </rPr>
      <t xml:space="preserve">CD147; </t>
    </r>
    <r>
      <rPr>
        <sz val="11"/>
        <color rgb="FF333333"/>
        <rFont val="Calibri"/>
        <family val="2"/>
        <scheme val="minor"/>
      </rPr>
      <t>but that the constitutive</t>
    </r>
    <r>
      <rPr>
        <b/>
        <sz val="11"/>
        <color rgb="FF333333"/>
        <rFont val="Calibri"/>
        <family val="2"/>
        <scheme val="minor"/>
      </rPr>
      <t xml:space="preserve"> shedding </t>
    </r>
    <r>
      <rPr>
        <sz val="11"/>
        <color rgb="FF333333"/>
        <rFont val="Calibri"/>
        <family val="2"/>
        <scheme val="minor"/>
      </rPr>
      <t>of</t>
    </r>
    <r>
      <rPr>
        <b/>
        <sz val="11"/>
        <color rgb="FF333333"/>
        <rFont val="Calibri"/>
        <family val="2"/>
        <scheme val="minor"/>
      </rPr>
      <t xml:space="preserve"> CD147 </t>
    </r>
    <r>
      <rPr>
        <sz val="11"/>
        <color rgb="FF333333"/>
        <rFont val="Calibri"/>
        <family val="2"/>
        <scheme val="minor"/>
      </rPr>
      <t>mediated by</t>
    </r>
    <r>
      <rPr>
        <b/>
        <sz val="11"/>
        <color rgb="FF333333"/>
        <rFont val="Calibri"/>
        <family val="2"/>
        <scheme val="minor"/>
      </rPr>
      <t xml:space="preserve"> ADAM10</t>
    </r>
    <r>
      <rPr>
        <sz val="11"/>
        <color rgb="FF333333"/>
        <rFont val="Calibri"/>
        <family val="2"/>
        <scheme val="minor"/>
      </rPr>
      <t xml:space="preserve"> is enhanced. </t>
    </r>
    <r>
      <rPr>
        <b/>
        <sz val="11"/>
        <color rgb="FF333333"/>
        <rFont val="Calibri"/>
        <family val="2"/>
        <scheme val="minor"/>
      </rPr>
      <t xml:space="preserve">4) </t>
    </r>
    <r>
      <rPr>
        <sz val="11"/>
        <color rgb="FF333333"/>
        <rFont val="Calibri"/>
        <family val="2"/>
        <scheme val="minor"/>
      </rPr>
      <t xml:space="preserve">HAb 18 (a specific antibody targeting CD147) inhibits </t>
    </r>
    <r>
      <rPr>
        <b/>
        <sz val="11"/>
        <color rgb="FF333333"/>
        <rFont val="Calibri"/>
        <family val="2"/>
        <scheme val="minor"/>
      </rPr>
      <t>CD147</t>
    </r>
    <r>
      <rPr>
        <sz val="11"/>
        <color rgb="FF333333"/>
        <rFont val="Calibri"/>
        <family val="2"/>
        <scheme val="minor"/>
      </rPr>
      <t xml:space="preserve"> shedding and reduces sequential </t>
    </r>
    <r>
      <rPr>
        <b/>
        <sz val="11"/>
        <color rgb="FF333333"/>
        <rFont val="Calibri"/>
        <family val="2"/>
        <scheme val="minor"/>
      </rPr>
      <t>CD147-ICD</t>
    </r>
    <r>
      <rPr>
        <sz val="11"/>
        <color rgb="FF333333"/>
        <rFont val="Calibri"/>
        <family val="2"/>
        <scheme val="minor"/>
      </rPr>
      <t xml:space="preserve"> (intracellular domain of CD147). </t>
    </r>
    <r>
      <rPr>
        <b/>
        <sz val="11"/>
        <color rgb="FF333333"/>
        <rFont val="Calibri"/>
        <family val="2"/>
        <scheme val="minor"/>
      </rPr>
      <t xml:space="preserve">5) </t>
    </r>
    <r>
      <rPr>
        <sz val="11"/>
        <color rgb="FF333333"/>
        <rFont val="Calibri"/>
        <family val="2"/>
        <scheme val="minor"/>
      </rPr>
      <t>overexprssion of</t>
    </r>
    <r>
      <rPr>
        <b/>
        <sz val="11"/>
        <color rgb="FF333333"/>
        <rFont val="Calibri"/>
        <family val="2"/>
        <scheme val="minor"/>
      </rPr>
      <t xml:space="preserve"> CD147-ICD </t>
    </r>
    <r>
      <rPr>
        <sz val="11"/>
        <color rgb="FF333333"/>
        <rFont val="Calibri"/>
        <family val="2"/>
        <scheme val="minor"/>
      </rPr>
      <t xml:space="preserve">enhances autophagy. </t>
    </r>
    <r>
      <rPr>
        <b/>
        <sz val="11"/>
        <color rgb="FF333333"/>
        <rFont val="Calibri"/>
        <family val="2"/>
        <scheme val="minor"/>
      </rPr>
      <t xml:space="preserve">6) </t>
    </r>
    <r>
      <rPr>
        <sz val="11"/>
        <color rgb="FF333333"/>
        <rFont val="Calibri"/>
        <family val="2"/>
        <scheme val="minor"/>
      </rPr>
      <t xml:space="preserve">the combination of HAb 18 and </t>
    </r>
    <r>
      <rPr>
        <b/>
        <sz val="11"/>
        <color rgb="FF333333"/>
        <rFont val="Calibri"/>
        <family val="2"/>
        <scheme val="minor"/>
      </rPr>
      <t>cisplatin</t>
    </r>
    <r>
      <rPr>
        <sz val="11"/>
        <color rgb="FF333333"/>
        <rFont val="Calibri"/>
        <family val="2"/>
        <scheme val="minor"/>
      </rPr>
      <t xml:space="preserve"> exhibited marked antitumor efficiency (liver cancer).</t>
    </r>
  </si>
  <si>
    <r>
      <rPr>
        <b/>
        <sz val="11"/>
        <color rgb="FF333333"/>
        <rFont val="Calibri"/>
        <family val="2"/>
        <scheme val="minor"/>
      </rPr>
      <t xml:space="preserve">1) </t>
    </r>
    <r>
      <rPr>
        <sz val="11"/>
        <color rgb="FF333333"/>
        <rFont val="Calibri"/>
        <family val="2"/>
        <scheme val="minor"/>
      </rPr>
      <t xml:space="preserve">the prognostic complementarity between de novo pyrimidine synthesis and nucleotide excision repair expression in a total of 570 </t>
    </r>
    <r>
      <rPr>
        <b/>
        <sz val="11"/>
        <color rgb="FF333333"/>
        <rFont val="Calibri"/>
        <family val="2"/>
        <scheme val="minor"/>
      </rPr>
      <t>bladder urothelial</t>
    </r>
    <r>
      <rPr>
        <sz val="11"/>
        <color rgb="FF333333"/>
        <rFont val="Calibri"/>
        <family val="2"/>
        <scheme val="minor"/>
      </rPr>
      <t xml:space="preserve"> carcinoma patients.</t>
    </r>
    <r>
      <rPr>
        <b/>
        <sz val="11"/>
        <color rgb="FF333333"/>
        <rFont val="Calibri"/>
        <family val="2"/>
        <scheme val="minor"/>
      </rPr>
      <t xml:space="preserve"> 2) </t>
    </r>
    <r>
      <rPr>
        <sz val="11"/>
        <color rgb="FF333333"/>
        <rFont val="Calibri"/>
        <family val="2"/>
        <scheme val="minor"/>
      </rPr>
      <t xml:space="preserve">the de novo pyrimidine synthesis gene </t>
    </r>
    <r>
      <rPr>
        <b/>
        <sz val="11"/>
        <color rgb="FF333333"/>
        <rFont val="Calibri"/>
        <family val="2"/>
        <scheme val="minor"/>
      </rPr>
      <t>CAD</t>
    </r>
    <r>
      <rPr>
        <sz val="11"/>
        <color rgb="FF333333"/>
        <rFont val="Calibri"/>
        <family val="2"/>
        <scheme val="minor"/>
      </rPr>
      <t xml:space="preserve"> is associated with poor survival (P = 0.008) and is co-altered with the nucleotide excision repair gene POLD2. </t>
    </r>
    <r>
      <rPr>
        <b/>
        <sz val="11"/>
        <color rgb="FF333333"/>
        <rFont val="Calibri"/>
        <family val="2"/>
        <scheme val="minor"/>
      </rPr>
      <t xml:space="preserve">3) </t>
    </r>
    <r>
      <rPr>
        <sz val="11"/>
        <color rgb="FF333333"/>
        <rFont val="Calibri"/>
        <family val="2"/>
        <scheme val="minor"/>
      </rPr>
      <t xml:space="preserve">Expression of each gene was associated with </t>
    </r>
    <r>
      <rPr>
        <b/>
        <sz val="11"/>
        <color rgb="FF333333"/>
        <rFont val="Calibri"/>
        <family val="2"/>
        <scheme val="minor"/>
      </rPr>
      <t>cisplatin</t>
    </r>
    <r>
      <rPr>
        <sz val="11"/>
        <color rgb="FF333333"/>
        <rFont val="Calibri"/>
        <family val="2"/>
        <scheme val="minor"/>
      </rPr>
      <t xml:space="preserve">-based therapy resistance, and accordingly, CADhighPOLD2high patients were associated with worse survival than CADhighPOLD2low and CADlowPOLD2high patients. </t>
    </r>
  </si>
  <si>
    <r>
      <rPr>
        <b/>
        <sz val="11"/>
        <color rgb="FF333333"/>
        <rFont val="Calibri"/>
        <family val="2"/>
        <scheme val="minor"/>
      </rPr>
      <t>1)</t>
    </r>
    <r>
      <rPr>
        <sz val="11"/>
        <color rgb="FF333333"/>
        <rFont val="Calibri"/>
        <family val="2"/>
        <scheme val="minor"/>
      </rPr>
      <t xml:space="preserve"> </t>
    </r>
    <r>
      <rPr>
        <b/>
        <sz val="11"/>
        <color rgb="FF333333"/>
        <rFont val="Calibri"/>
        <family val="2"/>
        <scheme val="minor"/>
      </rPr>
      <t>CAMK2D</t>
    </r>
    <r>
      <rPr>
        <sz val="11"/>
        <color rgb="FF333333"/>
        <rFont val="Calibri"/>
        <family val="2"/>
        <scheme val="minor"/>
      </rPr>
      <t xml:space="preserve"> and SMARCA2 were identified as exhibiting increased expression in </t>
    </r>
    <r>
      <rPr>
        <b/>
        <sz val="11"/>
        <color rgb="FF333333"/>
        <rFont val="Calibri"/>
        <family val="2"/>
        <scheme val="minor"/>
      </rPr>
      <t>cisplatin</t>
    </r>
    <r>
      <rPr>
        <sz val="11"/>
        <color rgb="FF333333"/>
        <rFont val="Calibri"/>
        <family val="2"/>
        <scheme val="minor"/>
      </rPr>
      <t xml:space="preserve">-resistant cells. </t>
    </r>
    <r>
      <rPr>
        <b/>
        <sz val="11"/>
        <color rgb="FF333333"/>
        <rFont val="Calibri"/>
        <family val="2"/>
        <scheme val="minor"/>
      </rPr>
      <t>2)</t>
    </r>
    <r>
      <rPr>
        <sz val="11"/>
        <color rgb="FF333333"/>
        <rFont val="Calibri"/>
        <family val="2"/>
        <scheme val="minor"/>
      </rPr>
      <t xml:space="preserve"> Overexpression of either SMARCA2 or CAMK2D led to a significant increase in the survival rates of A2780 and SKVO3 cells following cisplatin treatment. </t>
    </r>
    <r>
      <rPr>
        <b/>
        <sz val="11"/>
        <color rgb="FF333333"/>
        <rFont val="Calibri"/>
        <family val="2"/>
        <scheme val="minor"/>
      </rPr>
      <t xml:space="preserve">3) </t>
    </r>
    <r>
      <rPr>
        <sz val="11"/>
        <color rgb="FF333333"/>
        <rFont val="Calibri"/>
        <family val="2"/>
        <scheme val="minor"/>
      </rPr>
      <t xml:space="preserve">An increased mRNA level of CAMK2D was detected in samples with shorter RFS rates. </t>
    </r>
  </si>
  <si>
    <r>
      <rPr>
        <b/>
        <sz val="11"/>
        <color rgb="FF333333"/>
        <rFont val="Calibri"/>
        <family val="2"/>
        <scheme val="minor"/>
      </rPr>
      <t>1)</t>
    </r>
    <r>
      <rPr>
        <sz val="11"/>
        <color rgb="FF333333"/>
        <rFont val="Calibri"/>
        <family val="2"/>
        <scheme val="minor"/>
      </rPr>
      <t xml:space="preserve"> Cisplatin induced endoplasmic reticulum stress, indicated by an increase in calcium staining. </t>
    </r>
    <r>
      <rPr>
        <b/>
        <sz val="11"/>
        <color rgb="FF333333"/>
        <rFont val="Calibri"/>
        <family val="2"/>
        <scheme val="minor"/>
      </rPr>
      <t>2) calpain 1</t>
    </r>
    <r>
      <rPr>
        <sz val="11"/>
        <color rgb="FF333333"/>
        <rFont val="Calibri"/>
        <family val="2"/>
        <scheme val="minor"/>
      </rPr>
      <t xml:space="preserve"> inhibition by both specific siRNA and exogenous </t>
    </r>
    <r>
      <rPr>
        <b/>
        <sz val="11"/>
        <color rgb="FF333333"/>
        <rFont val="Calibri"/>
        <family val="2"/>
        <scheme val="minor"/>
      </rPr>
      <t>inhibitor</t>
    </r>
    <r>
      <rPr>
        <sz val="11"/>
        <color rgb="FF333333"/>
        <rFont val="Calibri"/>
        <family val="2"/>
        <scheme val="minor"/>
      </rPr>
      <t xml:space="preserve"> (</t>
    </r>
    <r>
      <rPr>
        <b/>
        <sz val="11"/>
        <color rgb="FF333333"/>
        <rFont val="Calibri"/>
        <family val="2"/>
        <scheme val="minor"/>
      </rPr>
      <t>calpeptin</t>
    </r>
    <r>
      <rPr>
        <sz val="11"/>
        <color rgb="FF333333"/>
        <rFont val="Calibri"/>
        <family val="2"/>
        <scheme val="minor"/>
      </rPr>
      <t xml:space="preserve">) attenuated cisplatin-induced apoptosis in these cells. </t>
    </r>
  </si>
  <si>
    <r>
      <rPr>
        <b/>
        <sz val="11"/>
        <color rgb="FF333333"/>
        <rFont val="Calibri"/>
        <family val="2"/>
        <scheme val="minor"/>
      </rPr>
      <t xml:space="preserve">1) </t>
    </r>
    <r>
      <rPr>
        <sz val="11"/>
        <color rgb="FF333333"/>
        <rFont val="Calibri"/>
        <family val="2"/>
        <scheme val="minor"/>
      </rPr>
      <t xml:space="preserve">After </t>
    </r>
    <r>
      <rPr>
        <b/>
        <sz val="11"/>
        <color rgb="FF333333"/>
        <rFont val="Calibri"/>
        <family val="2"/>
        <scheme val="minor"/>
      </rPr>
      <t>cisplatin</t>
    </r>
    <r>
      <rPr>
        <sz val="11"/>
        <color rgb="FF333333"/>
        <rFont val="Calibri"/>
        <family val="2"/>
        <scheme val="minor"/>
      </rPr>
      <t xml:space="preserve"> treatment, </t>
    </r>
    <r>
      <rPr>
        <b/>
        <sz val="11"/>
        <color rgb="FF333333"/>
        <rFont val="Calibri"/>
        <family val="2"/>
        <scheme val="minor"/>
      </rPr>
      <t>calpain</t>
    </r>
    <r>
      <rPr>
        <sz val="11"/>
        <color rgb="FF333333"/>
        <rFont val="Calibri"/>
        <family val="2"/>
        <scheme val="minor"/>
      </rPr>
      <t xml:space="preserve"> was activated, resulting in Bid cleavage at 4-5 hr, followed by Bid translocation and cytochrome c release, leading to cell death in living human </t>
    </r>
    <r>
      <rPr>
        <b/>
        <sz val="11"/>
        <color rgb="FF333333"/>
        <rFont val="Calibri"/>
        <family val="2"/>
        <scheme val="minor"/>
      </rPr>
      <t>lung</t>
    </r>
    <r>
      <rPr>
        <sz val="11"/>
        <color rgb="FF333333"/>
        <rFont val="Calibri"/>
        <family val="2"/>
        <scheme val="minor"/>
      </rPr>
      <t xml:space="preserve"> adenocarcinoma cells. </t>
    </r>
    <r>
      <rPr>
        <b/>
        <sz val="11"/>
        <color rgb="FF333333"/>
        <rFont val="Calibri"/>
        <family val="2"/>
        <scheme val="minor"/>
      </rPr>
      <t>2)</t>
    </r>
    <r>
      <rPr>
        <sz val="11"/>
        <color rgb="FF333333"/>
        <rFont val="Calibri"/>
        <family val="2"/>
        <scheme val="minor"/>
      </rPr>
      <t xml:space="preserve"> cisplatin induced </t>
    </r>
    <r>
      <rPr>
        <b/>
        <sz val="11"/>
        <color rgb="FF333333"/>
        <rFont val="Calibri"/>
        <family val="2"/>
        <scheme val="minor"/>
      </rPr>
      <t>ER stress</t>
    </r>
    <r>
      <rPr>
        <sz val="11"/>
        <color rgb="FF333333"/>
        <rFont val="Calibri"/>
        <family val="2"/>
        <scheme val="minor"/>
      </rPr>
      <t xml:space="preserve">, indicated by an increase in calcium staining and protein expression of Grp78 and calmodulin, followed by cleavage of α-fodrin and caspase-12 and, eventually, apoptosis. </t>
    </r>
    <r>
      <rPr>
        <b/>
        <sz val="11"/>
        <color rgb="FF333333"/>
        <rFont val="Calibri"/>
        <family val="2"/>
        <scheme val="minor"/>
      </rPr>
      <t>3) calpain 1 inhibition</t>
    </r>
    <r>
      <rPr>
        <sz val="11"/>
        <color rgb="FF333333"/>
        <rFont val="Calibri"/>
        <family val="2"/>
        <scheme val="minor"/>
      </rPr>
      <t xml:space="preserve"> by both specific small interfering RNA and exogenous inhibitor (calpeptin) attenuated cisplatin-induced apoptosis in these cells. 4) MiR-99a and MiR-491 Regulate </t>
    </r>
    <r>
      <rPr>
        <b/>
        <sz val="11"/>
        <color rgb="FF333333"/>
        <rFont val="Calibri"/>
        <family val="2"/>
        <scheme val="minor"/>
      </rPr>
      <t>Cisplatin</t>
    </r>
    <r>
      <rPr>
        <sz val="11"/>
        <color rgb="FF333333"/>
        <rFont val="Calibri"/>
        <family val="2"/>
        <scheme val="minor"/>
      </rPr>
      <t xml:space="preserve"> Resistance in Human Gastric Cancer Cells by Targeting </t>
    </r>
    <r>
      <rPr>
        <b/>
        <sz val="11"/>
        <color rgb="FF333333"/>
        <rFont val="Calibri"/>
        <family val="2"/>
        <scheme val="minor"/>
      </rPr>
      <t>CAPNS1</t>
    </r>
    <r>
      <rPr>
        <sz val="11"/>
        <color rgb="FF333333"/>
        <rFont val="Calibri"/>
        <family val="2"/>
        <scheme val="minor"/>
      </rPr>
      <t xml:space="preserve">. </t>
    </r>
  </si>
  <si>
    <r>
      <rPr>
        <b/>
        <sz val="11"/>
        <color rgb="FF333333"/>
        <rFont val="Calibri"/>
        <family val="2"/>
        <scheme val="minor"/>
      </rPr>
      <t>1)</t>
    </r>
    <r>
      <rPr>
        <sz val="11"/>
        <color rgb="FF333333"/>
        <rFont val="Calibri"/>
        <family val="2"/>
        <scheme val="minor"/>
      </rPr>
      <t xml:space="preserve"> </t>
    </r>
    <r>
      <rPr>
        <b/>
        <sz val="11"/>
        <color rgb="FF333333"/>
        <rFont val="Calibri"/>
        <family val="2"/>
        <scheme val="minor"/>
      </rPr>
      <t>CARMA3</t>
    </r>
    <r>
      <rPr>
        <sz val="11"/>
        <color rgb="FF333333"/>
        <rFont val="Calibri"/>
        <family val="2"/>
        <scheme val="minor"/>
      </rPr>
      <t xml:space="preserve"> overexpression shown in 52 of 101 </t>
    </r>
    <r>
      <rPr>
        <b/>
        <sz val="11"/>
        <color rgb="FF333333"/>
        <rFont val="Calibri"/>
        <family val="2"/>
        <scheme val="minor"/>
      </rPr>
      <t>ovarian</t>
    </r>
    <r>
      <rPr>
        <sz val="11"/>
        <color rgb="FF333333"/>
        <rFont val="Calibri"/>
        <family val="2"/>
        <scheme val="minor"/>
      </rPr>
      <t xml:space="preserve"> cancer specimens.</t>
    </r>
    <r>
      <rPr>
        <b/>
        <sz val="11"/>
        <color rgb="FF333333"/>
        <rFont val="Calibri"/>
        <family val="2"/>
        <scheme val="minor"/>
      </rPr>
      <t xml:space="preserve"> 2) </t>
    </r>
    <r>
      <rPr>
        <sz val="11"/>
        <color rgb="FF333333"/>
        <rFont val="Calibri"/>
        <family val="2"/>
        <scheme val="minor"/>
      </rPr>
      <t xml:space="preserve">CARMA3 overexpression positively correlated with tumor histology and advanced FIGO stage. </t>
    </r>
    <r>
      <rPr>
        <b/>
        <sz val="11"/>
        <color rgb="FF333333"/>
        <rFont val="Calibri"/>
        <family val="2"/>
        <scheme val="minor"/>
      </rPr>
      <t>3)</t>
    </r>
    <r>
      <rPr>
        <sz val="11"/>
        <color rgb="FF333333"/>
        <rFont val="Calibri"/>
        <family val="2"/>
        <scheme val="minor"/>
      </rPr>
      <t xml:space="preserve"> CARMA3 depletion in ovarian cancer cell lines A2780 and HO8910 inhibited ovarian cancer cell proliferation and blocked cell cycle progression. </t>
    </r>
    <r>
      <rPr>
        <b/>
        <sz val="11"/>
        <color rgb="FF333333"/>
        <rFont val="Calibri"/>
        <family val="2"/>
        <scheme val="minor"/>
      </rPr>
      <t>4)</t>
    </r>
    <r>
      <rPr>
        <sz val="11"/>
        <color rgb="FF333333"/>
        <rFont val="Calibri"/>
        <family val="2"/>
        <scheme val="minor"/>
      </rPr>
      <t xml:space="preserve"> CARMA3 depletion also sensitized ovarian cancer cells to </t>
    </r>
    <r>
      <rPr>
        <b/>
        <sz val="11"/>
        <color rgb="FF333333"/>
        <rFont val="Calibri"/>
        <family val="2"/>
        <scheme val="minor"/>
      </rPr>
      <t>cisplatin</t>
    </r>
    <r>
      <rPr>
        <sz val="11"/>
        <color rgb="FF333333"/>
        <rFont val="Calibri"/>
        <family val="2"/>
        <scheme val="minor"/>
      </rPr>
      <t xml:space="preserve">-induced cytotoxicity. </t>
    </r>
    <r>
      <rPr>
        <b/>
        <sz val="11"/>
        <color rgb="FF333333"/>
        <rFont val="Calibri"/>
        <family val="2"/>
        <scheme val="minor"/>
      </rPr>
      <t xml:space="preserve">5) </t>
    </r>
    <r>
      <rPr>
        <sz val="11"/>
        <color rgb="FF333333"/>
        <rFont val="Calibri"/>
        <family val="2"/>
        <scheme val="minor"/>
      </rPr>
      <t xml:space="preserve">Western blot showed that CARMA3 depletion downregulated cyclin D1, cyclin E, and Bcl-2 levels. </t>
    </r>
  </si>
  <si>
    <r>
      <rPr>
        <b/>
        <sz val="11"/>
        <color rgb="FF333333"/>
        <rFont val="Calibri"/>
        <family val="2"/>
        <scheme val="minor"/>
      </rPr>
      <t>1)</t>
    </r>
    <r>
      <rPr>
        <sz val="11"/>
        <color rgb="FF333333"/>
        <rFont val="Calibri"/>
        <family val="2"/>
        <scheme val="minor"/>
      </rPr>
      <t xml:space="preserve"> </t>
    </r>
    <r>
      <rPr>
        <b/>
        <sz val="11"/>
        <color rgb="FF333333"/>
        <rFont val="Calibri"/>
        <family val="2"/>
        <scheme val="minor"/>
      </rPr>
      <t>Pig</t>
    </r>
    <r>
      <rPr>
        <sz val="11"/>
        <color rgb="FF333333"/>
        <rFont val="Calibri"/>
        <family val="2"/>
        <scheme val="minor"/>
      </rPr>
      <t xml:space="preserve"> kidney LLC-PK1 cells that were transfected with anti-</t>
    </r>
    <r>
      <rPr>
        <b/>
        <sz val="11"/>
        <color rgb="FF333333"/>
        <rFont val="Calibri"/>
        <family val="2"/>
        <scheme val="minor"/>
      </rPr>
      <t>caspase 12</t>
    </r>
    <r>
      <rPr>
        <sz val="11"/>
        <color rgb="FF333333"/>
        <rFont val="Calibri"/>
        <family val="2"/>
        <scheme val="minor"/>
      </rPr>
      <t xml:space="preserve"> antibody significantly attenuated </t>
    </r>
    <r>
      <rPr>
        <b/>
        <sz val="11"/>
        <color rgb="FF333333"/>
        <rFont val="Calibri"/>
        <family val="2"/>
        <scheme val="minor"/>
      </rPr>
      <t>cisplatin</t>
    </r>
    <r>
      <rPr>
        <sz val="11"/>
        <color rgb="FF333333"/>
        <rFont val="Calibri"/>
        <family val="2"/>
        <scheme val="minor"/>
      </rPr>
      <t>-induced apoptosis. </t>
    </r>
    <r>
      <rPr>
        <b/>
        <sz val="11"/>
        <color rgb="FF333333"/>
        <rFont val="Calibri"/>
        <family val="2"/>
        <scheme val="minor"/>
      </rPr>
      <t>2)</t>
    </r>
    <r>
      <rPr>
        <sz val="11"/>
        <color rgb="FF333333"/>
        <rFont val="Calibri"/>
        <family val="2"/>
        <scheme val="minor"/>
      </rPr>
      <t xml:space="preserve"> the interaction of cisplatin with the ER cytochrome P450 leads to activation of procaspase 12, resulting in apoptosis. </t>
    </r>
  </si>
  <si>
    <r>
      <rPr>
        <b/>
        <sz val="11"/>
        <color rgb="FF333333"/>
        <rFont val="Calibri"/>
        <family val="2"/>
        <scheme val="minor"/>
      </rPr>
      <t>1) Casp-14</t>
    </r>
    <r>
      <rPr>
        <sz val="11"/>
        <color rgb="FF333333"/>
        <rFont val="Calibri"/>
        <family val="2"/>
        <scheme val="minor"/>
      </rPr>
      <t xml:space="preserve"> overexpression correlated with tumor stage, cell differentiation and lymphovascular involvement. </t>
    </r>
    <r>
      <rPr>
        <b/>
        <sz val="11"/>
        <color rgb="FF333333"/>
        <rFont val="Calibri"/>
        <family val="2"/>
        <scheme val="minor"/>
      </rPr>
      <t xml:space="preserve">2) </t>
    </r>
    <r>
      <rPr>
        <sz val="11"/>
        <color rgb="FF333333"/>
        <rFont val="Calibri"/>
        <family val="2"/>
        <scheme val="minor"/>
      </rPr>
      <t xml:space="preserve">ectopic expression of casp-14 decreased </t>
    </r>
    <r>
      <rPr>
        <b/>
        <sz val="11"/>
        <color rgb="FF333333"/>
        <rFont val="Calibri"/>
        <family val="2"/>
        <scheme val="minor"/>
      </rPr>
      <t>cisplatin</t>
    </r>
    <r>
      <rPr>
        <sz val="11"/>
        <color rgb="FF333333"/>
        <rFont val="Calibri"/>
        <family val="2"/>
        <scheme val="minor"/>
      </rPr>
      <t xml:space="preserve">-mediated cell killing. </t>
    </r>
    <r>
      <rPr>
        <b/>
        <sz val="11"/>
        <color rgb="FF333333"/>
        <rFont val="Calibri"/>
        <family val="2"/>
        <scheme val="minor"/>
      </rPr>
      <t xml:space="preserve">3) </t>
    </r>
    <r>
      <rPr>
        <sz val="11"/>
        <color rgb="FF333333"/>
        <rFont val="Calibri"/>
        <family val="2"/>
        <scheme val="minor"/>
      </rPr>
      <t xml:space="preserve">silencing of casp-14 expression increased </t>
    </r>
    <r>
      <rPr>
        <b/>
        <sz val="11"/>
        <color rgb="FF333333"/>
        <rFont val="Calibri"/>
        <family val="2"/>
        <scheme val="minor"/>
      </rPr>
      <t>cisplatin</t>
    </r>
    <r>
      <rPr>
        <sz val="11"/>
        <color rgb="FF333333"/>
        <rFont val="Calibri"/>
        <family val="2"/>
        <scheme val="minor"/>
      </rPr>
      <t xml:space="preserve"> sensitivity. </t>
    </r>
  </si>
  <si>
    <r>
      <rPr>
        <b/>
        <sz val="11"/>
        <color rgb="FF333333"/>
        <rFont val="Calibri"/>
        <family val="2"/>
        <scheme val="minor"/>
      </rPr>
      <t xml:space="preserve">1) </t>
    </r>
    <r>
      <rPr>
        <sz val="11"/>
        <color rgb="FF333333"/>
        <rFont val="Calibri"/>
        <family val="2"/>
        <scheme val="minor"/>
      </rPr>
      <t xml:space="preserve">overexpression of miR-494 promoted the proliferation and colony formation of </t>
    </r>
    <r>
      <rPr>
        <b/>
        <sz val="11"/>
        <color rgb="FF333333"/>
        <rFont val="Calibri"/>
        <family val="2"/>
        <scheme val="minor"/>
      </rPr>
      <t>NSCLC</t>
    </r>
    <r>
      <rPr>
        <sz val="11"/>
        <color rgb="FF333333"/>
        <rFont val="Calibri"/>
        <family val="2"/>
        <scheme val="minor"/>
      </rPr>
      <t xml:space="preserve"> cells and reduced their sensitivity to </t>
    </r>
    <r>
      <rPr>
        <b/>
        <sz val="11"/>
        <color rgb="FF333333"/>
        <rFont val="Calibri"/>
        <family val="2"/>
        <scheme val="minor"/>
      </rPr>
      <t>cisplatin</t>
    </r>
    <r>
      <rPr>
        <sz val="11"/>
        <color rgb="FF333333"/>
        <rFont val="Calibri"/>
        <family val="2"/>
        <scheme val="minor"/>
      </rPr>
      <t xml:space="preserve">-induced apoptosis. </t>
    </r>
    <r>
      <rPr>
        <b/>
        <sz val="11"/>
        <color rgb="FF333333"/>
        <rFont val="Calibri"/>
        <family val="2"/>
        <scheme val="minor"/>
      </rPr>
      <t xml:space="preserve">2) </t>
    </r>
    <r>
      <rPr>
        <sz val="11"/>
        <color rgb="FF333333"/>
        <rFont val="Calibri"/>
        <family val="2"/>
        <scheme val="minor"/>
      </rPr>
      <t>caspase-2 (</t>
    </r>
    <r>
      <rPr>
        <b/>
        <sz val="11"/>
        <color rgb="FF333333"/>
        <rFont val="Calibri"/>
        <family val="2"/>
        <scheme val="minor"/>
      </rPr>
      <t>CASP2</t>
    </r>
    <r>
      <rPr>
        <sz val="11"/>
        <color rgb="FF333333"/>
        <rFont val="Calibri"/>
        <family val="2"/>
        <scheme val="minor"/>
      </rPr>
      <t>) is a functional target of miR-494, and the expression of CASP2 is inversely associated with miR-494 in vitro.</t>
    </r>
    <r>
      <rPr>
        <b/>
        <sz val="11"/>
        <color rgb="FF333333"/>
        <rFont val="Calibri"/>
        <family val="2"/>
        <scheme val="minor"/>
      </rPr>
      <t xml:space="preserve"> 3) </t>
    </r>
    <r>
      <rPr>
        <sz val="11"/>
        <color rgb="FF333333"/>
        <rFont val="Calibri"/>
        <family val="2"/>
        <scheme val="minor"/>
      </rPr>
      <t>miR-494 promoted the proliferation and colony formation of NSCLC cells and reduced their sensitivity to cisplatin-induced apoptosis by targeting CASP2. </t>
    </r>
    <r>
      <rPr>
        <b/>
        <sz val="11"/>
        <color rgb="FF333333"/>
        <rFont val="Calibri"/>
        <family val="2"/>
        <scheme val="minor"/>
      </rPr>
      <t xml:space="preserve">4) </t>
    </r>
    <r>
      <rPr>
        <sz val="11"/>
        <color rgb="FF333333"/>
        <rFont val="Calibri"/>
        <family val="2"/>
        <scheme val="minor"/>
      </rPr>
      <t xml:space="preserve">Although uncleaved caspase 2 level per se had no prognostic significance for </t>
    </r>
    <r>
      <rPr>
        <b/>
        <sz val="11"/>
        <color rgb="FF333333"/>
        <rFont val="Calibri"/>
        <family val="2"/>
        <scheme val="minor"/>
      </rPr>
      <t>AML</t>
    </r>
    <r>
      <rPr>
        <sz val="11"/>
        <color rgb="FF333333"/>
        <rFont val="Calibri"/>
        <family val="2"/>
        <scheme val="minor"/>
      </rPr>
      <t xml:space="preserve">, the interactive effect of high levels of both uncleaved caspase 2 and 3 denoted very poor survival (P &lt; .001) and had the largest effect of all prognostic variables (P &lt; .001; estimated relative risk, 2.49; 95% confidence interval, 1.59 to 3. 90). </t>
    </r>
  </si>
  <si>
    <r>
      <rPr>
        <b/>
        <sz val="11"/>
        <color rgb="FF333333"/>
        <rFont val="Calibri"/>
        <family val="2"/>
        <scheme val="minor"/>
      </rPr>
      <t xml:space="preserve">1) </t>
    </r>
    <r>
      <rPr>
        <sz val="11"/>
        <color rgb="FF333333"/>
        <rFont val="Calibri"/>
        <family val="2"/>
        <scheme val="minor"/>
      </rPr>
      <t xml:space="preserve">The activation of initiator caspases-8, -9 and -2, and executioner caspase-3 began after eight hours of cisplatin treatment, thereafter markedly increased in a time and dose-dependent manner. </t>
    </r>
    <r>
      <rPr>
        <b/>
        <sz val="11"/>
        <color rgb="FF333333"/>
        <rFont val="Calibri"/>
        <family val="2"/>
        <scheme val="minor"/>
      </rPr>
      <t>2)</t>
    </r>
    <r>
      <rPr>
        <sz val="11"/>
        <color rgb="FF333333"/>
        <rFont val="Calibri"/>
        <family val="2"/>
        <scheme val="minor"/>
      </rPr>
      <t xml:space="preserve"> Inhibition of caspase-3 by over expressing cowpox virus p35 protein or alternatively by the peptide inhibitor DEVD-CHO provided marked protection against cell death and partial protection against DNA damage. </t>
    </r>
    <r>
      <rPr>
        <b/>
        <sz val="11"/>
        <color rgb="FF333333"/>
        <rFont val="Calibri"/>
        <family val="2"/>
        <scheme val="minor"/>
      </rPr>
      <t xml:space="preserve">3) </t>
    </r>
    <r>
      <rPr>
        <sz val="11"/>
        <color rgb="FF333333"/>
        <rFont val="Calibri"/>
        <family val="2"/>
        <scheme val="minor"/>
      </rPr>
      <t xml:space="preserve">Of 1,065 </t>
    </r>
    <r>
      <rPr>
        <b/>
        <sz val="11"/>
        <color rgb="FF333333"/>
        <rFont val="Calibri"/>
        <family val="2"/>
        <scheme val="minor"/>
      </rPr>
      <t>gastric carcinoma</t>
    </r>
    <r>
      <rPr>
        <sz val="11"/>
        <color rgb="FF333333"/>
        <rFont val="Calibri"/>
        <family val="2"/>
        <scheme val="minor"/>
      </rPr>
      <t xml:space="preserve"> samples, high expression of CASP3 (HR = 0.5, p = 6E-14) correlated to longer OS. </t>
    </r>
    <r>
      <rPr>
        <b/>
        <sz val="11"/>
        <color rgb="FF333333"/>
        <rFont val="Calibri"/>
        <family val="2"/>
        <scheme val="minor"/>
      </rPr>
      <t xml:space="preserve">4) </t>
    </r>
    <r>
      <rPr>
        <sz val="11"/>
        <color rgb="FF333333"/>
        <rFont val="Calibri"/>
        <family val="2"/>
        <scheme val="minor"/>
      </rPr>
      <t xml:space="preserve">When the effect of each uncleaved caspase was considered individually, a high level of uncleaved caspase 3 (P = .04), but not of caspase 2 (P = .16), was associated with decreased survival. </t>
    </r>
  </si>
  <si>
    <r>
      <rPr>
        <b/>
        <sz val="11"/>
        <color rgb="FF333333"/>
        <rFont val="Calibri"/>
        <family val="2"/>
        <scheme val="minor"/>
      </rPr>
      <t>1) </t>
    </r>
    <r>
      <rPr>
        <sz val="11"/>
        <color rgb="FF333333"/>
        <rFont val="Calibri"/>
        <family val="2"/>
        <scheme val="minor"/>
      </rPr>
      <t xml:space="preserve">activation of the unfolded protein response (UPR) is involved in resistance of melanoma cells to </t>
    </r>
    <r>
      <rPr>
        <b/>
        <sz val="11"/>
        <color rgb="FF333333"/>
        <rFont val="Calibri"/>
        <family val="2"/>
        <scheme val="minor"/>
      </rPr>
      <t>cisplatin</t>
    </r>
    <r>
      <rPr>
        <sz val="11"/>
        <color rgb="FF333333"/>
        <rFont val="Calibri"/>
        <family val="2"/>
        <scheme val="minor"/>
      </rPr>
      <t xml:space="preserve">, </t>
    </r>
    <r>
      <rPr>
        <b/>
        <sz val="11"/>
        <color rgb="FF333333"/>
        <rFont val="Calibri"/>
        <family val="2"/>
        <scheme val="minor"/>
      </rPr>
      <t>2)</t>
    </r>
    <r>
      <rPr>
        <sz val="11"/>
        <color rgb="FF333333"/>
        <rFont val="Calibri"/>
        <family val="2"/>
        <scheme val="minor"/>
      </rPr>
      <t xml:space="preserve"> this is associated with glucose-regulated protein 78 (</t>
    </r>
    <r>
      <rPr>
        <b/>
        <sz val="11"/>
        <color rgb="FF333333"/>
        <rFont val="Calibri"/>
        <family val="2"/>
        <scheme val="minor"/>
      </rPr>
      <t>GRP78</t>
    </r>
    <r>
      <rPr>
        <sz val="11"/>
        <color rgb="FF333333"/>
        <rFont val="Calibri"/>
        <family val="2"/>
        <scheme val="minor"/>
      </rPr>
      <t xml:space="preserve">)-mediated inhibition of activation of </t>
    </r>
    <r>
      <rPr>
        <b/>
        <sz val="11"/>
        <color rgb="FF333333"/>
        <rFont val="Calibri"/>
        <family val="2"/>
        <scheme val="minor"/>
      </rPr>
      <t>caspase-4</t>
    </r>
    <r>
      <rPr>
        <sz val="11"/>
        <color rgb="FF333333"/>
        <rFont val="Calibri"/>
        <family val="2"/>
        <scheme val="minor"/>
      </rPr>
      <t xml:space="preserve"> and -7. </t>
    </r>
    <r>
      <rPr>
        <b/>
        <sz val="11"/>
        <color rgb="FF333333"/>
        <rFont val="Calibri"/>
        <family val="2"/>
        <scheme val="minor"/>
      </rPr>
      <t xml:space="preserve">3) </t>
    </r>
    <r>
      <rPr>
        <sz val="11"/>
        <color rgb="FF333333"/>
        <rFont val="Calibri"/>
        <family val="2"/>
        <scheme val="minor"/>
      </rPr>
      <t xml:space="preserve">The UPR was constitutively activated in cultured melanoma cell lines and fresh melanoma isolates as evidenced by elevated expression levels of the GRP78 protein and the active form of x-box-binding protein 1 messenger RNA. </t>
    </r>
    <r>
      <rPr>
        <b/>
        <sz val="11"/>
        <color rgb="FF333333"/>
        <rFont val="Calibri"/>
        <family val="2"/>
        <scheme val="minor"/>
      </rPr>
      <t xml:space="preserve">4) </t>
    </r>
    <r>
      <rPr>
        <sz val="11"/>
        <color rgb="FF333333"/>
        <rFont val="Calibri"/>
        <family val="2"/>
        <scheme val="minor"/>
      </rPr>
      <t xml:space="preserve">Treatment with CDDP further increased the levels, indicative of induction of endoplasmic reticulum stress and activation of the UPR by the drugs. </t>
    </r>
    <r>
      <rPr>
        <b/>
        <sz val="11"/>
        <color rgb="FF333333"/>
        <rFont val="Calibri"/>
        <family val="2"/>
        <scheme val="minor"/>
      </rPr>
      <t xml:space="preserve">5) </t>
    </r>
    <r>
      <rPr>
        <sz val="11"/>
        <color rgb="FF333333"/>
        <rFont val="Calibri"/>
        <family val="2"/>
        <scheme val="minor"/>
      </rPr>
      <t xml:space="preserve">Inhibition of GRP78 by siRNA-sensitized melanoma cells to CDDP. </t>
    </r>
    <r>
      <rPr>
        <b/>
        <sz val="11"/>
        <color rgb="FF333333"/>
        <rFont val="Calibri"/>
        <family val="2"/>
        <scheme val="minor"/>
      </rPr>
      <t xml:space="preserve">6) </t>
    </r>
    <r>
      <rPr>
        <sz val="11"/>
        <color rgb="FF333333"/>
        <rFont val="Calibri"/>
        <family val="2"/>
        <scheme val="minor"/>
      </rPr>
      <t xml:space="preserve">This was associated with enhanced </t>
    </r>
    <r>
      <rPr>
        <b/>
        <sz val="11"/>
        <color rgb="FF333333"/>
        <rFont val="Calibri"/>
        <family val="2"/>
        <scheme val="minor"/>
      </rPr>
      <t>caspase-4</t>
    </r>
    <r>
      <rPr>
        <sz val="11"/>
        <color rgb="FF333333"/>
        <rFont val="Calibri"/>
        <family val="2"/>
        <scheme val="minor"/>
      </rPr>
      <t xml:space="preserve"> and -7 activation as</t>
    </r>
    <r>
      <rPr>
        <b/>
        <sz val="11"/>
        <color rgb="FF333333"/>
        <rFont val="Calibri"/>
        <family val="2"/>
        <scheme val="minor"/>
      </rPr>
      <t xml:space="preserve"> siRNA knockdown of the caspases</t>
    </r>
    <r>
      <rPr>
        <sz val="11"/>
        <color rgb="FF333333"/>
        <rFont val="Calibri"/>
        <family val="2"/>
        <scheme val="minor"/>
      </rPr>
      <t xml:space="preserve"> blocked induction of apoptosis. </t>
    </r>
    <r>
      <rPr>
        <b/>
        <sz val="11"/>
        <color rgb="FF333333"/>
        <rFont val="Calibri"/>
        <family val="2"/>
        <scheme val="minor"/>
      </rPr>
      <t xml:space="preserve">7) </t>
    </r>
    <r>
      <rPr>
        <sz val="11"/>
        <color rgb="FF333333"/>
        <rFont val="Calibri"/>
        <family val="2"/>
        <scheme val="minor"/>
      </rPr>
      <t xml:space="preserve">overexpression of GRP78 attenuated activation of </t>
    </r>
    <r>
      <rPr>
        <b/>
        <sz val="11"/>
        <color rgb="FF333333"/>
        <rFont val="Calibri"/>
        <family val="2"/>
        <scheme val="minor"/>
      </rPr>
      <t>caspase-4</t>
    </r>
    <r>
      <rPr>
        <sz val="11"/>
        <color rgb="FF333333"/>
        <rFont val="Calibri"/>
        <family val="2"/>
        <scheme val="minor"/>
      </rPr>
      <t xml:space="preserve"> and -7 and induction of apoptosis by the drugs. </t>
    </r>
    <r>
      <rPr>
        <b/>
        <sz val="11"/>
        <color rgb="FF333333"/>
        <rFont val="Calibri"/>
        <family val="2"/>
        <scheme val="minor"/>
      </rPr>
      <t>8)</t>
    </r>
    <r>
      <rPr>
        <sz val="11"/>
        <color rgb="FF333333"/>
        <rFont val="Calibri"/>
        <family val="2"/>
        <scheme val="minor"/>
      </rPr>
      <t xml:space="preserve"> CDDP induced activation of </t>
    </r>
    <r>
      <rPr>
        <b/>
        <sz val="11"/>
        <color rgb="FF333333"/>
        <rFont val="Calibri"/>
        <family val="2"/>
        <scheme val="minor"/>
      </rPr>
      <t xml:space="preserve">caspase-4 </t>
    </r>
    <r>
      <rPr>
        <sz val="11"/>
        <color rgb="FF333333"/>
        <rFont val="Calibri"/>
        <family val="2"/>
        <scheme val="minor"/>
      </rPr>
      <t xml:space="preserve">and -7 appeared to be mediated by </t>
    </r>
    <r>
      <rPr>
        <b/>
        <sz val="11"/>
        <color rgb="FF333333"/>
        <rFont val="Calibri"/>
        <family val="2"/>
        <scheme val="minor"/>
      </rPr>
      <t>calpain</t>
    </r>
    <r>
      <rPr>
        <sz val="11"/>
        <color rgb="FF333333"/>
        <rFont val="Calibri"/>
        <family val="2"/>
        <scheme val="minor"/>
      </rPr>
      <t xml:space="preserve"> activity in that it was blocked by the calpain inhibitors calpeptin and PD150606 even when GRP78 was inhibited by siRNA. </t>
    </r>
    <r>
      <rPr>
        <b/>
        <sz val="11"/>
        <color rgb="FF333333"/>
        <rFont val="Calibri"/>
        <family val="2"/>
        <scheme val="minor"/>
      </rPr>
      <t xml:space="preserve">9) </t>
    </r>
    <r>
      <rPr>
        <sz val="11"/>
        <color rgb="FF333333"/>
        <rFont val="Calibri"/>
        <family val="2"/>
        <scheme val="minor"/>
      </rPr>
      <t xml:space="preserve">A peptide inhibitor or siRNA-mediated silencing of </t>
    </r>
    <r>
      <rPr>
        <b/>
        <sz val="11"/>
        <color rgb="FF333333"/>
        <rFont val="Calibri"/>
        <family val="2"/>
        <scheme val="minor"/>
      </rPr>
      <t>caspase-4</t>
    </r>
    <r>
      <rPr>
        <sz val="11"/>
        <color rgb="FF333333"/>
        <rFont val="Calibri"/>
        <family val="2"/>
        <scheme val="minor"/>
      </rPr>
      <t xml:space="preserve"> attenuated cell death, confirming that ER stress played an important role in cisplatin-induced apoptosis. </t>
    </r>
  </si>
  <si>
    <r>
      <rPr>
        <b/>
        <sz val="11"/>
        <color rgb="FF333333"/>
        <rFont val="Calibri"/>
        <family val="2"/>
        <scheme val="minor"/>
      </rPr>
      <t xml:space="preserve">1) </t>
    </r>
    <r>
      <rPr>
        <sz val="11"/>
        <color rgb="FF333333"/>
        <rFont val="Calibri"/>
        <family val="2"/>
        <scheme val="minor"/>
      </rPr>
      <t xml:space="preserve">The executioner caspase-6 and -7 were identified as transcriptional targets of p53 in </t>
    </r>
    <r>
      <rPr>
        <b/>
        <sz val="11"/>
        <color rgb="FF333333"/>
        <rFont val="Calibri"/>
        <family val="2"/>
        <scheme val="minor"/>
      </rPr>
      <t>cisplatin</t>
    </r>
    <r>
      <rPr>
        <sz val="11"/>
        <color rgb="FF333333"/>
        <rFont val="Calibri"/>
        <family val="2"/>
        <scheme val="minor"/>
      </rPr>
      <t xml:space="preserve"> injury. </t>
    </r>
    <r>
      <rPr>
        <b/>
        <sz val="11"/>
        <color rgb="FF333333"/>
        <rFont val="Calibri"/>
        <family val="2"/>
        <scheme val="minor"/>
      </rPr>
      <t>2)</t>
    </r>
    <r>
      <rPr>
        <sz val="11"/>
        <color rgb="FF333333"/>
        <rFont val="Calibri"/>
        <family val="2"/>
        <scheme val="minor"/>
      </rPr>
      <t xml:space="preserve"> Treatment of p53 (-/-) cells with cisplatin did not induce caspase-6 and -7 expression and subsequent activation. </t>
    </r>
    <r>
      <rPr>
        <b/>
        <sz val="11"/>
        <color rgb="FF333333"/>
        <rFont val="Calibri"/>
        <family val="2"/>
        <scheme val="minor"/>
      </rPr>
      <t>3)</t>
    </r>
    <r>
      <rPr>
        <sz val="11"/>
        <color rgb="FF333333"/>
        <rFont val="Calibri"/>
        <family val="2"/>
        <scheme val="minor"/>
      </rPr>
      <t xml:space="preserve"> In caspase-3 (-/-) cells, inhibition of caspase-6 and -7 activations markedly prevented cisplatin-induced cell death. </t>
    </r>
  </si>
  <si>
    <r>
      <rPr>
        <b/>
        <sz val="11"/>
        <color rgb="FF333333"/>
        <rFont val="Calibri"/>
        <family val="2"/>
        <scheme val="minor"/>
      </rPr>
      <t xml:space="preserve">1) </t>
    </r>
    <r>
      <rPr>
        <sz val="11"/>
        <color rgb="FF333333"/>
        <rFont val="Calibri"/>
        <family val="2"/>
        <scheme val="minor"/>
      </rPr>
      <t>The executioner caspase-6 and -7 were identified as transcriptional targets of p53 in cisplatin injury.</t>
    </r>
    <r>
      <rPr>
        <b/>
        <sz val="11"/>
        <color rgb="FF333333"/>
        <rFont val="Calibri"/>
        <family val="2"/>
        <scheme val="minor"/>
      </rPr>
      <t xml:space="preserve"> 2)</t>
    </r>
    <r>
      <rPr>
        <sz val="11"/>
        <color rgb="FF333333"/>
        <rFont val="Calibri"/>
        <family val="2"/>
        <scheme val="minor"/>
      </rPr>
      <t xml:space="preserve"> Treatment of p53 (-/-) cells with cisplatin did not induce caspase-6 and -7 expression and subsequent activation. </t>
    </r>
    <r>
      <rPr>
        <b/>
        <sz val="11"/>
        <color rgb="FF333333"/>
        <rFont val="Calibri"/>
        <family val="2"/>
        <scheme val="minor"/>
      </rPr>
      <t xml:space="preserve">3) </t>
    </r>
    <r>
      <rPr>
        <sz val="11"/>
        <color rgb="FF333333"/>
        <rFont val="Calibri"/>
        <family val="2"/>
        <scheme val="minor"/>
      </rPr>
      <t xml:space="preserve">In caspase-3 (-/-) cells, inhibition of caspase-6 and -7 activations markedly prevented cisplatin-induced cell death. </t>
    </r>
    <r>
      <rPr>
        <b/>
        <sz val="11"/>
        <color rgb="FF333333"/>
        <rFont val="Calibri"/>
        <family val="2"/>
        <scheme val="minor"/>
      </rPr>
      <t xml:space="preserve">4) </t>
    </r>
    <r>
      <rPr>
        <sz val="11"/>
        <color rgb="FF333333"/>
        <rFont val="Calibri"/>
        <family val="2"/>
        <scheme val="minor"/>
      </rPr>
      <t xml:space="preserve">caspase-7 is down-regulated in primary </t>
    </r>
    <r>
      <rPr>
        <b/>
        <sz val="11"/>
        <color rgb="FF333333"/>
        <rFont val="Calibri"/>
        <family val="2"/>
        <scheme val="minor"/>
      </rPr>
      <t>prostate</t>
    </r>
    <r>
      <rPr>
        <sz val="11"/>
        <color rgb="FF333333"/>
        <rFont val="Calibri"/>
        <family val="2"/>
        <scheme val="minor"/>
      </rPr>
      <t xml:space="preserve"> tumors and metastatic lesions across multiple datasets and is by itself associated with disease recurrence and disease-specific survival. </t>
    </r>
  </si>
  <si>
    <r>
      <rPr>
        <b/>
        <sz val="11"/>
        <color rgb="FF333333"/>
        <rFont val="Calibri"/>
        <family val="2"/>
        <scheme val="minor"/>
      </rPr>
      <t xml:space="preserve">1) </t>
    </r>
    <r>
      <rPr>
        <sz val="11"/>
        <color rgb="FF333333"/>
        <rFont val="Calibri"/>
        <family val="2"/>
        <scheme val="minor"/>
      </rPr>
      <t xml:space="preserve">CDDP-resistant </t>
    </r>
    <r>
      <rPr>
        <b/>
        <sz val="11"/>
        <color rgb="FF333333"/>
        <rFont val="Calibri"/>
        <family val="2"/>
        <scheme val="minor"/>
      </rPr>
      <t>ovarian</t>
    </r>
    <r>
      <rPr>
        <sz val="11"/>
        <color rgb="FF333333"/>
        <rFont val="Calibri"/>
        <family val="2"/>
        <scheme val="minor"/>
      </rPr>
      <t xml:space="preserve"> cancer CP70 cells expressed less </t>
    </r>
    <r>
      <rPr>
        <b/>
        <sz val="11"/>
        <color rgb="FF333333"/>
        <rFont val="Calibri"/>
        <family val="2"/>
        <scheme val="minor"/>
      </rPr>
      <t>caspase 8</t>
    </r>
    <r>
      <rPr>
        <sz val="11"/>
        <color rgb="FF333333"/>
        <rFont val="Calibri"/>
        <family val="2"/>
        <scheme val="minor"/>
      </rPr>
      <t xml:space="preserve"> protein, whereas mRNA levels were similar compared with A2780. </t>
    </r>
    <r>
      <rPr>
        <b/>
        <sz val="11"/>
        <color rgb="FF333333"/>
        <rFont val="Calibri"/>
        <family val="2"/>
        <scheme val="minor"/>
      </rPr>
      <t xml:space="preserve">2) </t>
    </r>
    <r>
      <rPr>
        <sz val="11"/>
        <color rgb="FF333333"/>
        <rFont val="Calibri"/>
        <family val="2"/>
        <scheme val="minor"/>
      </rPr>
      <t xml:space="preserve">Pre-exposure of particularly CP70 to cisplatin resulted in strongly elevated caspase 8 protein and mRNA levels. </t>
    </r>
    <r>
      <rPr>
        <b/>
        <sz val="11"/>
        <color rgb="FF333333"/>
        <rFont val="Calibri"/>
        <family val="2"/>
        <scheme val="minor"/>
      </rPr>
      <t xml:space="preserve">3) </t>
    </r>
    <r>
      <rPr>
        <sz val="11"/>
        <color rgb="FF333333"/>
        <rFont val="Calibri"/>
        <family val="2"/>
        <scheme val="minor"/>
      </rPr>
      <t xml:space="preserve">Cisplatin-induced caspase 8 protein levels were essential for the rhTRAIL-sensitising effect as demonstrated using caspase 8 small-interfering RNA (siRNA) and caspase-8 overexpressing constructs. </t>
    </r>
    <r>
      <rPr>
        <b/>
        <sz val="11"/>
        <color rgb="FF333333"/>
        <rFont val="Calibri"/>
        <family val="2"/>
        <scheme val="minor"/>
      </rPr>
      <t xml:space="preserve">4) </t>
    </r>
    <r>
      <rPr>
        <sz val="11"/>
        <color rgb="FF333333"/>
        <rFont val="Calibri"/>
        <family val="2"/>
        <scheme val="minor"/>
      </rPr>
      <t xml:space="preserve">Weak expression of caspase-8 was an independent significant prognostic factor for unfavorable progression-free survival outcome of </t>
    </r>
    <r>
      <rPr>
        <b/>
        <sz val="11"/>
        <color rgb="FF333333"/>
        <rFont val="Calibri"/>
        <family val="2"/>
        <scheme val="minor"/>
      </rPr>
      <t>medulloblastoma</t>
    </r>
    <r>
      <rPr>
        <sz val="11"/>
        <color rgb="FF333333"/>
        <rFont val="Calibri"/>
        <family val="2"/>
        <scheme val="minor"/>
      </rPr>
      <t xml:space="preserve"> (MB) and was more predictive than standard clinical factors. </t>
    </r>
  </si>
  <si>
    <r>
      <rPr>
        <b/>
        <sz val="11"/>
        <color rgb="FF333333"/>
        <rFont val="Calibri"/>
        <family val="2"/>
        <scheme val="minor"/>
      </rPr>
      <t>1)</t>
    </r>
    <r>
      <rPr>
        <sz val="11"/>
        <color rgb="FF333333"/>
        <rFont val="Calibri"/>
        <family val="2"/>
        <scheme val="minor"/>
      </rPr>
      <t xml:space="preserve"> Following cisplatin treatment, protelyzed Casp9 subunits were detected in </t>
    </r>
    <r>
      <rPr>
        <b/>
        <sz val="11"/>
        <color rgb="FF333333"/>
        <rFont val="Calibri"/>
        <family val="2"/>
        <scheme val="minor"/>
      </rPr>
      <t>head and neck squamous</t>
    </r>
    <r>
      <rPr>
        <sz val="11"/>
        <color rgb="FF333333"/>
        <rFont val="Calibri"/>
        <family val="2"/>
        <scheme val="minor"/>
      </rPr>
      <t xml:space="preserve"> cell carcinoma (HNSCCs) HSC-2 cells, but not detected in HSC-2CR. </t>
    </r>
    <r>
      <rPr>
        <b/>
        <sz val="11"/>
        <color rgb="FF333333"/>
        <rFont val="Calibri"/>
        <family val="2"/>
        <scheme val="minor"/>
      </rPr>
      <t xml:space="preserve">2) </t>
    </r>
    <r>
      <rPr>
        <sz val="11"/>
        <color rgb="FF333333"/>
        <rFont val="Calibri"/>
        <family val="2"/>
        <scheme val="minor"/>
      </rPr>
      <t xml:space="preserve">Using a direct enzymatic assay measuring cleavage of the synthetic peptide substrate (LEHD-AFC), Casp9 activity in </t>
    </r>
    <r>
      <rPr>
        <b/>
        <sz val="11"/>
        <color rgb="FF333333"/>
        <rFont val="Calibri"/>
        <family val="2"/>
        <scheme val="minor"/>
      </rPr>
      <t>cisplatin</t>
    </r>
    <r>
      <rPr>
        <sz val="11"/>
        <color rgb="FF333333"/>
        <rFont val="Calibri"/>
        <family val="2"/>
        <scheme val="minor"/>
      </rPr>
      <t>-treated HSC-2CR was less than that in cisplatin-treated HSC-2. </t>
    </r>
    <r>
      <rPr>
        <b/>
        <sz val="11"/>
        <color rgb="FF333333"/>
        <rFont val="Calibri"/>
        <family val="2"/>
        <scheme val="minor"/>
      </rPr>
      <t xml:space="preserve">3) </t>
    </r>
    <r>
      <rPr>
        <sz val="11"/>
        <color rgb="FF333333"/>
        <rFont val="Calibri"/>
        <family val="2"/>
        <scheme val="minor"/>
      </rPr>
      <t xml:space="preserve">the use of a specific inhibitor of </t>
    </r>
    <r>
      <rPr>
        <b/>
        <sz val="11"/>
        <color rgb="FF333333"/>
        <rFont val="Calibri"/>
        <family val="2"/>
        <scheme val="minor"/>
      </rPr>
      <t>Casp-9</t>
    </r>
    <r>
      <rPr>
        <sz val="11"/>
        <color rgb="FF333333"/>
        <rFont val="Calibri"/>
        <family val="2"/>
        <scheme val="minor"/>
      </rPr>
      <t xml:space="preserve"> almost completely blocked cisplatin-induced apoptosis. 4) The active cleaved form of </t>
    </r>
    <r>
      <rPr>
        <b/>
        <sz val="11"/>
        <color rgb="FF333333"/>
        <rFont val="Calibri"/>
        <family val="2"/>
        <scheme val="minor"/>
      </rPr>
      <t>caspase9 (caspase 9s)</t>
    </r>
    <r>
      <rPr>
        <sz val="11"/>
        <color rgb="FF333333"/>
        <rFont val="Calibri"/>
        <family val="2"/>
        <scheme val="minor"/>
      </rPr>
      <t xml:space="preserve"> was detected in </t>
    </r>
    <r>
      <rPr>
        <b/>
        <sz val="11"/>
        <color rgb="FF333333"/>
        <rFont val="Calibri"/>
        <family val="2"/>
        <scheme val="minor"/>
      </rPr>
      <t>PEO1</t>
    </r>
    <r>
      <rPr>
        <sz val="11"/>
        <color rgb="FF333333"/>
        <rFont val="Calibri"/>
        <family val="2"/>
        <scheme val="minor"/>
      </rPr>
      <t xml:space="preserve"> cells but not in </t>
    </r>
    <r>
      <rPr>
        <b/>
        <sz val="11"/>
        <color rgb="FF333333"/>
        <rFont val="Calibri"/>
        <family val="2"/>
        <scheme val="minor"/>
      </rPr>
      <t>PEO4</t>
    </r>
    <r>
      <rPr>
        <sz val="11"/>
        <color rgb="FF333333"/>
        <rFont val="Calibri"/>
        <family val="2"/>
        <scheme val="minor"/>
      </rPr>
      <t xml:space="preserve"> cells, and this was elevated in the presence of </t>
    </r>
    <r>
      <rPr>
        <b/>
        <sz val="11"/>
        <color rgb="FF333333"/>
        <rFont val="Calibri"/>
        <family val="2"/>
        <scheme val="minor"/>
      </rPr>
      <t>cisplatin</t>
    </r>
    <r>
      <rPr>
        <sz val="11"/>
        <color rgb="FF333333"/>
        <rFont val="Calibri"/>
        <family val="2"/>
        <scheme val="minor"/>
      </rPr>
      <t xml:space="preserve">. </t>
    </r>
  </si>
  <si>
    <r>
      <rPr>
        <b/>
        <sz val="11"/>
        <color rgb="FF333333"/>
        <rFont val="Calibri"/>
        <family val="2"/>
        <scheme val="minor"/>
      </rPr>
      <t xml:space="preserve">1) </t>
    </r>
    <r>
      <rPr>
        <sz val="11"/>
        <color rgb="FF333333"/>
        <rFont val="Calibri"/>
        <family val="2"/>
        <scheme val="minor"/>
      </rPr>
      <t xml:space="preserve">the mRNA and protein expression levels of </t>
    </r>
    <r>
      <rPr>
        <b/>
        <sz val="11"/>
        <color rgb="FF333333"/>
        <rFont val="Calibri"/>
        <family val="2"/>
        <scheme val="minor"/>
      </rPr>
      <t>Cav-1</t>
    </r>
    <r>
      <rPr>
        <sz val="11"/>
        <color rgb="FF333333"/>
        <rFont val="Calibri"/>
        <family val="2"/>
        <scheme val="minor"/>
      </rPr>
      <t xml:space="preserve"> were significantly higher in </t>
    </r>
    <r>
      <rPr>
        <b/>
        <sz val="11"/>
        <color rgb="FF333333"/>
        <rFont val="Calibri"/>
        <family val="2"/>
        <scheme val="minor"/>
      </rPr>
      <t>ovarian</t>
    </r>
    <r>
      <rPr>
        <sz val="11"/>
        <color rgb="FF333333"/>
        <rFont val="Calibri"/>
        <family val="2"/>
        <scheme val="minor"/>
      </rPr>
      <t xml:space="preserve"> caner cell lines SKOV3/DDP and A2780/DDP than in SKOV3 and A2780, respectively.</t>
    </r>
    <r>
      <rPr>
        <b/>
        <sz val="11"/>
        <color rgb="FF333333"/>
        <rFont val="Calibri"/>
        <family val="2"/>
        <scheme val="minor"/>
      </rPr>
      <t xml:space="preserve"> 2) </t>
    </r>
    <r>
      <rPr>
        <sz val="11"/>
        <color rgb="FF333333"/>
        <rFont val="Calibri"/>
        <family val="2"/>
        <scheme val="minor"/>
      </rPr>
      <t xml:space="preserve">Knockdown of Cav-1 significantly decreased the IC50 value in </t>
    </r>
    <r>
      <rPr>
        <b/>
        <sz val="11"/>
        <color rgb="FF333333"/>
        <rFont val="Calibri"/>
        <family val="2"/>
        <scheme val="minor"/>
      </rPr>
      <t>cisplatin</t>
    </r>
    <r>
      <rPr>
        <sz val="11"/>
        <color rgb="FF333333"/>
        <rFont val="Calibri"/>
        <family val="2"/>
        <scheme val="minor"/>
      </rPr>
      <t xml:space="preserve">-resistant cells. </t>
    </r>
    <r>
      <rPr>
        <b/>
        <sz val="11"/>
        <color rgb="FF333333"/>
        <rFont val="Calibri"/>
        <family val="2"/>
        <scheme val="minor"/>
      </rPr>
      <t>3)</t>
    </r>
    <r>
      <rPr>
        <sz val="11"/>
        <color rgb="FF333333"/>
        <rFont val="Calibri"/>
        <family val="2"/>
        <scheme val="minor"/>
      </rPr>
      <t xml:space="preserve"> knockdown of Cav-1 could significantly enhance cisplatin induced cell apoptosis. 4) knockdown of Cav-1 significantly downregulate the protein expression level of Notch-1, p-Akt and p-NF-κB p65 in cisplatin-resistant ovarian cancer cells. </t>
    </r>
    <r>
      <rPr>
        <b/>
        <sz val="11"/>
        <color rgb="FF333333"/>
        <rFont val="Calibri"/>
        <family val="2"/>
        <scheme val="minor"/>
      </rPr>
      <t xml:space="preserve">4) </t>
    </r>
    <r>
      <rPr>
        <sz val="11"/>
        <color rgb="FF333333"/>
        <rFont val="Calibri"/>
        <family val="2"/>
        <scheme val="minor"/>
      </rPr>
      <t>Overexpression of Cav-1 upregulated the IC50 value, but under the effect of Notch-1 siRNA or LY294002 or PDTC, the IC50 value was markedly decreased. </t>
    </r>
  </si>
  <si>
    <r>
      <rPr>
        <b/>
        <sz val="11"/>
        <color rgb="FF333333"/>
        <rFont val="Calibri"/>
        <family val="2"/>
        <scheme val="minor"/>
      </rPr>
      <t>1)</t>
    </r>
    <r>
      <rPr>
        <sz val="11"/>
        <color rgb="FF333333"/>
        <rFont val="Calibri"/>
        <family val="2"/>
        <scheme val="minor"/>
      </rPr>
      <t xml:space="preserve"> Cystathionine β-synthase (</t>
    </r>
    <r>
      <rPr>
        <b/>
        <sz val="11"/>
        <color rgb="FF333333"/>
        <rFont val="Calibri"/>
        <family val="2"/>
        <scheme val="minor"/>
      </rPr>
      <t>CBS</t>
    </r>
    <r>
      <rPr>
        <sz val="11"/>
        <color rgb="FF333333"/>
        <rFont val="Calibri"/>
        <family val="2"/>
        <scheme val="minor"/>
      </rPr>
      <t xml:space="preserve">) is overexpressed in </t>
    </r>
    <r>
      <rPr>
        <b/>
        <sz val="11"/>
        <color rgb="FF333333"/>
        <rFont val="Calibri"/>
        <family val="2"/>
        <scheme val="minor"/>
      </rPr>
      <t>ovarian</t>
    </r>
    <r>
      <rPr>
        <sz val="11"/>
        <color rgb="FF333333"/>
        <rFont val="Calibri"/>
        <family val="2"/>
        <scheme val="minor"/>
      </rPr>
      <t xml:space="preserve"> cancer tissues and is itself associated with </t>
    </r>
    <r>
      <rPr>
        <b/>
        <sz val="11"/>
        <color rgb="FF333333"/>
        <rFont val="Calibri"/>
        <family val="2"/>
        <scheme val="minor"/>
      </rPr>
      <t>cisplatin</t>
    </r>
    <r>
      <rPr>
        <sz val="11"/>
        <color rgb="FF333333"/>
        <rFont val="Calibri"/>
        <family val="2"/>
        <scheme val="minor"/>
      </rPr>
      <t xml:space="preserve"> resistance. </t>
    </r>
    <r>
      <rPr>
        <b/>
        <sz val="11"/>
        <color rgb="FF333333"/>
        <rFont val="Calibri"/>
        <family val="2"/>
        <scheme val="minor"/>
      </rPr>
      <t>2)</t>
    </r>
    <r>
      <rPr>
        <sz val="11"/>
        <color rgb="FF333333"/>
        <rFont val="Calibri"/>
        <family val="2"/>
        <scheme val="minor"/>
      </rPr>
      <t xml:space="preserve"> Treatment with exogenous carbon monoxide (CO), a known inhibitor of CBS, as well as and lentiviral-mediated silencing, mitigate cisplatin resistance in ovarian cancer cells by attenuation of</t>
    </r>
    <r>
      <rPr>
        <b/>
        <sz val="11"/>
        <color rgb="FF333333"/>
        <rFont val="Calibri"/>
        <family val="2"/>
        <scheme val="minor"/>
      </rPr>
      <t xml:space="preserve"> GSH </t>
    </r>
    <r>
      <rPr>
        <sz val="11"/>
        <color rgb="FF333333"/>
        <rFont val="Calibri"/>
        <family val="2"/>
        <scheme val="minor"/>
      </rPr>
      <t>and</t>
    </r>
    <r>
      <rPr>
        <b/>
        <sz val="11"/>
        <color rgb="FF333333"/>
        <rFont val="Calibri"/>
        <family val="2"/>
        <scheme val="minor"/>
      </rPr>
      <t xml:space="preserve"> MT</t>
    </r>
    <r>
      <rPr>
        <sz val="11"/>
        <color rgb="FF333333"/>
        <rFont val="Calibri"/>
        <family val="2"/>
        <scheme val="minor"/>
      </rPr>
      <t xml:space="preserve"> levels. </t>
    </r>
    <r>
      <rPr>
        <b/>
        <sz val="11"/>
        <color rgb="FF333333"/>
        <rFont val="Calibri"/>
        <family val="2"/>
        <scheme val="minor"/>
      </rPr>
      <t>3) Cisplatin</t>
    </r>
    <r>
      <rPr>
        <sz val="11"/>
        <color rgb="FF333333"/>
        <rFont val="Calibri"/>
        <family val="2"/>
        <scheme val="minor"/>
      </rPr>
      <t xml:space="preserve">-resistant cells, treated with both cisplatin and CO, exhibited significantly lower cell viability versus those treated with </t>
    </r>
    <r>
      <rPr>
        <b/>
        <sz val="11"/>
        <color rgb="FF333333"/>
        <rFont val="Calibri"/>
        <family val="2"/>
        <scheme val="minor"/>
      </rPr>
      <t>cisplatin</t>
    </r>
    <r>
      <rPr>
        <sz val="11"/>
        <color rgb="FF333333"/>
        <rFont val="Calibri"/>
        <family val="2"/>
        <scheme val="minor"/>
      </rPr>
      <t xml:space="preserve"> alone. </t>
    </r>
    <r>
      <rPr>
        <b/>
        <sz val="11"/>
        <color rgb="FF333333"/>
        <rFont val="Calibri"/>
        <family val="2"/>
        <scheme val="minor"/>
      </rPr>
      <t>4)</t>
    </r>
    <r>
      <rPr>
        <sz val="11"/>
        <color rgb="FF333333"/>
        <rFont val="Calibri"/>
        <family val="2"/>
        <scheme val="minor"/>
      </rPr>
      <t xml:space="preserve"> the effects of CO in circumventing chemotherapeutic drug resistance is at least in part mediated by the inactivation of endogenous CBS. </t>
    </r>
    <r>
      <rPr>
        <b/>
        <sz val="11"/>
        <color rgb="FF333333"/>
        <rFont val="Calibri"/>
        <family val="2"/>
        <scheme val="minor"/>
      </rPr>
      <t>5)</t>
    </r>
    <r>
      <rPr>
        <sz val="11"/>
        <color rgb="FF333333"/>
        <rFont val="Calibri"/>
        <family val="2"/>
        <scheme val="minor"/>
      </rPr>
      <t xml:space="preserve"> The in vitro effects of </t>
    </r>
    <r>
      <rPr>
        <b/>
        <sz val="11"/>
        <color rgb="FF333333"/>
        <rFont val="Calibri"/>
        <family val="2"/>
        <scheme val="minor"/>
      </rPr>
      <t>CBS</t>
    </r>
    <r>
      <rPr>
        <sz val="11"/>
        <color rgb="FF333333"/>
        <rFont val="Calibri"/>
        <family val="2"/>
        <scheme val="minor"/>
      </rPr>
      <t xml:space="preserve"> silencing can be reversed by exogenous supplementation with the GSH and H2S producing chemical Na2S. </t>
    </r>
    <r>
      <rPr>
        <b/>
        <sz val="11"/>
        <color rgb="FF333333"/>
        <rFont val="Calibri"/>
        <family val="2"/>
        <scheme val="minor"/>
      </rPr>
      <t>6)</t>
    </r>
    <r>
      <rPr>
        <sz val="11"/>
        <color rgb="FF333333"/>
        <rFont val="Calibri"/>
        <family val="2"/>
        <scheme val="minor"/>
      </rPr>
      <t xml:space="preserve"> Silencing CBS in a </t>
    </r>
    <r>
      <rPr>
        <b/>
        <sz val="11"/>
        <color rgb="FF333333"/>
        <rFont val="Calibri"/>
        <family val="2"/>
        <scheme val="minor"/>
      </rPr>
      <t>cisplatin</t>
    </r>
    <r>
      <rPr>
        <sz val="11"/>
        <color rgb="FF333333"/>
        <rFont val="Calibri"/>
        <family val="2"/>
        <scheme val="minor"/>
      </rPr>
      <t xml:space="preserve"> resistant orthotopic model in vivo by siRNA inhibits tumor growth, reduces nodule formation and sensitizes ovarian cancer cells to </t>
    </r>
    <r>
      <rPr>
        <b/>
        <sz val="11"/>
        <color rgb="FF333333"/>
        <rFont val="Calibri"/>
        <family val="2"/>
        <scheme val="minor"/>
      </rPr>
      <t>cisplatin</t>
    </r>
    <r>
      <rPr>
        <sz val="11"/>
        <color rgb="FF333333"/>
        <rFont val="Calibri"/>
        <family val="2"/>
        <scheme val="minor"/>
      </rPr>
      <t xml:space="preserve">. </t>
    </r>
    <r>
      <rPr>
        <b/>
        <sz val="11"/>
        <color rgb="FF333333"/>
        <rFont val="Calibri"/>
        <family val="2"/>
        <scheme val="minor"/>
      </rPr>
      <t>7)</t>
    </r>
    <r>
      <rPr>
        <sz val="11"/>
        <color rgb="FF333333"/>
        <rFont val="Calibri"/>
        <family val="2"/>
        <scheme val="minor"/>
      </rPr>
      <t xml:space="preserve"> CBS also regulates bioenergetics of ovarian cancer cells by regulating mitochondrial ROS production, oxygen consumption and ATP generation. </t>
    </r>
  </si>
  <si>
    <r>
      <rPr>
        <b/>
        <sz val="11"/>
        <color rgb="FF333333"/>
        <rFont val="Calibri"/>
        <family val="2"/>
        <scheme val="minor"/>
      </rPr>
      <t>1) CCDC69</t>
    </r>
    <r>
      <rPr>
        <sz val="11"/>
        <color rgb="FF333333"/>
        <rFont val="Calibri"/>
        <family val="2"/>
        <scheme val="minor"/>
      </rPr>
      <t xml:space="preserve"> expression was significantly elevated in the </t>
    </r>
    <r>
      <rPr>
        <b/>
        <sz val="11"/>
        <color rgb="FF333333"/>
        <rFont val="Calibri"/>
        <family val="2"/>
        <scheme val="minor"/>
      </rPr>
      <t>cisplatin</t>
    </r>
    <r>
      <rPr>
        <sz val="11"/>
        <color rgb="FF333333"/>
        <rFont val="Calibri"/>
        <family val="2"/>
        <scheme val="minor"/>
      </rPr>
      <t xml:space="preserve">-resistant A2780cis cells than the cisplatin-sensitive A2780 cells. </t>
    </r>
    <r>
      <rPr>
        <b/>
        <sz val="11"/>
        <color rgb="FF333333"/>
        <rFont val="Calibri"/>
        <family val="2"/>
        <scheme val="minor"/>
      </rPr>
      <t xml:space="preserve">2) </t>
    </r>
    <r>
      <rPr>
        <sz val="11"/>
        <color rgb="FF333333"/>
        <rFont val="Calibri"/>
        <family val="2"/>
        <scheme val="minor"/>
      </rPr>
      <t xml:space="preserve">stable CCDC69 knockout A2780cis and SKOV3 cells were more sensitive to cisplatin than their corresponding wildtype cells. </t>
    </r>
    <r>
      <rPr>
        <b/>
        <sz val="11"/>
        <color rgb="FF333333"/>
        <rFont val="Calibri"/>
        <family val="2"/>
        <scheme val="minor"/>
      </rPr>
      <t>3)</t>
    </r>
    <r>
      <rPr>
        <sz val="11"/>
        <color rgb="FF333333"/>
        <rFont val="Calibri"/>
        <family val="2"/>
        <scheme val="minor"/>
      </rPr>
      <t xml:space="preserve"> inhibition of CCDC69 expression abrogated the G1 and G2/M arrest. </t>
    </r>
    <r>
      <rPr>
        <b/>
        <sz val="11"/>
        <color rgb="FF333333"/>
        <rFont val="Calibri"/>
        <family val="2"/>
        <scheme val="minor"/>
      </rPr>
      <t xml:space="preserve">4) </t>
    </r>
    <r>
      <rPr>
        <sz val="11"/>
        <color rgb="FF333333"/>
        <rFont val="Calibri"/>
        <family val="2"/>
        <scheme val="minor"/>
      </rPr>
      <t xml:space="preserve">exposure to cisplatin after depletion of CCDC69 increased mitochondrial injury and upregulated p53 acetylation. </t>
    </r>
    <r>
      <rPr>
        <b/>
        <sz val="11"/>
        <color rgb="FF333333"/>
        <rFont val="Calibri"/>
        <family val="2"/>
        <scheme val="minor"/>
      </rPr>
      <t>5)</t>
    </r>
    <r>
      <rPr>
        <sz val="11"/>
        <color rgb="FF333333"/>
        <rFont val="Calibri"/>
        <family val="2"/>
        <scheme val="minor"/>
      </rPr>
      <t xml:space="preserve"> the cisplatin induced cytotoxicity is related to reduced c-Myc protein expression. </t>
    </r>
    <r>
      <rPr>
        <b/>
        <sz val="11"/>
        <color rgb="FF333333"/>
        <rFont val="Calibri"/>
        <family val="2"/>
        <scheme val="minor"/>
      </rPr>
      <t>6)</t>
    </r>
    <r>
      <rPr>
        <sz val="11"/>
        <color rgb="FF333333"/>
        <rFont val="Calibri"/>
        <family val="2"/>
        <scheme val="minor"/>
      </rPr>
      <t xml:space="preserve"> CCDC69 expression was significantly higher in </t>
    </r>
    <r>
      <rPr>
        <b/>
        <sz val="11"/>
        <color rgb="FF333333"/>
        <rFont val="Calibri"/>
        <family val="2"/>
        <scheme val="minor"/>
      </rPr>
      <t>cisplatin</t>
    </r>
    <r>
      <rPr>
        <sz val="11"/>
        <color rgb="FF333333"/>
        <rFont val="Calibri"/>
        <family val="2"/>
        <scheme val="minor"/>
      </rPr>
      <t xml:space="preserve">-sensitive groups compared with chemo-resistant groups from TCGA database. </t>
    </r>
    <r>
      <rPr>
        <b/>
        <sz val="11"/>
        <color rgb="FF333333"/>
        <rFont val="Calibri"/>
        <family val="2"/>
        <scheme val="minor"/>
      </rPr>
      <t>7)</t>
    </r>
    <r>
      <rPr>
        <sz val="11"/>
        <color rgb="FF333333"/>
        <rFont val="Calibri"/>
        <family val="2"/>
        <scheme val="minor"/>
      </rPr>
      <t xml:space="preserve"> High </t>
    </r>
    <r>
      <rPr>
        <b/>
        <sz val="11"/>
        <color rgb="FF333333"/>
        <rFont val="Calibri"/>
        <family val="2"/>
        <scheme val="minor"/>
      </rPr>
      <t>CCDC69</t>
    </r>
    <r>
      <rPr>
        <sz val="11"/>
        <color rgb="FF333333"/>
        <rFont val="Calibri"/>
        <family val="2"/>
        <scheme val="minor"/>
      </rPr>
      <t xml:space="preserve"> expression was associated longer survival. </t>
    </r>
    <r>
      <rPr>
        <b/>
        <sz val="11"/>
        <color rgb="FF333333"/>
        <rFont val="Calibri"/>
        <family val="2"/>
        <scheme val="minor"/>
      </rPr>
      <t>8)</t>
    </r>
    <r>
      <rPr>
        <sz val="11"/>
        <color rgb="FF333333"/>
        <rFont val="Calibri"/>
        <family val="2"/>
        <scheme val="minor"/>
      </rPr>
      <t xml:space="preserve"> </t>
    </r>
    <r>
      <rPr>
        <b/>
        <sz val="11"/>
        <color rgb="FF333333"/>
        <rFont val="Calibri"/>
        <family val="2"/>
        <scheme val="minor"/>
      </rPr>
      <t>CCDC69</t>
    </r>
    <r>
      <rPr>
        <sz val="11"/>
        <color rgb="FF333333"/>
        <rFont val="Calibri"/>
        <family val="2"/>
        <scheme val="minor"/>
      </rPr>
      <t xml:space="preserve"> overexpressing 293 and A2780 cells with wildtype</t>
    </r>
    <r>
      <rPr>
        <b/>
        <sz val="11"/>
        <color rgb="FF333333"/>
        <rFont val="Calibri"/>
        <family val="2"/>
        <scheme val="minor"/>
      </rPr>
      <t xml:space="preserve"> p53</t>
    </r>
    <r>
      <rPr>
        <sz val="11"/>
        <color rgb="FF333333"/>
        <rFont val="Calibri"/>
        <family val="2"/>
        <scheme val="minor"/>
      </rPr>
      <t xml:space="preserve"> and contributes to cisplatin sensitivity following treatment with cisplatin.</t>
    </r>
  </si>
  <si>
    <r>
      <rPr>
        <b/>
        <sz val="11"/>
        <color rgb="FF333333"/>
        <rFont val="Calibri"/>
        <family val="2"/>
        <scheme val="minor"/>
      </rPr>
      <t xml:space="preserve">1) </t>
    </r>
    <r>
      <rPr>
        <sz val="11"/>
        <color rgb="FF333333"/>
        <rFont val="Calibri"/>
        <family val="2"/>
        <scheme val="minor"/>
      </rPr>
      <t xml:space="preserve">Elevated </t>
    </r>
    <r>
      <rPr>
        <b/>
        <sz val="11"/>
        <color rgb="FF333333"/>
        <rFont val="Calibri"/>
        <family val="2"/>
        <scheme val="minor"/>
      </rPr>
      <t>CCL2</t>
    </r>
    <r>
      <rPr>
        <sz val="11"/>
        <color rgb="FF333333"/>
        <rFont val="Calibri"/>
        <family val="2"/>
        <scheme val="minor"/>
      </rPr>
      <t xml:space="preserve"> expression was found in three non‐MDR </t>
    </r>
    <r>
      <rPr>
        <b/>
        <sz val="11"/>
        <color rgb="FF333333"/>
        <rFont val="Calibri"/>
        <family val="2"/>
        <scheme val="minor"/>
      </rPr>
      <t>paclitaxel</t>
    </r>
    <r>
      <rPr>
        <sz val="11"/>
        <color rgb="FF333333"/>
        <rFont val="Calibri"/>
        <family val="2"/>
        <scheme val="minor"/>
      </rPr>
      <t xml:space="preserve"> resistant </t>
    </r>
    <r>
      <rPr>
        <b/>
        <sz val="11"/>
        <color rgb="FF333333"/>
        <rFont val="Calibri"/>
        <family val="2"/>
        <scheme val="minor"/>
      </rPr>
      <t>ovarian</t>
    </r>
    <r>
      <rPr>
        <sz val="11"/>
        <color rgb="FF333333"/>
        <rFont val="Calibri"/>
        <family val="2"/>
        <scheme val="minor"/>
      </rPr>
      <t xml:space="preserve"> cancer lines ES‐2/TP, MES‐OV/TP and OVCAR‐3/TP, compared to parental cells. </t>
    </r>
    <r>
      <rPr>
        <b/>
        <sz val="11"/>
        <color rgb="FF333333"/>
        <rFont val="Calibri"/>
        <family val="2"/>
        <scheme val="minor"/>
      </rPr>
      <t>2)</t>
    </r>
    <r>
      <rPr>
        <sz val="11"/>
        <color rgb="FF333333"/>
        <rFont val="Calibri"/>
        <family val="2"/>
        <scheme val="minor"/>
      </rPr>
      <t xml:space="preserve"> Mice xenografted with these cells were treated with the anti‐human CCL2 antibody CNTO 888 and the anti‐mouse MCP‐1 antibody C1142, with and without paclitaxel or </t>
    </r>
    <r>
      <rPr>
        <b/>
        <sz val="11"/>
        <color rgb="FF333333"/>
        <rFont val="Calibri"/>
        <family val="2"/>
        <scheme val="minor"/>
      </rPr>
      <t>carboplatin</t>
    </r>
    <r>
      <rPr>
        <sz val="11"/>
        <color rgb="FF333333"/>
        <rFont val="Calibri"/>
        <family val="2"/>
        <scheme val="minor"/>
      </rPr>
      <t xml:space="preserve">: an additive effect of CCL2 blockade on the efficacy of paclitaxel and carboplatin. </t>
    </r>
    <r>
      <rPr>
        <b/>
        <sz val="11"/>
        <color rgb="FF333333"/>
        <rFont val="Calibri"/>
        <family val="2"/>
        <scheme val="minor"/>
      </rPr>
      <t>3)</t>
    </r>
    <r>
      <rPr>
        <sz val="11"/>
        <color rgb="FF333333"/>
        <rFont val="Calibri"/>
        <family val="2"/>
        <scheme val="minor"/>
      </rPr>
      <t xml:space="preserve"> This therapeutic effect was largely due to inhibition of mouse stromal CCL2.</t>
    </r>
    <r>
      <rPr>
        <b/>
        <sz val="11"/>
        <color rgb="FF333333"/>
        <rFont val="Calibri"/>
        <family val="2"/>
        <scheme val="minor"/>
      </rPr>
      <t xml:space="preserve"> 4) </t>
    </r>
    <r>
      <rPr>
        <sz val="11"/>
        <color rgb="FF333333"/>
        <rFont val="Calibri"/>
        <family val="2"/>
        <scheme val="minor"/>
      </rPr>
      <t>a low expression of CCL2 was associated with better outcome in</t>
    </r>
    <r>
      <rPr>
        <b/>
        <sz val="11"/>
        <color rgb="FF333333"/>
        <rFont val="Calibri"/>
        <family val="2"/>
        <scheme val="minor"/>
      </rPr>
      <t xml:space="preserve"> breast</t>
    </r>
    <r>
      <rPr>
        <sz val="11"/>
        <color rgb="FF333333"/>
        <rFont val="Calibri"/>
        <family val="2"/>
        <scheme val="minor"/>
      </rPr>
      <t xml:space="preserve"> cancer patients. </t>
    </r>
  </si>
  <si>
    <r>
      <rPr>
        <b/>
        <sz val="11"/>
        <color rgb="FF333333"/>
        <rFont val="Calibri"/>
        <family val="2"/>
        <scheme val="minor"/>
      </rPr>
      <t xml:space="preserve">1) </t>
    </r>
    <r>
      <rPr>
        <sz val="11"/>
        <color rgb="FF333333"/>
        <rFont val="Calibri"/>
        <family val="2"/>
        <scheme val="minor"/>
      </rPr>
      <t xml:space="preserve">CCL25-CCR9 interactions in OvCa cells increased anti-apoptotic signaling cascades in OvCa cells, which rescued cells from </t>
    </r>
    <r>
      <rPr>
        <b/>
        <sz val="11"/>
        <color rgb="FF333333"/>
        <rFont val="Calibri"/>
        <family val="2"/>
        <scheme val="minor"/>
      </rPr>
      <t>cisplatin</t>
    </r>
    <r>
      <rPr>
        <sz val="11"/>
        <color rgb="FF333333"/>
        <rFont val="Calibri"/>
        <family val="2"/>
        <scheme val="minor"/>
      </rPr>
      <t xml:space="preserve">-induced cell death. </t>
    </r>
    <r>
      <rPr>
        <b/>
        <sz val="11"/>
        <color rgb="FF333333"/>
        <rFont val="Calibri"/>
        <family val="2"/>
        <scheme val="minor"/>
      </rPr>
      <t xml:space="preserve">2) </t>
    </r>
    <r>
      <rPr>
        <sz val="11"/>
        <color rgb="FF333333"/>
        <rFont val="Calibri"/>
        <family val="2"/>
        <scheme val="minor"/>
      </rPr>
      <t xml:space="preserve">CCL25-CCR9 interactions mediated Akt, activation as well as GSK-3β and FKHR phosphorylation in a PI3K-dependent and FAK-independent fashion. </t>
    </r>
    <r>
      <rPr>
        <b/>
        <sz val="11"/>
        <color rgb="FF333333"/>
        <rFont val="Calibri"/>
        <family val="2"/>
        <scheme val="minor"/>
      </rPr>
      <t>3)</t>
    </r>
    <r>
      <rPr>
        <sz val="11"/>
        <color rgb="FF333333"/>
        <rFont val="Calibri"/>
        <family val="2"/>
        <scheme val="minor"/>
      </rPr>
      <t xml:space="preserve"> Expression of CCR9 and CCL25 was significantly higher (p &lt; 0.0001) in </t>
    </r>
    <r>
      <rPr>
        <b/>
        <sz val="11"/>
        <color rgb="FF333333"/>
        <rFont val="Calibri"/>
        <family val="2"/>
        <scheme val="minor"/>
      </rPr>
      <t>NSCLC</t>
    </r>
    <r>
      <rPr>
        <sz val="11"/>
        <color rgb="FF333333"/>
        <rFont val="Calibri"/>
        <family val="2"/>
        <scheme val="minor"/>
      </rPr>
      <t xml:space="preserve"> tissues and serum respectively. </t>
    </r>
    <r>
      <rPr>
        <b/>
        <sz val="11"/>
        <color rgb="FF333333"/>
        <rFont val="Calibri"/>
        <family val="2"/>
        <scheme val="minor"/>
      </rPr>
      <t xml:space="preserve">4) </t>
    </r>
    <r>
      <rPr>
        <sz val="11"/>
        <color rgb="FF333333"/>
        <rFont val="Calibri"/>
        <family val="2"/>
        <scheme val="minor"/>
      </rPr>
      <t xml:space="preserve">expression of both CCR9 and CCL25 was significantly higher in adenocarcinomas (ACs) compared to squamous cell carcinomas (SCCs) (p = 0.04, and p &lt; 0.0001). </t>
    </r>
  </si>
  <si>
    <r>
      <rPr>
        <b/>
        <sz val="11"/>
        <color rgb="FF333333"/>
        <rFont val="Calibri"/>
        <family val="2"/>
        <scheme val="minor"/>
      </rPr>
      <t>1)</t>
    </r>
    <r>
      <rPr>
        <sz val="11"/>
        <color rgb="FF333333"/>
        <rFont val="Calibri"/>
        <family val="2"/>
        <scheme val="minor"/>
      </rPr>
      <t xml:space="preserve"> the </t>
    </r>
    <r>
      <rPr>
        <b/>
        <sz val="11"/>
        <color rgb="FF333333"/>
        <rFont val="Calibri"/>
        <family val="2"/>
        <scheme val="minor"/>
      </rPr>
      <t>cisplatin</t>
    </r>
    <r>
      <rPr>
        <sz val="11"/>
        <color rgb="FF333333"/>
        <rFont val="Calibri"/>
        <family val="2"/>
        <scheme val="minor"/>
      </rPr>
      <t xml:space="preserve">-induced </t>
    </r>
    <r>
      <rPr>
        <b/>
        <sz val="11"/>
        <color rgb="FF333333"/>
        <rFont val="Calibri"/>
        <family val="2"/>
        <scheme val="minor"/>
      </rPr>
      <t>CCL5</t>
    </r>
    <r>
      <rPr>
        <sz val="11"/>
        <color rgb="FF333333"/>
        <rFont val="Calibri"/>
        <family val="2"/>
        <scheme val="minor"/>
      </rPr>
      <t xml:space="preserve"> secretion derived from cancer-associated fibroblasts (CAFs) promoted </t>
    </r>
    <r>
      <rPr>
        <b/>
        <sz val="11"/>
        <color rgb="FF333333"/>
        <rFont val="Calibri"/>
        <family val="2"/>
        <scheme val="minor"/>
      </rPr>
      <t>ovarian</t>
    </r>
    <r>
      <rPr>
        <sz val="11"/>
        <color rgb="FF333333"/>
        <rFont val="Calibri"/>
        <family val="2"/>
        <scheme val="minor"/>
      </rPr>
      <t xml:space="preserve"> cancer cell resistance to cisplatin. </t>
    </r>
    <r>
      <rPr>
        <b/>
        <sz val="11"/>
        <color rgb="FF333333"/>
        <rFont val="Calibri"/>
        <family val="2"/>
        <scheme val="minor"/>
      </rPr>
      <t xml:space="preserve">2) </t>
    </r>
    <r>
      <rPr>
        <sz val="11"/>
        <color rgb="FF333333"/>
        <rFont val="Calibri"/>
        <family val="2"/>
        <scheme val="minor"/>
      </rPr>
      <t xml:space="preserve">Via a cytokine chip assay, a spectrum of secreted proteins that were derived from the CAFs were induced by cisplatin. </t>
    </r>
    <r>
      <rPr>
        <b/>
        <sz val="11"/>
        <color rgb="FF333333"/>
        <rFont val="Calibri"/>
        <family val="2"/>
        <scheme val="minor"/>
      </rPr>
      <t xml:space="preserve">3) </t>
    </r>
    <r>
      <rPr>
        <sz val="11"/>
        <color rgb="FF333333"/>
        <rFont val="Calibri"/>
        <family val="2"/>
        <scheme val="minor"/>
      </rPr>
      <t xml:space="preserve">Among these, CCL5 significantly attenuated the cytotoxic effect of cisplatin chemotherapy in vitro and in vivo. </t>
    </r>
    <r>
      <rPr>
        <b/>
        <sz val="11"/>
        <color rgb="FF333333"/>
        <rFont val="Calibri"/>
        <family val="2"/>
        <scheme val="minor"/>
      </rPr>
      <t>4)</t>
    </r>
    <r>
      <rPr>
        <sz val="11"/>
        <color rgb="FF333333"/>
        <rFont val="Calibri"/>
        <family val="2"/>
        <scheme val="minor"/>
      </rPr>
      <t xml:space="preserve"> CCL5 expression was also detected in 62 serous </t>
    </r>
    <r>
      <rPr>
        <b/>
        <sz val="11"/>
        <color rgb="FF333333"/>
        <rFont val="Calibri"/>
        <family val="2"/>
        <scheme val="minor"/>
      </rPr>
      <t>ovarian</t>
    </r>
    <r>
      <rPr>
        <sz val="11"/>
        <color rgb="FF333333"/>
        <rFont val="Calibri"/>
        <family val="2"/>
        <scheme val="minor"/>
      </rPr>
      <t xml:space="preserve"> cancer patient tissue specimens using IHC: chemotherapy resistant patients displayed higher expression of CCL5 than the chemo-sensitive patients (P&lt;0.05). </t>
    </r>
    <r>
      <rPr>
        <b/>
        <sz val="11"/>
        <color rgb="FF333333"/>
        <rFont val="Calibri"/>
        <family val="2"/>
        <scheme val="minor"/>
      </rPr>
      <t>5)</t>
    </r>
    <r>
      <rPr>
        <sz val="11"/>
        <color rgb="FF333333"/>
        <rFont val="Calibri"/>
        <family val="2"/>
        <scheme val="minor"/>
      </rPr>
      <t xml:space="preserve"> CCL5 notably increased STAT3 and Akt phosphorylation levels in ovarian cancer cells. </t>
    </r>
  </si>
  <si>
    <r>
      <rPr>
        <b/>
        <sz val="11"/>
        <color rgb="FF333333"/>
        <rFont val="Calibri"/>
        <family val="2"/>
        <scheme val="minor"/>
      </rPr>
      <t>1) CCN2</t>
    </r>
    <r>
      <rPr>
        <sz val="11"/>
        <color rgb="FF333333"/>
        <rFont val="Calibri"/>
        <family val="2"/>
        <scheme val="minor"/>
      </rPr>
      <t xml:space="preserve"> was upregulated in human </t>
    </r>
    <r>
      <rPr>
        <b/>
        <sz val="11"/>
        <color rgb="FF333333"/>
        <rFont val="Calibri"/>
        <family val="2"/>
        <scheme val="minor"/>
      </rPr>
      <t>osteosarcoma</t>
    </r>
    <r>
      <rPr>
        <sz val="11"/>
        <color rgb="FF333333"/>
        <rFont val="Calibri"/>
        <family val="2"/>
        <scheme val="minor"/>
      </rPr>
      <t xml:space="preserve"> cells after treatment with </t>
    </r>
    <r>
      <rPr>
        <b/>
        <sz val="11"/>
        <color rgb="FF333333"/>
        <rFont val="Calibri"/>
        <family val="2"/>
        <scheme val="minor"/>
      </rPr>
      <t>cisplatin</t>
    </r>
    <r>
      <rPr>
        <sz val="11"/>
        <color rgb="FF333333"/>
        <rFont val="Calibri"/>
        <family val="2"/>
        <scheme val="minor"/>
      </rPr>
      <t xml:space="preserve">. </t>
    </r>
    <r>
      <rPr>
        <b/>
        <sz val="11"/>
        <color rgb="FF333333"/>
        <rFont val="Calibri"/>
        <family val="2"/>
        <scheme val="minor"/>
      </rPr>
      <t>2)</t>
    </r>
    <r>
      <rPr>
        <sz val="11"/>
        <color rgb="FF333333"/>
        <rFont val="Calibri"/>
        <family val="2"/>
        <scheme val="minor"/>
      </rPr>
      <t xml:space="preserve"> overexpression of CCN2 increased the resistance to </t>
    </r>
    <r>
      <rPr>
        <b/>
        <sz val="11"/>
        <color rgb="FF333333"/>
        <rFont val="Calibri"/>
        <family val="2"/>
        <scheme val="minor"/>
      </rPr>
      <t>cisplatin</t>
    </r>
    <r>
      <rPr>
        <sz val="11"/>
        <color rgb="FF333333"/>
        <rFont val="Calibri"/>
        <family val="2"/>
        <scheme val="minor"/>
      </rPr>
      <t xml:space="preserve">-mediated cell apoptosis. </t>
    </r>
    <r>
      <rPr>
        <b/>
        <sz val="11"/>
        <color rgb="FF333333"/>
        <rFont val="Calibri"/>
        <family val="2"/>
        <scheme val="minor"/>
      </rPr>
      <t>3)</t>
    </r>
    <r>
      <rPr>
        <sz val="11"/>
        <color rgb="FF333333"/>
        <rFont val="Calibri"/>
        <family val="2"/>
        <scheme val="minor"/>
      </rPr>
      <t xml:space="preserve"> reduction of CCN2 by CCN2 shRNA promoted the chemotherapeutic effect of cisplatin. </t>
    </r>
    <r>
      <rPr>
        <b/>
        <sz val="11"/>
        <color rgb="FF333333"/>
        <rFont val="Calibri"/>
        <family val="2"/>
        <scheme val="minor"/>
      </rPr>
      <t xml:space="preserve">4) </t>
    </r>
    <r>
      <rPr>
        <sz val="11"/>
        <color rgb="FF333333"/>
        <rFont val="Calibri"/>
        <family val="2"/>
        <scheme val="minor"/>
      </rPr>
      <t xml:space="preserve">CCN2 provided resistance to cisplatin-induced apoptosis through upregulation of </t>
    </r>
    <r>
      <rPr>
        <b/>
        <sz val="11"/>
        <color rgb="FF333333"/>
        <rFont val="Calibri"/>
        <family val="2"/>
        <scheme val="minor"/>
      </rPr>
      <t>Bcl-xL</t>
    </r>
    <r>
      <rPr>
        <sz val="11"/>
        <color rgb="FF333333"/>
        <rFont val="Calibri"/>
        <family val="2"/>
        <scheme val="minor"/>
      </rPr>
      <t xml:space="preserve"> and </t>
    </r>
    <r>
      <rPr>
        <b/>
        <sz val="11"/>
        <color rgb="FF333333"/>
        <rFont val="Calibri"/>
        <family val="2"/>
        <scheme val="minor"/>
      </rPr>
      <t>survivin</t>
    </r>
    <r>
      <rPr>
        <sz val="11"/>
        <color rgb="FF333333"/>
        <rFont val="Calibri"/>
        <family val="2"/>
        <scheme val="minor"/>
      </rPr>
      <t xml:space="preserve">. </t>
    </r>
    <r>
      <rPr>
        <b/>
        <sz val="11"/>
        <color rgb="FF333333"/>
        <rFont val="Calibri"/>
        <family val="2"/>
        <scheme val="minor"/>
      </rPr>
      <t xml:space="preserve">5) </t>
    </r>
    <r>
      <rPr>
        <sz val="11"/>
        <color rgb="FF333333"/>
        <rFont val="Calibri"/>
        <family val="2"/>
        <scheme val="minor"/>
      </rPr>
      <t>Knockdown of Bcl-xL or survivin removed the CCN2-mediated resistance to apoptosis induced by cisplatin.</t>
    </r>
    <r>
      <rPr>
        <b/>
        <sz val="11"/>
        <color rgb="FF333333"/>
        <rFont val="Calibri"/>
        <family val="2"/>
        <scheme val="minor"/>
      </rPr>
      <t xml:space="preserve"> 6) </t>
    </r>
    <r>
      <rPr>
        <sz val="11"/>
        <color rgb="FF333333"/>
        <rFont val="Calibri"/>
        <family val="2"/>
        <scheme val="minor"/>
      </rPr>
      <t xml:space="preserve">CCN2 also promoted </t>
    </r>
    <r>
      <rPr>
        <b/>
        <sz val="11"/>
        <color rgb="FF333333"/>
        <rFont val="Calibri"/>
        <family val="2"/>
        <scheme val="minor"/>
      </rPr>
      <t>FAK, MEK</t>
    </r>
    <r>
      <rPr>
        <sz val="11"/>
        <color rgb="FF333333"/>
        <rFont val="Calibri"/>
        <family val="2"/>
        <scheme val="minor"/>
      </rPr>
      <t xml:space="preserve">, and </t>
    </r>
    <r>
      <rPr>
        <b/>
        <sz val="11"/>
        <color rgb="FF333333"/>
        <rFont val="Calibri"/>
        <family val="2"/>
        <scheme val="minor"/>
      </rPr>
      <t>ERK</t>
    </r>
    <r>
      <rPr>
        <sz val="11"/>
        <color rgb="FF333333"/>
        <rFont val="Calibri"/>
        <family val="2"/>
        <scheme val="minor"/>
      </rPr>
      <t xml:space="preserve"> survival signaling pathways to enhance tumor survival during cisplatin treatment. </t>
    </r>
    <r>
      <rPr>
        <b/>
        <sz val="11"/>
        <color rgb="FF333333"/>
        <rFont val="Calibri"/>
        <family val="2"/>
        <scheme val="minor"/>
      </rPr>
      <t>7)</t>
    </r>
    <r>
      <rPr>
        <sz val="11"/>
        <color rgb="FF333333"/>
        <rFont val="Calibri"/>
        <family val="2"/>
        <scheme val="minor"/>
      </rPr>
      <t xml:space="preserve"> In a mouse xenograft model, overexpression of CCN2 promoted resistance to cisplatin. However, knockdown of CCN2 increased the therapeutic effect of cisplatin. </t>
    </r>
  </si>
  <si>
    <r>
      <rPr>
        <b/>
        <sz val="11"/>
        <color rgb="FF333333"/>
        <rFont val="Calibri"/>
        <family val="2"/>
        <scheme val="minor"/>
      </rPr>
      <t>1)</t>
    </r>
    <r>
      <rPr>
        <sz val="11"/>
        <color rgb="FF333333"/>
        <rFont val="Calibri"/>
        <family val="2"/>
        <scheme val="minor"/>
      </rPr>
      <t xml:space="preserve"> loss of </t>
    </r>
    <r>
      <rPr>
        <b/>
        <sz val="11"/>
        <color rgb="FF333333"/>
        <rFont val="Calibri"/>
        <family val="2"/>
        <scheme val="minor"/>
      </rPr>
      <t>cyclin A2</t>
    </r>
    <r>
      <rPr>
        <sz val="11"/>
        <color rgb="FF333333"/>
        <rFont val="Calibri"/>
        <family val="2"/>
        <scheme val="minor"/>
      </rPr>
      <t xml:space="preserve"> causes high rates of double-strand breaks (DSB) in MCF-7 and MDA-MB-231 cells.</t>
    </r>
    <r>
      <rPr>
        <b/>
        <sz val="11"/>
        <color rgb="FF333333"/>
        <rFont val="Calibri"/>
        <family val="2"/>
        <scheme val="minor"/>
      </rPr>
      <t xml:space="preserve"> 2) </t>
    </r>
    <r>
      <rPr>
        <sz val="11"/>
        <color rgb="FF333333"/>
        <rFont val="Calibri"/>
        <family val="2"/>
        <scheme val="minor"/>
      </rPr>
      <t xml:space="preserve">The increased DSB was due to defective HR-mediated repair of the breaks, resulting from reduced MRE11 and RAD51 proteins. </t>
    </r>
    <r>
      <rPr>
        <b/>
        <sz val="11"/>
        <color rgb="FF333333"/>
        <rFont val="Calibri"/>
        <family val="2"/>
        <scheme val="minor"/>
      </rPr>
      <t xml:space="preserve">3) </t>
    </r>
    <r>
      <rPr>
        <sz val="11"/>
        <color rgb="FF333333"/>
        <rFont val="Calibri"/>
        <family val="2"/>
        <scheme val="minor"/>
      </rPr>
      <t xml:space="preserve">Cyclin A2 mediates MRE11 abundance through its MRE11 mRNA binding property and RAD51 abundance through inhibition of proteasome degradation of RAD51. </t>
    </r>
    <r>
      <rPr>
        <b/>
        <sz val="11"/>
        <color rgb="FF333333"/>
        <rFont val="Calibri"/>
        <family val="2"/>
        <scheme val="minor"/>
      </rPr>
      <t>4)</t>
    </r>
    <r>
      <rPr>
        <sz val="11"/>
        <color rgb="FF333333"/>
        <rFont val="Calibri"/>
        <family val="2"/>
        <scheme val="minor"/>
      </rPr>
      <t xml:space="preserve"> cyclin A2 depletion hypersensitized the cells to DNA damaging agents, such as </t>
    </r>
    <r>
      <rPr>
        <b/>
        <sz val="11"/>
        <color rgb="FF333333"/>
        <rFont val="Calibri"/>
        <family val="2"/>
        <scheme val="minor"/>
      </rPr>
      <t>cisplatin</t>
    </r>
    <r>
      <rPr>
        <sz val="11"/>
        <color rgb="FF333333"/>
        <rFont val="Calibri"/>
        <family val="2"/>
        <scheme val="minor"/>
      </rPr>
      <t> and melphalan. </t>
    </r>
    <r>
      <rPr>
        <b/>
        <sz val="11"/>
        <color rgb="FF333333"/>
        <rFont val="Calibri"/>
        <family val="2"/>
        <scheme val="minor"/>
      </rPr>
      <t xml:space="preserve">5) </t>
    </r>
    <r>
      <rPr>
        <sz val="11"/>
        <color rgb="FF333333"/>
        <rFont val="Calibri"/>
        <family val="2"/>
        <scheme val="minor"/>
      </rPr>
      <t xml:space="preserve">overexpression of cyclin A2 is an indicator of a poor prognosis of various malignancies including </t>
    </r>
    <r>
      <rPr>
        <b/>
        <sz val="11"/>
        <color rgb="FF333333"/>
        <rFont val="Calibri"/>
        <family val="2"/>
        <scheme val="minor"/>
      </rPr>
      <t>endometrial</t>
    </r>
    <r>
      <rPr>
        <sz val="11"/>
        <color rgb="FF333333"/>
        <rFont val="Calibri"/>
        <family val="2"/>
        <scheme val="minor"/>
      </rPr>
      <t xml:space="preserve"> carcinoma. </t>
    </r>
    <r>
      <rPr>
        <b/>
        <sz val="11"/>
        <color rgb="FF333333"/>
        <rFont val="Calibri"/>
        <family val="2"/>
        <scheme val="minor"/>
      </rPr>
      <t xml:space="preserve">6) </t>
    </r>
    <r>
      <rPr>
        <sz val="11"/>
        <color rgb="FF333333"/>
        <rFont val="Calibri"/>
        <family val="2"/>
        <scheme val="minor"/>
      </rPr>
      <t xml:space="preserve">The expression of cyclin A2 protein was increased in advanced-stage and </t>
    </r>
    <r>
      <rPr>
        <b/>
        <sz val="11"/>
        <color rgb="FF333333"/>
        <rFont val="Calibri"/>
        <family val="2"/>
        <scheme val="minor"/>
      </rPr>
      <t>chemotherapy-refractory</t>
    </r>
    <r>
      <rPr>
        <sz val="11"/>
        <color rgb="FF333333"/>
        <rFont val="Calibri"/>
        <family val="2"/>
        <scheme val="minor"/>
      </rPr>
      <t xml:space="preserve"> stage endometrial carcinomas compared with that in early-stage tumours. </t>
    </r>
    <r>
      <rPr>
        <b/>
        <sz val="11"/>
        <color rgb="FF333333"/>
        <rFont val="Calibri"/>
        <family val="2"/>
        <scheme val="minor"/>
      </rPr>
      <t xml:space="preserve">7) </t>
    </r>
    <r>
      <rPr>
        <sz val="11"/>
        <color rgb="FF333333"/>
        <rFont val="Calibri"/>
        <family val="2"/>
        <scheme val="minor"/>
      </rPr>
      <t xml:space="preserve">The expression levels of </t>
    </r>
    <r>
      <rPr>
        <b/>
        <sz val="11"/>
        <color rgb="FF333333"/>
        <rFont val="Calibri"/>
        <family val="2"/>
        <scheme val="minor"/>
      </rPr>
      <t>cyclin A2</t>
    </r>
    <r>
      <rPr>
        <sz val="11"/>
        <color rgb="FF333333"/>
        <rFont val="Calibri"/>
        <family val="2"/>
        <scheme val="minor"/>
      </rPr>
      <t xml:space="preserve"> in endometrial carcinoma cell lines correlated positively with the IC(50) for</t>
    </r>
    <r>
      <rPr>
        <b/>
        <sz val="11"/>
        <color rgb="FF333333"/>
        <rFont val="Calibri"/>
        <family val="2"/>
        <scheme val="minor"/>
      </rPr>
      <t xml:space="preserve"> cisplatin</t>
    </r>
    <r>
      <rPr>
        <sz val="11"/>
        <color rgb="FF333333"/>
        <rFont val="Calibri"/>
        <family val="2"/>
        <scheme val="minor"/>
      </rPr>
      <t xml:space="preserve">. Endometrial carcinoma HHUA cells that overexpressed cyclin A2 showed increased resistance to </t>
    </r>
    <r>
      <rPr>
        <b/>
        <sz val="11"/>
        <color rgb="FF333333"/>
        <rFont val="Calibri"/>
        <family val="2"/>
        <scheme val="minor"/>
      </rPr>
      <t>cisplatin</t>
    </r>
    <r>
      <rPr>
        <sz val="11"/>
        <color rgb="FF333333"/>
        <rFont val="Calibri"/>
        <family val="2"/>
        <scheme val="minor"/>
      </rPr>
      <t xml:space="preserve"> in vitro and in vivo,</t>
    </r>
    <r>
      <rPr>
        <b/>
        <sz val="11"/>
        <color rgb="FF333333"/>
        <rFont val="Calibri"/>
        <family val="2"/>
        <scheme val="minor"/>
      </rPr>
      <t xml:space="preserve"> 8)</t>
    </r>
    <r>
      <rPr>
        <sz val="11"/>
        <color rgb="FF333333"/>
        <rFont val="Calibri"/>
        <family val="2"/>
        <scheme val="minor"/>
      </rPr>
      <t xml:space="preserve"> via the activation of a survival pathway, the inositol-3 phosphate kinase (PI3K) cascade. 5) An Akt-binding protein, periplakin, is a novel target of cyclin A2. </t>
    </r>
  </si>
  <si>
    <r>
      <rPr>
        <b/>
        <sz val="11"/>
        <color rgb="FF333333"/>
        <rFont val="Calibri"/>
        <family val="2"/>
        <scheme val="minor"/>
      </rPr>
      <t>1)</t>
    </r>
    <r>
      <rPr>
        <sz val="11"/>
        <color rgb="FF333333"/>
        <rFont val="Calibri"/>
        <family val="2"/>
        <scheme val="minor"/>
      </rPr>
      <t xml:space="preserve"> </t>
    </r>
    <r>
      <rPr>
        <b/>
        <sz val="11"/>
        <color rgb="FF333333"/>
        <rFont val="Calibri"/>
        <family val="2"/>
        <scheme val="minor"/>
      </rPr>
      <t>CCND1</t>
    </r>
    <r>
      <rPr>
        <sz val="11"/>
        <color rgb="FF333333"/>
        <rFont val="Calibri"/>
        <family val="2"/>
        <scheme val="minor"/>
      </rPr>
      <t xml:space="preserve"> was the most significantly differentially expressed gene when comparing the parental and CDDP-resistant testicular germ cell tumor cells. </t>
    </r>
    <r>
      <rPr>
        <b/>
        <sz val="11"/>
        <color rgb="FF333333"/>
        <rFont val="Calibri"/>
        <family val="2"/>
        <scheme val="minor"/>
      </rPr>
      <t>2)</t>
    </r>
    <r>
      <rPr>
        <sz val="11"/>
        <color rgb="FF333333"/>
        <rFont val="Calibri"/>
        <family val="2"/>
        <scheme val="minor"/>
      </rPr>
      <t xml:space="preserve"> CCND1 was also found to be dramatically overexpressed both in induced and intrinsically resistant samples of </t>
    </r>
    <r>
      <rPr>
        <b/>
        <sz val="11"/>
        <color rgb="FF333333"/>
        <rFont val="Calibri"/>
        <family val="2"/>
        <scheme val="minor"/>
      </rPr>
      <t>ovarian</t>
    </r>
    <r>
      <rPr>
        <sz val="11"/>
        <color rgb="FF333333"/>
        <rFont val="Calibri"/>
        <family val="2"/>
        <scheme val="minor"/>
      </rPr>
      <t xml:space="preserve"> and </t>
    </r>
    <r>
      <rPr>
        <b/>
        <sz val="11"/>
        <color rgb="FF333333"/>
        <rFont val="Calibri"/>
        <family val="2"/>
        <scheme val="minor"/>
      </rPr>
      <t>prostate</t>
    </r>
    <r>
      <rPr>
        <sz val="11"/>
        <color rgb="FF333333"/>
        <rFont val="Calibri"/>
        <family val="2"/>
        <scheme val="minor"/>
      </rPr>
      <t xml:space="preserve"> cancer. </t>
    </r>
    <r>
      <rPr>
        <b/>
        <sz val="11"/>
        <color rgb="FF333333"/>
        <rFont val="Calibri"/>
        <family val="2"/>
        <scheme val="minor"/>
      </rPr>
      <t xml:space="preserve">3) </t>
    </r>
    <r>
      <rPr>
        <sz val="11"/>
        <color rgb="FF333333"/>
        <rFont val="Calibri"/>
        <family val="2"/>
        <scheme val="minor"/>
      </rPr>
      <t xml:space="preserve">combined CCND1 knockdown using small-interfering RNA and cisplatin treatment inhibited cell growth in vitro significantly more effectively than any of these single treatments. </t>
    </r>
  </si>
  <si>
    <r>
      <rPr>
        <b/>
        <sz val="11"/>
        <color rgb="FF333333"/>
        <rFont val="Calibri"/>
        <family val="2"/>
        <scheme val="minor"/>
      </rPr>
      <t xml:space="preserve">1) </t>
    </r>
    <r>
      <rPr>
        <sz val="11"/>
        <color rgb="FF333333"/>
        <rFont val="Calibri"/>
        <family val="2"/>
        <scheme val="minor"/>
      </rPr>
      <t>CCL25-</t>
    </r>
    <r>
      <rPr>
        <b/>
        <sz val="11"/>
        <color rgb="FF333333"/>
        <rFont val="Calibri"/>
        <family val="2"/>
        <scheme val="minor"/>
      </rPr>
      <t>CCR9</t>
    </r>
    <r>
      <rPr>
        <sz val="11"/>
        <color rgb="FF333333"/>
        <rFont val="Calibri"/>
        <family val="2"/>
        <scheme val="minor"/>
      </rPr>
      <t xml:space="preserve"> interactions in OvCa cells increased anti-apoptotic signaling cascades in OvCa cells, which rescued cells from cisplatin-induced cell death. </t>
    </r>
    <r>
      <rPr>
        <b/>
        <sz val="11"/>
        <color rgb="FF333333"/>
        <rFont val="Calibri"/>
        <family val="2"/>
        <scheme val="minor"/>
      </rPr>
      <t xml:space="preserve">2) </t>
    </r>
    <r>
      <rPr>
        <sz val="11"/>
        <color rgb="FF333333"/>
        <rFont val="Calibri"/>
        <family val="2"/>
        <scheme val="minor"/>
      </rPr>
      <t xml:space="preserve">CCL25-CCR9 interactions mediated Akt, activation as well as GSK-3β and FKHR phosphorylation in a PI3K-dependent and FAK-independent fashion. </t>
    </r>
    <r>
      <rPr>
        <b/>
        <sz val="11"/>
        <color rgb="FF333333"/>
        <rFont val="Calibri"/>
        <family val="2"/>
        <scheme val="minor"/>
      </rPr>
      <t>3)</t>
    </r>
    <r>
      <rPr>
        <sz val="11"/>
        <color rgb="FF333333"/>
        <rFont val="Calibri"/>
        <family val="2"/>
        <scheme val="minor"/>
      </rPr>
      <t xml:space="preserve"> significantly higher (p&lt;0.001) expression of CCR9 and CCL25 in serous adenocarcinoma followed by serous papillary cystadenoma, endometrioid adenocarcinoma, mucinous adenocarcinoma, cystadenoma, mucinous boderline adenocarcinoma, clear cell carcinoma, granulosa cell tumor, dysgerminoma, transitional cell carcinoma, Brenner tumor, yolk sac tumor, adenocarcinoma and fibroma cases, compared to non-neoplastic </t>
    </r>
    <r>
      <rPr>
        <b/>
        <sz val="11"/>
        <color rgb="FF333333"/>
        <rFont val="Calibri"/>
        <family val="2"/>
        <scheme val="minor"/>
      </rPr>
      <t>ovarian</t>
    </r>
    <r>
      <rPr>
        <sz val="11"/>
        <color rgb="FF333333"/>
        <rFont val="Calibri"/>
        <family val="2"/>
        <scheme val="minor"/>
      </rPr>
      <t xml:space="preserve"> tissue. </t>
    </r>
    <r>
      <rPr>
        <b/>
        <sz val="11"/>
        <color rgb="FF333333"/>
        <rFont val="Calibri"/>
        <family val="2"/>
        <scheme val="minor"/>
      </rPr>
      <t xml:space="preserve">4) </t>
    </r>
    <r>
      <rPr>
        <sz val="11"/>
        <color rgb="FF333333"/>
        <rFont val="Calibri"/>
        <family val="2"/>
        <scheme val="minor"/>
      </rPr>
      <t xml:space="preserve">Similar to tissue expression, CCR9 was also significantly expressed by the ovarian cancer cell lines (OVCAR-3 and SK-OV-3) in comparison to normal adult ovarian epithelial cell. </t>
    </r>
  </si>
  <si>
    <r>
      <rPr>
        <b/>
        <sz val="11"/>
        <color rgb="FF333333"/>
        <rFont val="Calibri"/>
        <family val="2"/>
        <scheme val="minor"/>
      </rPr>
      <t xml:space="preserve">1) </t>
    </r>
    <r>
      <rPr>
        <sz val="11"/>
        <color rgb="FF333333"/>
        <rFont val="Calibri"/>
        <family val="2"/>
        <scheme val="minor"/>
      </rPr>
      <t xml:space="preserve">Epithelial mesenchymal transition (EMT) and cancer stem cells (CSC) have been associated with resistance to chemotherapy. </t>
    </r>
    <r>
      <rPr>
        <b/>
        <sz val="11"/>
        <color rgb="FF333333"/>
        <rFont val="Calibri"/>
        <family val="2"/>
        <scheme val="minor"/>
      </rPr>
      <t>2) Cisplatin</t>
    </r>
    <r>
      <rPr>
        <sz val="11"/>
        <color rgb="FF333333"/>
        <rFont val="Calibri"/>
        <family val="2"/>
        <scheme val="minor"/>
      </rPr>
      <t xml:space="preserve"> reduced E-cadherin expression both in mouse kidney and proximal tubular epithelial cell lines (mTECs). </t>
    </r>
    <r>
      <rPr>
        <b/>
        <sz val="11"/>
        <color rgb="FF333333"/>
        <rFont val="Calibri"/>
        <family val="2"/>
        <scheme val="minor"/>
      </rPr>
      <t xml:space="preserve">3) </t>
    </r>
    <r>
      <rPr>
        <sz val="11"/>
        <color rgb="FF333333"/>
        <rFont val="Calibri"/>
        <family val="2"/>
        <scheme val="minor"/>
      </rPr>
      <t xml:space="preserve">cisplatin-resistant </t>
    </r>
    <r>
      <rPr>
        <b/>
        <sz val="11"/>
        <color rgb="FF333333"/>
        <rFont val="Calibri"/>
        <family val="2"/>
        <scheme val="minor"/>
      </rPr>
      <t>ovarian</t>
    </r>
    <r>
      <rPr>
        <sz val="11"/>
        <color rgb="FF333333"/>
        <rFont val="Calibri"/>
        <family val="2"/>
        <scheme val="minor"/>
      </rPr>
      <t xml:space="preserve"> cell line A2780cis cells differ from their cisplatin-sensitive counterparts in the </t>
    </r>
    <r>
      <rPr>
        <b/>
        <sz val="11"/>
        <color rgb="FF333333"/>
        <rFont val="Calibri"/>
        <family val="2"/>
        <scheme val="minor"/>
      </rPr>
      <t xml:space="preserve">CDH1 </t>
    </r>
    <r>
      <rPr>
        <sz val="11"/>
        <color rgb="FF333333"/>
        <rFont val="Calibri"/>
        <family val="2"/>
        <scheme val="minor"/>
      </rPr>
      <t xml:space="preserve">methylation. Methylation in A2780cis cells is elevated compared to A2780. </t>
    </r>
    <r>
      <rPr>
        <b/>
        <sz val="11"/>
        <color rgb="FF333333"/>
        <rFont val="Calibri"/>
        <family val="2"/>
        <scheme val="minor"/>
      </rPr>
      <t xml:space="preserve">4) </t>
    </r>
    <r>
      <rPr>
        <sz val="11"/>
        <color rgb="FF333333"/>
        <rFont val="Calibri"/>
        <family val="2"/>
        <scheme val="minor"/>
      </rPr>
      <t xml:space="preserve">CDH1 promoter hypermethylation was found in 40 of 73 cases (54%), and it was significantly associated with worse prognosis of </t>
    </r>
    <r>
      <rPr>
        <b/>
        <sz val="11"/>
        <color rgb="FF333333"/>
        <rFont val="Calibri"/>
        <family val="2"/>
        <scheme val="minor"/>
      </rPr>
      <t>gastric</t>
    </r>
    <r>
      <rPr>
        <sz val="11"/>
        <color rgb="FF333333"/>
        <rFont val="Calibri"/>
        <family val="2"/>
        <scheme val="minor"/>
      </rPr>
      <t xml:space="preserve"> cancer patients. </t>
    </r>
  </si>
  <si>
    <r>
      <rPr>
        <b/>
        <sz val="11"/>
        <color rgb="FF333333"/>
        <rFont val="Calibri"/>
        <family val="2"/>
        <scheme val="minor"/>
      </rPr>
      <t>1)</t>
    </r>
    <r>
      <rPr>
        <sz val="11"/>
        <color rgb="FF333333"/>
        <rFont val="Calibri"/>
        <family val="2"/>
        <scheme val="minor"/>
      </rPr>
      <t xml:space="preserve"> roniciclib (BAY1000394), a potent pan-CDK inhibitor, displays promising anti-neoplastic activity as a single agent and potentiates </t>
    </r>
    <r>
      <rPr>
        <b/>
        <sz val="11"/>
        <color rgb="FF333333"/>
        <rFont val="Calibri"/>
        <family val="2"/>
        <scheme val="minor"/>
      </rPr>
      <t>cisplatin</t>
    </r>
    <r>
      <rPr>
        <sz val="11"/>
        <color rgb="FF333333"/>
        <rFont val="Calibri"/>
        <family val="2"/>
        <scheme val="minor"/>
      </rPr>
      <t xml:space="preserve"> lethality in preclinical </t>
    </r>
    <r>
      <rPr>
        <b/>
        <sz val="11"/>
        <color rgb="FF333333"/>
        <rFont val="Calibri"/>
        <family val="2"/>
        <scheme val="minor"/>
      </rPr>
      <t>nasopharyngeal</t>
    </r>
    <r>
      <rPr>
        <sz val="11"/>
        <color rgb="FF333333"/>
        <rFont val="Calibri"/>
        <family val="2"/>
        <scheme val="minor"/>
      </rPr>
      <t xml:space="preserve"> carcinoma (NPC) models. </t>
    </r>
    <r>
      <rPr>
        <b/>
        <sz val="11"/>
        <color rgb="FF333333"/>
        <rFont val="Calibri"/>
        <family val="2"/>
        <scheme val="minor"/>
      </rPr>
      <t>2)</t>
    </r>
    <r>
      <rPr>
        <sz val="11"/>
        <color rgb="FF333333"/>
        <rFont val="Calibri"/>
        <family val="2"/>
        <scheme val="minor"/>
      </rPr>
      <t xml:space="preserve"> The expression level of CDK4 protein was significantly increased in </t>
    </r>
    <r>
      <rPr>
        <b/>
        <sz val="11"/>
        <color rgb="FF333333"/>
        <rFont val="Calibri"/>
        <family val="2"/>
        <scheme val="minor"/>
      </rPr>
      <t xml:space="preserve">lung </t>
    </r>
    <r>
      <rPr>
        <sz val="11"/>
        <color rgb="FF333333"/>
        <rFont val="Calibri"/>
        <family val="2"/>
        <scheme val="minor"/>
      </rPr>
      <t xml:space="preserve">cancer tissues compared to normal tissues (P &lt; 0.001). </t>
    </r>
    <r>
      <rPr>
        <b/>
        <sz val="11"/>
        <color rgb="FF333333"/>
        <rFont val="Calibri"/>
        <family val="2"/>
        <scheme val="minor"/>
      </rPr>
      <t xml:space="preserve">3) </t>
    </r>
    <r>
      <rPr>
        <sz val="11"/>
        <color rgb="FF333333"/>
        <rFont val="Calibri"/>
        <family val="2"/>
        <scheme val="minor"/>
      </rPr>
      <t xml:space="preserve">Patients with higher </t>
    </r>
    <r>
      <rPr>
        <b/>
        <sz val="11"/>
        <color rgb="FF333333"/>
        <rFont val="Calibri"/>
        <family val="2"/>
        <scheme val="minor"/>
      </rPr>
      <t>CDK4</t>
    </r>
    <r>
      <rPr>
        <sz val="11"/>
        <color rgb="FF333333"/>
        <rFont val="Calibri"/>
        <family val="2"/>
        <scheme val="minor"/>
      </rPr>
      <t xml:space="preserve"> expression had a markedly shorter overall survival time than patients with low CDK4 expression. </t>
    </r>
    <r>
      <rPr>
        <b/>
        <sz val="11"/>
        <color rgb="FF333333"/>
        <rFont val="Calibri"/>
        <family val="2"/>
        <scheme val="minor"/>
      </rPr>
      <t xml:space="preserve">4) </t>
    </r>
    <r>
      <rPr>
        <sz val="11"/>
        <color rgb="FF333333"/>
        <rFont val="Calibri"/>
        <family val="2"/>
        <scheme val="minor"/>
      </rPr>
      <t xml:space="preserve">Multivariate analysis suggested the level of CDK4 expression was an independent prognostic indicator (P &lt; 0.001) for the survival of patients with lung cancer. </t>
    </r>
    <r>
      <rPr>
        <b/>
        <sz val="11"/>
        <color rgb="FF333333"/>
        <rFont val="Calibri"/>
        <family val="2"/>
        <scheme val="minor"/>
      </rPr>
      <t xml:space="preserve">5) </t>
    </r>
    <r>
      <rPr>
        <sz val="11"/>
        <color rgb="FF333333"/>
        <rFont val="Calibri"/>
        <family val="2"/>
        <scheme val="minor"/>
      </rPr>
      <t xml:space="preserve">Use of lentiviral-mediated shRNA to inhibit the expression of CDK4 in lung cancer cell line A549 not only inhibited cell cycle progression, but also dramatically suppressed cell proliferation, colony formation, and migration. </t>
    </r>
    <r>
      <rPr>
        <b/>
        <sz val="11"/>
        <color rgb="FF333333"/>
        <rFont val="Calibri"/>
        <family val="2"/>
        <scheme val="minor"/>
      </rPr>
      <t>6)</t>
    </r>
    <r>
      <rPr>
        <sz val="11"/>
        <color rgb="FF333333"/>
        <rFont val="Calibri"/>
        <family val="2"/>
        <scheme val="minor"/>
      </rPr>
      <t xml:space="preserve"> suppressing CDK4 expression also significantly elevated the expression of cell cycle regulator p21. </t>
    </r>
  </si>
  <si>
    <r>
      <rPr>
        <b/>
        <sz val="11"/>
        <rFont val="Calibri"/>
        <family val="2"/>
        <scheme val="minor"/>
      </rPr>
      <t>1)</t>
    </r>
    <r>
      <rPr>
        <sz val="11"/>
        <rFont val="Calibri"/>
        <family val="2"/>
        <scheme val="minor"/>
      </rPr>
      <t xml:space="preserve"> high level of </t>
    </r>
    <r>
      <rPr>
        <b/>
        <sz val="11"/>
        <rFont val="Calibri"/>
        <family val="2"/>
        <scheme val="minor"/>
      </rPr>
      <t>cyclin I</t>
    </r>
    <r>
      <rPr>
        <sz val="11"/>
        <rFont val="Calibri"/>
        <family val="2"/>
        <scheme val="minor"/>
      </rPr>
      <t xml:space="preserve"> was associated with </t>
    </r>
    <r>
      <rPr>
        <b/>
        <sz val="11"/>
        <rFont val="Calibri"/>
        <family val="2"/>
        <scheme val="minor"/>
      </rPr>
      <t>cisplatin</t>
    </r>
    <r>
      <rPr>
        <sz val="11"/>
        <rFont val="Calibri"/>
        <family val="2"/>
        <scheme val="minor"/>
      </rPr>
      <t xml:space="preserve"> resistance in CC. </t>
    </r>
    <r>
      <rPr>
        <b/>
        <sz val="11"/>
        <rFont val="Calibri"/>
        <family val="2"/>
        <scheme val="minor"/>
      </rPr>
      <t xml:space="preserve">2) </t>
    </r>
    <r>
      <rPr>
        <sz val="11"/>
        <rFont val="Calibri"/>
        <family val="2"/>
        <scheme val="minor"/>
      </rPr>
      <t xml:space="preserve">cyclin I protein becomes highly expressed in human </t>
    </r>
    <r>
      <rPr>
        <b/>
        <sz val="11"/>
        <rFont val="Calibri"/>
        <family val="2"/>
        <scheme val="minor"/>
      </rPr>
      <t>CC</t>
    </r>
    <r>
      <rPr>
        <sz val="11"/>
        <rFont val="Calibri"/>
        <family val="2"/>
        <scheme val="minor"/>
      </rPr>
      <t xml:space="preserve"> patients resistant to cisplatin chemotherapy. </t>
    </r>
    <r>
      <rPr>
        <b/>
        <sz val="11"/>
        <rFont val="Calibri"/>
        <family val="2"/>
        <scheme val="minor"/>
      </rPr>
      <t>3)</t>
    </r>
    <r>
      <rPr>
        <sz val="11"/>
        <rFont val="Calibri"/>
        <family val="2"/>
        <scheme val="minor"/>
      </rPr>
      <t xml:space="preserve"> Stable overexpressed</t>
    </r>
    <r>
      <rPr>
        <b/>
        <sz val="11"/>
        <rFont val="Calibri"/>
        <family val="2"/>
        <scheme val="minor"/>
      </rPr>
      <t xml:space="preserve"> cyclin I</t>
    </r>
    <r>
      <rPr>
        <sz val="11"/>
        <rFont val="Calibri"/>
        <family val="2"/>
        <scheme val="minor"/>
      </rPr>
      <t xml:space="preserve"> promotes </t>
    </r>
    <r>
      <rPr>
        <b/>
        <sz val="11"/>
        <rFont val="Calibri"/>
        <family val="2"/>
        <scheme val="minor"/>
      </rPr>
      <t>Hela</t>
    </r>
    <r>
      <rPr>
        <sz val="11"/>
        <rFont val="Calibri"/>
        <family val="2"/>
        <scheme val="minor"/>
      </rPr>
      <t xml:space="preserve"> cell resistance to higher concentrations of cisplatin. </t>
    </r>
    <r>
      <rPr>
        <b/>
        <sz val="11"/>
        <rFont val="Calibri"/>
        <family val="2"/>
        <scheme val="minor"/>
      </rPr>
      <t xml:space="preserve">4) </t>
    </r>
    <r>
      <rPr>
        <sz val="11"/>
        <rFont val="Calibri"/>
        <family val="2"/>
        <scheme val="minor"/>
      </rPr>
      <t xml:space="preserve">upregulated level of </t>
    </r>
    <r>
      <rPr>
        <b/>
        <sz val="11"/>
        <rFont val="Calibri"/>
        <family val="2"/>
        <scheme val="minor"/>
      </rPr>
      <t>cyclin I</t>
    </r>
    <r>
      <rPr>
        <sz val="11"/>
        <rFont val="Calibri"/>
        <family val="2"/>
        <scheme val="minor"/>
      </rPr>
      <t xml:space="preserve"> increased tumor cells growth in vitro and enhanced tumor resistance to cisplatin in vivo. </t>
    </r>
    <r>
      <rPr>
        <b/>
        <sz val="11"/>
        <rFont val="Calibri"/>
        <family val="2"/>
        <scheme val="minor"/>
      </rPr>
      <t>5) cyclin I</t>
    </r>
    <r>
      <rPr>
        <sz val="11"/>
        <rFont val="Calibri"/>
        <family val="2"/>
        <scheme val="minor"/>
      </rPr>
      <t xml:space="preserve"> upregulated the expression of </t>
    </r>
    <r>
      <rPr>
        <b/>
        <sz val="11"/>
        <rFont val="Calibri"/>
        <family val="2"/>
        <scheme val="minor"/>
      </rPr>
      <t>Cdk5</t>
    </r>
    <r>
      <rPr>
        <sz val="11"/>
        <rFont val="Calibri"/>
        <family val="2"/>
        <scheme val="minor"/>
      </rPr>
      <t xml:space="preserve"> promoting cisplatin resistance by preventing apoptosis in CC cell line. </t>
    </r>
    <r>
      <rPr>
        <b/>
        <sz val="11"/>
        <rFont val="Calibri"/>
        <family val="2"/>
        <scheme val="minor"/>
      </rPr>
      <t xml:space="preserve">6) </t>
    </r>
    <r>
      <rPr>
        <sz val="11"/>
        <rFont val="Calibri"/>
        <family val="2"/>
        <scheme val="minor"/>
      </rPr>
      <t xml:space="preserve">the </t>
    </r>
    <r>
      <rPr>
        <b/>
        <sz val="11"/>
        <rFont val="Calibri"/>
        <family val="2"/>
        <scheme val="minor"/>
      </rPr>
      <t>cyclin I</t>
    </r>
    <r>
      <rPr>
        <sz val="11"/>
        <rFont val="Calibri"/>
        <family val="2"/>
        <scheme val="minor"/>
      </rPr>
      <t xml:space="preserve"> overexpressed Hela cell lines produce increased sensitivity to cisplatin treatment through knockdown of </t>
    </r>
    <r>
      <rPr>
        <b/>
        <sz val="11"/>
        <rFont val="Calibri"/>
        <family val="2"/>
        <scheme val="minor"/>
      </rPr>
      <t>Cdk5</t>
    </r>
    <r>
      <rPr>
        <sz val="11"/>
        <rFont val="Calibri"/>
        <family val="2"/>
        <scheme val="minor"/>
      </rPr>
      <t xml:space="preserve"> protein with siRNA.</t>
    </r>
  </si>
  <si>
    <r>
      <rPr>
        <b/>
        <sz val="11"/>
        <rFont val="Calibri"/>
        <family val="2"/>
        <scheme val="minor"/>
      </rPr>
      <t>1)</t>
    </r>
    <r>
      <rPr>
        <sz val="11"/>
        <rFont val="Calibri"/>
        <family val="2"/>
        <scheme val="minor"/>
      </rPr>
      <t xml:space="preserve"> </t>
    </r>
    <r>
      <rPr>
        <b/>
        <sz val="11"/>
        <rFont val="Calibri"/>
        <family val="2"/>
        <scheme val="minor"/>
      </rPr>
      <t>p57Kip2</t>
    </r>
    <r>
      <rPr>
        <sz val="11"/>
        <rFont val="Calibri"/>
        <family val="2"/>
        <scheme val="minor"/>
      </rPr>
      <t xml:space="preserve">, is also subject to epigenetic silencing in </t>
    </r>
    <r>
      <rPr>
        <b/>
        <sz val="11"/>
        <rFont val="Calibri"/>
        <family val="2"/>
        <scheme val="minor"/>
      </rPr>
      <t>carboplatin</t>
    </r>
    <r>
      <rPr>
        <sz val="11"/>
        <rFont val="Calibri"/>
        <family val="2"/>
        <scheme val="minor"/>
      </rPr>
      <t xml:space="preserve"> resistance in vitro and in vivo. </t>
    </r>
    <r>
      <rPr>
        <b/>
        <sz val="11"/>
        <rFont val="Calibri"/>
        <family val="2"/>
        <scheme val="minor"/>
      </rPr>
      <t xml:space="preserve">2) </t>
    </r>
    <r>
      <rPr>
        <sz val="11"/>
        <rFont val="Calibri"/>
        <family val="2"/>
        <scheme val="minor"/>
      </rPr>
      <t xml:space="preserve">Micro-array analysis of our own series of novel paclitaxel- and platinum-resistant EOC cell lines has revealed that several such genes are down-regulated in isogenic paclitaxel-resistant cell lines, including Wee1 and p57Kip2. </t>
    </r>
    <r>
      <rPr>
        <b/>
        <sz val="11"/>
        <rFont val="Calibri"/>
        <family val="2"/>
        <scheme val="minor"/>
      </rPr>
      <t>3)</t>
    </r>
    <r>
      <rPr>
        <sz val="11"/>
        <rFont val="Calibri"/>
        <family val="2"/>
        <scheme val="minor"/>
      </rPr>
      <t xml:space="preserve"> Surprisingly, patients exhibiting p57KIP2 promoter methylation survived longer than patients without p57KIP2 DNA methylation. </t>
    </r>
  </si>
  <si>
    <r>
      <rPr>
        <b/>
        <sz val="11"/>
        <rFont val="Calibri"/>
        <family val="2"/>
        <scheme val="minor"/>
      </rPr>
      <t>1)</t>
    </r>
    <r>
      <rPr>
        <sz val="11"/>
        <rFont val="Calibri"/>
        <family val="2"/>
        <scheme val="minor"/>
      </rPr>
      <t xml:space="preserve"> the overexpression of a p53-positive regulator, </t>
    </r>
    <r>
      <rPr>
        <b/>
        <sz val="11"/>
        <rFont val="Calibri"/>
        <family val="2"/>
        <scheme val="minor"/>
      </rPr>
      <t>p14ARF</t>
    </r>
    <r>
      <rPr>
        <sz val="11"/>
        <rFont val="Calibri"/>
        <family val="2"/>
        <scheme val="minor"/>
      </rPr>
      <t xml:space="preserve">, inhibited MDM2-mediated p53 degradation and led to the imbalance of p53 turnover that promoted the formation of p53 aggregates. </t>
    </r>
    <r>
      <rPr>
        <b/>
        <sz val="11"/>
        <rFont val="Calibri"/>
        <family val="2"/>
        <scheme val="minor"/>
      </rPr>
      <t xml:space="preserve">2) </t>
    </r>
    <r>
      <rPr>
        <sz val="11"/>
        <rFont val="Calibri"/>
        <family val="2"/>
        <scheme val="minor"/>
      </rPr>
      <t xml:space="preserve">the inhibition of </t>
    </r>
    <r>
      <rPr>
        <b/>
        <sz val="11"/>
        <rFont val="Calibri"/>
        <family val="2"/>
        <scheme val="minor"/>
      </rPr>
      <t>p14ARF</t>
    </r>
    <r>
      <rPr>
        <sz val="11"/>
        <rFont val="Calibri"/>
        <family val="2"/>
        <scheme val="minor"/>
      </rPr>
      <t xml:space="preserve"> could suppress p53 aggregation and sensitize cancer cells to </t>
    </r>
    <r>
      <rPr>
        <b/>
        <sz val="11"/>
        <rFont val="Calibri"/>
        <family val="2"/>
        <scheme val="minor"/>
      </rPr>
      <t>platinum</t>
    </r>
    <r>
      <rPr>
        <sz val="11"/>
        <rFont val="Calibri"/>
        <family val="2"/>
        <scheme val="minor"/>
      </rPr>
      <t xml:space="preserve"> treatment in </t>
    </r>
    <r>
      <rPr>
        <b/>
        <sz val="11"/>
        <rFont val="Calibri"/>
        <family val="2"/>
        <scheme val="minor"/>
      </rPr>
      <t>vitro and in vivo</t>
    </r>
    <r>
      <rPr>
        <sz val="11"/>
        <rFont val="Calibri"/>
        <family val="2"/>
        <scheme val="minor"/>
      </rPr>
      <t xml:space="preserve">. </t>
    </r>
    <r>
      <rPr>
        <b/>
        <sz val="11"/>
        <rFont val="Calibri"/>
        <family val="2"/>
        <scheme val="minor"/>
      </rPr>
      <t xml:space="preserve">3) </t>
    </r>
    <r>
      <rPr>
        <sz val="11"/>
        <rFont val="Calibri"/>
        <family val="2"/>
        <scheme val="minor"/>
      </rPr>
      <t xml:space="preserve">Increased expression of </t>
    </r>
    <r>
      <rPr>
        <b/>
        <sz val="11"/>
        <rFont val="Calibri"/>
        <family val="2"/>
        <scheme val="minor"/>
      </rPr>
      <t>P16INK4A</t>
    </r>
    <r>
      <rPr>
        <sz val="11"/>
        <rFont val="Calibri"/>
        <family val="2"/>
        <scheme val="minor"/>
      </rPr>
      <t xml:space="preserve"> in </t>
    </r>
    <r>
      <rPr>
        <b/>
        <sz val="11"/>
        <rFont val="Calibri"/>
        <family val="2"/>
        <scheme val="minor"/>
      </rPr>
      <t>ovarian</t>
    </r>
    <r>
      <rPr>
        <sz val="11"/>
        <rFont val="Calibri"/>
        <family val="2"/>
        <scheme val="minor"/>
      </rPr>
      <t xml:space="preserve"> cancer is associated with progression and unfavourable prognosis. </t>
    </r>
    <r>
      <rPr>
        <b/>
        <sz val="11"/>
        <rFont val="Calibri"/>
        <family val="2"/>
        <scheme val="minor"/>
      </rPr>
      <t>4) NSCLC</t>
    </r>
    <r>
      <rPr>
        <sz val="11"/>
        <rFont val="Calibri"/>
        <family val="2"/>
        <scheme val="minor"/>
      </rPr>
      <t xml:space="preserve"> cells with elevated </t>
    </r>
    <r>
      <rPr>
        <b/>
        <sz val="11"/>
        <rFont val="Calibri"/>
        <family val="2"/>
        <scheme val="minor"/>
      </rPr>
      <t>p16</t>
    </r>
    <r>
      <rPr>
        <sz val="11"/>
        <rFont val="Calibri"/>
        <family val="2"/>
        <scheme val="minor"/>
      </rPr>
      <t xml:space="preserve"> exhibited enhanced sensitivities to low concentration cisplatin treatment. </t>
    </r>
    <r>
      <rPr>
        <b/>
        <sz val="11"/>
        <rFont val="Calibri"/>
        <family val="2"/>
        <scheme val="minor"/>
      </rPr>
      <t xml:space="preserve">5) </t>
    </r>
    <r>
      <rPr>
        <sz val="11"/>
        <rFont val="Calibri"/>
        <family val="2"/>
        <scheme val="minor"/>
      </rPr>
      <t xml:space="preserve">Knockdown of </t>
    </r>
    <r>
      <rPr>
        <b/>
        <sz val="11"/>
        <rFont val="Calibri"/>
        <family val="2"/>
        <scheme val="minor"/>
      </rPr>
      <t>P16INK4A</t>
    </r>
    <r>
      <rPr>
        <sz val="11"/>
        <rFont val="Calibri"/>
        <family val="2"/>
        <scheme val="minor"/>
      </rPr>
      <t xml:space="preserve"> in </t>
    </r>
    <r>
      <rPr>
        <b/>
        <sz val="11"/>
        <rFont val="Calibri"/>
        <family val="2"/>
        <scheme val="minor"/>
      </rPr>
      <t>cervical</t>
    </r>
    <r>
      <rPr>
        <sz val="11"/>
        <rFont val="Calibri"/>
        <family val="2"/>
        <scheme val="minor"/>
      </rPr>
      <t xml:space="preserve"> carcinoma SiHa cells promoted apoptosis following treatment with DDP. </t>
    </r>
    <r>
      <rPr>
        <b/>
        <sz val="11"/>
        <rFont val="Calibri"/>
        <family val="2"/>
        <scheme val="minor"/>
      </rPr>
      <t>6) P14ARF</t>
    </r>
    <r>
      <rPr>
        <sz val="11"/>
        <rFont val="Calibri"/>
        <family val="2"/>
        <scheme val="minor"/>
      </rPr>
      <t xml:space="preserve"> sensitizes human </t>
    </r>
    <r>
      <rPr>
        <b/>
        <sz val="11"/>
        <rFont val="Calibri"/>
        <family val="2"/>
        <scheme val="minor"/>
      </rPr>
      <t>osteosarcoma</t>
    </r>
    <r>
      <rPr>
        <sz val="11"/>
        <rFont val="Calibri"/>
        <family val="2"/>
        <scheme val="minor"/>
      </rPr>
      <t xml:space="preserve"> cells to cisplatin-induced apoptosis in a p53-independent manner. </t>
    </r>
  </si>
  <si>
    <r>
      <rPr>
        <b/>
        <sz val="11"/>
        <color rgb="FF333333"/>
        <rFont val="Calibri"/>
        <family val="2"/>
        <scheme val="minor"/>
      </rPr>
      <t>1)</t>
    </r>
    <r>
      <rPr>
        <sz val="11"/>
        <color rgb="FF333333"/>
        <rFont val="Calibri"/>
        <family val="2"/>
        <scheme val="minor"/>
      </rPr>
      <t xml:space="preserve"> </t>
    </r>
    <r>
      <rPr>
        <b/>
        <sz val="11"/>
        <color rgb="FF333333"/>
        <rFont val="Calibri"/>
        <family val="2"/>
        <scheme val="minor"/>
      </rPr>
      <t>P18</t>
    </r>
    <r>
      <rPr>
        <sz val="11"/>
        <color rgb="FF333333"/>
        <rFont val="Calibri"/>
        <family val="2"/>
        <scheme val="minor"/>
      </rPr>
      <t xml:space="preserve"> protects against </t>
    </r>
    <r>
      <rPr>
        <b/>
        <sz val="11"/>
        <color rgb="FF333333"/>
        <rFont val="Calibri"/>
        <family val="2"/>
        <scheme val="minor"/>
      </rPr>
      <t>cisplatin</t>
    </r>
    <r>
      <rPr>
        <sz val="11"/>
        <color rgb="FF333333"/>
        <rFont val="Calibri"/>
        <family val="2"/>
        <scheme val="minor"/>
      </rPr>
      <t>-induced</t>
    </r>
    <r>
      <rPr>
        <b/>
        <sz val="11"/>
        <color rgb="FF333333"/>
        <rFont val="Calibri"/>
        <family val="2"/>
        <scheme val="minor"/>
      </rPr>
      <t xml:space="preserve"> renal </t>
    </r>
    <r>
      <rPr>
        <sz val="11"/>
        <color rgb="FF333333"/>
        <rFont val="Calibri"/>
        <family val="2"/>
        <scheme val="minor"/>
      </rPr>
      <t xml:space="preserve">cell injury. </t>
    </r>
    <r>
      <rPr>
        <b/>
        <sz val="11"/>
        <color rgb="FF333333"/>
        <rFont val="Calibri"/>
        <family val="2"/>
        <scheme val="minor"/>
      </rPr>
      <t>2)</t>
    </r>
    <r>
      <rPr>
        <sz val="11"/>
        <color rgb="FF333333"/>
        <rFont val="Calibri"/>
        <family val="2"/>
        <scheme val="minor"/>
      </rPr>
      <t xml:space="preserve"> Overexpression of p18 arrested cell cycle progression in the G1 phase and inhibited proliferation.</t>
    </r>
    <r>
      <rPr>
        <b/>
        <sz val="11"/>
        <color rgb="FF333333"/>
        <rFont val="Calibri"/>
        <family val="2"/>
        <scheme val="minor"/>
      </rPr>
      <t xml:space="preserve"> 3) </t>
    </r>
    <r>
      <rPr>
        <sz val="11"/>
        <color rgb="FF333333"/>
        <rFont val="Calibri"/>
        <family val="2"/>
        <scheme val="minor"/>
      </rPr>
      <t xml:space="preserve">p18 overexpression did not affect cisplatin-induced necrosis, but it reduced the percentage of apoptotic cells significantly. </t>
    </r>
    <r>
      <rPr>
        <b/>
        <sz val="11"/>
        <color rgb="FF333333"/>
        <rFont val="Calibri"/>
        <family val="2"/>
        <scheme val="minor"/>
      </rPr>
      <t>4)</t>
    </r>
    <r>
      <rPr>
        <sz val="11"/>
        <color rgb="FF333333"/>
        <rFont val="Calibri"/>
        <family val="2"/>
        <scheme val="minor"/>
      </rPr>
      <t xml:space="preserve"> The severity of ER Stress (ERS) induced by cisplatin was also decreased by p18 overexpression. </t>
    </r>
  </si>
  <si>
    <r>
      <rPr>
        <b/>
        <sz val="11"/>
        <color rgb="FF333333"/>
        <rFont val="Calibri"/>
        <family val="2"/>
        <scheme val="minor"/>
      </rPr>
      <t>1)</t>
    </r>
    <r>
      <rPr>
        <sz val="11"/>
        <color rgb="FF333333"/>
        <rFont val="Calibri"/>
        <family val="2"/>
        <scheme val="minor"/>
      </rPr>
      <t xml:space="preserve"> Complete </t>
    </r>
    <r>
      <rPr>
        <b/>
        <sz val="11"/>
        <color rgb="FF333333"/>
        <rFont val="Calibri"/>
        <family val="2"/>
        <scheme val="minor"/>
      </rPr>
      <t>cisplatin</t>
    </r>
    <r>
      <rPr>
        <sz val="11"/>
        <color rgb="FF333333"/>
        <rFont val="Calibri"/>
        <family val="2"/>
        <scheme val="minor"/>
      </rPr>
      <t xml:space="preserve"> mediated suppression of </t>
    </r>
    <r>
      <rPr>
        <b/>
        <sz val="11"/>
        <color rgb="FF333333"/>
        <rFont val="Calibri"/>
        <family val="2"/>
        <scheme val="minor"/>
      </rPr>
      <t>c-FLIP</t>
    </r>
    <r>
      <rPr>
        <sz val="11"/>
        <color rgb="FF333333"/>
        <rFont val="Calibri"/>
        <family val="2"/>
        <scheme val="minor"/>
      </rPr>
      <t xml:space="preserve"> expression in CDDP-sensitive T24 cells but no change in resistant T24R2 cells after cisplatin treatment.</t>
    </r>
    <r>
      <rPr>
        <b/>
        <sz val="11"/>
        <color rgb="FF333333"/>
        <rFont val="Calibri"/>
        <family val="2"/>
        <scheme val="minor"/>
      </rPr>
      <t xml:space="preserve"> 2) </t>
    </r>
    <r>
      <rPr>
        <sz val="11"/>
        <color rgb="FF333333"/>
        <rFont val="Calibri"/>
        <family val="2"/>
        <scheme val="minor"/>
      </rPr>
      <t xml:space="preserve">Suppression of c-FLIP expression in T24R2 cells by siRNA rendered these cells significantly more sensitive to cisplatin treatment than untransfected T24R2 cells (bladder cancer cells). </t>
    </r>
    <r>
      <rPr>
        <b/>
        <sz val="11"/>
        <color rgb="FF333333"/>
        <rFont val="Calibri"/>
        <family val="2"/>
        <scheme val="minor"/>
      </rPr>
      <t xml:space="preserve">3) </t>
    </r>
    <r>
      <rPr>
        <sz val="11"/>
        <color rgb="FF333333"/>
        <rFont val="Calibri"/>
        <family val="2"/>
        <scheme val="minor"/>
      </rPr>
      <t xml:space="preserve">In univariate analyses of CFLAR mRNA expression in adult </t>
    </r>
    <r>
      <rPr>
        <b/>
        <sz val="11"/>
        <color rgb="FF333333"/>
        <rFont val="Calibri"/>
        <family val="2"/>
        <scheme val="minor"/>
      </rPr>
      <t>AML</t>
    </r>
    <r>
      <rPr>
        <sz val="11"/>
        <color rgb="FF333333"/>
        <rFont val="Calibri"/>
        <family val="2"/>
        <scheme val="minor"/>
      </rPr>
      <t xml:space="preserve"> patients, those individuals with higher than median mRNA expression of the long splice form CFLAR(L) (but not the short splice form) had significantly lower 3 year overall survival (P = 0·04) compared to those with low expression. </t>
    </r>
  </si>
  <si>
    <r>
      <rPr>
        <b/>
        <sz val="11"/>
        <color rgb="FF333333"/>
        <rFont val="Calibri"/>
        <family val="2"/>
        <scheme val="minor"/>
      </rPr>
      <t xml:space="preserve">1) </t>
    </r>
    <r>
      <rPr>
        <sz val="11"/>
        <color rgb="FF333333"/>
        <rFont val="Calibri"/>
        <family val="2"/>
        <scheme val="minor"/>
      </rPr>
      <t xml:space="preserve">In two well-defined </t>
    </r>
    <r>
      <rPr>
        <b/>
        <sz val="11"/>
        <color rgb="FF333333"/>
        <rFont val="Calibri"/>
        <family val="2"/>
        <scheme val="minor"/>
      </rPr>
      <t>ovarian</t>
    </r>
    <r>
      <rPr>
        <sz val="11"/>
        <color rgb="FF333333"/>
        <rFont val="Calibri"/>
        <family val="2"/>
        <scheme val="minor"/>
      </rPr>
      <t xml:space="preserve"> cancer patient groups with the largest contrast in treatment response, high expression of </t>
    </r>
    <r>
      <rPr>
        <b/>
        <sz val="11"/>
        <color rgb="FF333333"/>
        <rFont val="Calibri"/>
        <family val="2"/>
        <scheme val="minor"/>
      </rPr>
      <t>Chk2</t>
    </r>
    <r>
      <rPr>
        <sz val="11"/>
        <color rgb="FF333333"/>
        <rFont val="Calibri"/>
        <family val="2"/>
        <scheme val="minor"/>
      </rPr>
      <t xml:space="preserve"> was related to good response (OR=0.132; P=0.014). </t>
    </r>
    <r>
      <rPr>
        <b/>
        <sz val="11"/>
        <color rgb="FF333333"/>
        <rFont val="Calibri"/>
        <family val="2"/>
        <scheme val="minor"/>
      </rPr>
      <t xml:space="preserve">2) </t>
    </r>
    <r>
      <rPr>
        <sz val="11"/>
        <color rgb="FF333333"/>
        <rFont val="Calibri"/>
        <family val="2"/>
        <scheme val="minor"/>
      </rPr>
      <t xml:space="preserve">Chk2 depletion abrogated the </t>
    </r>
    <r>
      <rPr>
        <b/>
        <sz val="11"/>
        <color rgb="FF333333"/>
        <rFont val="Calibri"/>
        <family val="2"/>
        <scheme val="minor"/>
      </rPr>
      <t>cisplatin</t>
    </r>
    <r>
      <rPr>
        <sz val="11"/>
        <color rgb="FF333333"/>
        <rFont val="Calibri"/>
        <family val="2"/>
        <scheme val="minor"/>
      </rPr>
      <t xml:space="preserve">-induced S-phase cell cycle arrest and caused increased resistance to cisplatin in long-term clonogenic survival assays. </t>
    </r>
    <r>
      <rPr>
        <b/>
        <sz val="11"/>
        <color rgb="FF333333"/>
        <rFont val="Calibri"/>
        <family val="2"/>
        <scheme val="minor"/>
      </rPr>
      <t>3)</t>
    </r>
    <r>
      <rPr>
        <sz val="11"/>
        <color rgb="FF333333"/>
        <rFont val="Calibri"/>
        <family val="2"/>
        <scheme val="minor"/>
      </rPr>
      <t xml:space="preserve"> Inhibition of Chk2 by a dominant-negative mutant or gene deficiency attenuates cisplatin-induced p53 activation and apoptosis. </t>
    </r>
    <r>
      <rPr>
        <b/>
        <sz val="11"/>
        <color rgb="FF333333"/>
        <rFont val="Calibri"/>
        <family val="2"/>
        <scheme val="minor"/>
      </rPr>
      <t xml:space="preserve">4) </t>
    </r>
    <r>
      <rPr>
        <sz val="11"/>
        <color rgb="FF333333"/>
        <rFont val="Calibri"/>
        <family val="2"/>
        <scheme val="minor"/>
      </rPr>
      <t>Chk2 activation at Thr68 phosphorylation is regulated by p53 in response to</t>
    </r>
    <r>
      <rPr>
        <b/>
        <sz val="11"/>
        <color rgb="FF333333"/>
        <rFont val="Calibri"/>
        <family val="2"/>
        <scheme val="minor"/>
      </rPr>
      <t xml:space="preserve"> cisplatin</t>
    </r>
    <r>
      <rPr>
        <sz val="11"/>
        <color rgb="FF333333"/>
        <rFont val="Calibri"/>
        <family val="2"/>
        <scheme val="minor"/>
      </rPr>
      <t xml:space="preserve"> treatment in wt p53-contain cells, but not in p53-deficient cells, of human </t>
    </r>
    <r>
      <rPr>
        <b/>
        <sz val="11"/>
        <color rgb="FF333333"/>
        <rFont val="Calibri"/>
        <family val="2"/>
        <scheme val="minor"/>
      </rPr>
      <t>ovarian</t>
    </r>
    <r>
      <rPr>
        <sz val="11"/>
        <color rgb="FF333333"/>
        <rFont val="Calibri"/>
        <family val="2"/>
        <scheme val="minor"/>
      </rPr>
      <t xml:space="preserve"> cancer. </t>
    </r>
    <r>
      <rPr>
        <b/>
        <sz val="11"/>
        <color rgb="FF333333"/>
        <rFont val="Calibri"/>
        <family val="2"/>
        <scheme val="minor"/>
      </rPr>
      <t>5)</t>
    </r>
    <r>
      <rPr>
        <sz val="11"/>
        <color rgb="FF333333"/>
        <rFont val="Calibri"/>
        <family val="2"/>
        <scheme val="minor"/>
      </rPr>
      <t xml:space="preserve"> Using a Chk2 inhibitor to block this cellular pathway greatly enhanced the efficacy of cisplatin in cancer chemotherapy. </t>
    </r>
    <r>
      <rPr>
        <b/>
        <sz val="11"/>
        <color rgb="FF333333"/>
        <rFont val="Calibri"/>
        <family val="2"/>
        <scheme val="minor"/>
      </rPr>
      <t xml:space="preserve">6) </t>
    </r>
    <r>
      <rPr>
        <sz val="11"/>
        <color rgb="FF333333"/>
        <rFont val="Calibri"/>
        <family val="2"/>
        <scheme val="minor"/>
      </rPr>
      <t xml:space="preserve">pretherapeutic biopsies from 94 </t>
    </r>
    <r>
      <rPr>
        <b/>
        <sz val="11"/>
        <color rgb="FF333333"/>
        <rFont val="Calibri"/>
        <family val="2"/>
        <scheme val="minor"/>
      </rPr>
      <t>oesophageal</t>
    </r>
    <r>
      <rPr>
        <sz val="11"/>
        <color rgb="FF333333"/>
        <rFont val="Calibri"/>
        <family val="2"/>
        <scheme val="minor"/>
      </rPr>
      <t xml:space="preserve"> squamous cell carcinomas in patients who underwent neoadjuvant chemoradiotherapy (RCTx: 45 Gy plus </t>
    </r>
    <r>
      <rPr>
        <b/>
        <sz val="11"/>
        <color rgb="FF333333"/>
        <rFont val="Calibri"/>
        <family val="2"/>
        <scheme val="minor"/>
      </rPr>
      <t>cisplatin</t>
    </r>
    <r>
      <rPr>
        <sz val="11"/>
        <color rgb="FF333333"/>
        <rFont val="Calibri"/>
        <family val="2"/>
        <scheme val="minor"/>
      </rPr>
      <t xml:space="preserve"> and 5-fluorouracil) and subsequent oesophagectomy: Expression of proteins involved in DNA repair and/or cell-cycle regulation, that is p53, p53 (phosphorylated at Ser15), EGFR, ATM protein kinase (phosphorylated at Ser1981) and checkpoint kinase 2 (CHK2) (phosphorylated at Thr68) was correlated with the response to RCTx and with overall survival. Tumours that were positive for </t>
    </r>
    <r>
      <rPr>
        <b/>
        <sz val="11"/>
        <color rgb="FF333333"/>
        <rFont val="Calibri"/>
        <family val="2"/>
        <scheme val="minor"/>
      </rPr>
      <t>CHK2</t>
    </r>
    <r>
      <rPr>
        <sz val="11"/>
        <color rgb="FF333333"/>
        <rFont val="Calibri"/>
        <family val="2"/>
        <scheme val="minor"/>
      </rPr>
      <t xml:space="preserve"> expression more frequently showed clinically determined regression after RCTx (69.4%) than tumours that were negative for CHK2 expression (32.1%; P=0.0011). </t>
    </r>
  </si>
  <si>
    <r>
      <rPr>
        <b/>
        <sz val="11"/>
        <color rgb="FF333333"/>
        <rFont val="Calibri"/>
        <family val="2"/>
        <scheme val="minor"/>
      </rPr>
      <t xml:space="preserve">1) </t>
    </r>
    <r>
      <rPr>
        <sz val="11"/>
        <color rgb="FF333333"/>
        <rFont val="Calibri"/>
        <family val="2"/>
        <scheme val="minor"/>
      </rPr>
      <t xml:space="preserve">Protein expression of ETS1 and </t>
    </r>
    <r>
      <rPr>
        <b/>
        <sz val="11"/>
        <color rgb="FF333333"/>
        <rFont val="Calibri"/>
        <family val="2"/>
        <scheme val="minor"/>
      </rPr>
      <t xml:space="preserve">IKKα </t>
    </r>
    <r>
      <rPr>
        <sz val="11"/>
        <color rgb="FF333333"/>
        <rFont val="Calibri"/>
        <family val="2"/>
        <scheme val="minor"/>
      </rPr>
      <t xml:space="preserve">were significantly up-regulated in 231/DDP cells. </t>
    </r>
    <r>
      <rPr>
        <b/>
        <sz val="11"/>
        <color rgb="FF333333"/>
        <rFont val="Calibri"/>
        <family val="2"/>
        <scheme val="minor"/>
      </rPr>
      <t xml:space="preserve">2) </t>
    </r>
    <r>
      <rPr>
        <sz val="11"/>
        <color rgb="FF333333"/>
        <rFont val="Calibri"/>
        <family val="2"/>
        <scheme val="minor"/>
      </rPr>
      <t>Both Notch-1 and</t>
    </r>
    <r>
      <rPr>
        <b/>
        <sz val="11"/>
        <color rgb="FF333333"/>
        <rFont val="Calibri"/>
        <family val="2"/>
        <scheme val="minor"/>
      </rPr>
      <t xml:space="preserve"> IKKalpha</t>
    </r>
    <r>
      <rPr>
        <sz val="11"/>
        <color rgb="FF333333"/>
        <rFont val="Calibri"/>
        <family val="2"/>
        <scheme val="minor"/>
      </rPr>
      <t xml:space="preserve"> knockdown sensitize CaSki cells to </t>
    </r>
    <r>
      <rPr>
        <b/>
        <sz val="11"/>
        <color rgb="FF333333"/>
        <rFont val="Calibri"/>
        <family val="2"/>
        <scheme val="minor"/>
      </rPr>
      <t>cisplatin</t>
    </r>
    <r>
      <rPr>
        <sz val="11"/>
        <color rgb="FF333333"/>
        <rFont val="Calibri"/>
        <family val="2"/>
        <scheme val="minor"/>
      </rPr>
      <t>-induced apoptosis to equivalent extents. </t>
    </r>
    <r>
      <rPr>
        <b/>
        <sz val="11"/>
        <color rgb="FF333333"/>
        <rFont val="Calibri"/>
        <family val="2"/>
        <scheme val="minor"/>
      </rPr>
      <t>3)</t>
    </r>
    <r>
      <rPr>
        <sz val="11"/>
        <color rgb="FF333333"/>
        <rFont val="Calibri"/>
        <family val="2"/>
        <scheme val="minor"/>
      </rPr>
      <t xml:space="preserve"> IKKalpha was expressed in the nucleus of basal cells of normal </t>
    </r>
    <r>
      <rPr>
        <b/>
        <sz val="11"/>
        <color rgb="FF333333"/>
        <rFont val="Calibri"/>
        <family val="2"/>
        <scheme val="minor"/>
      </rPr>
      <t xml:space="preserve">oral </t>
    </r>
    <r>
      <rPr>
        <sz val="11"/>
        <color rgb="FF333333"/>
        <rFont val="Calibri"/>
        <family val="2"/>
        <scheme val="minor"/>
      </rPr>
      <t xml:space="preserve">epithelium, but not or marginally detected in 32.8% of carcinomas. </t>
    </r>
    <r>
      <rPr>
        <b/>
        <sz val="11"/>
        <color rgb="FF333333"/>
        <rFont val="Calibri"/>
        <family val="2"/>
        <scheme val="minor"/>
      </rPr>
      <t xml:space="preserve">4) </t>
    </r>
    <r>
      <rPr>
        <sz val="11"/>
        <color rgb="FF333333"/>
        <rFont val="Calibri"/>
        <family val="2"/>
        <scheme val="minor"/>
      </rPr>
      <t xml:space="preserve">The immunoreactivity was significantly decreased in less differentiated carcinomas (P &lt; 0.05) and correlated to long-term survival of patients (P &lt; 0.01) with an independent prognostic value (P &lt; 0.05). </t>
    </r>
  </si>
  <si>
    <r>
      <rPr>
        <b/>
        <sz val="11"/>
        <color rgb="FF333333"/>
        <rFont val="Calibri"/>
        <family val="2"/>
        <scheme val="minor"/>
      </rPr>
      <t>1)</t>
    </r>
    <r>
      <rPr>
        <sz val="11"/>
        <color rgb="FF333333"/>
        <rFont val="Calibri"/>
        <family val="2"/>
        <scheme val="minor"/>
      </rPr>
      <t xml:space="preserve"> </t>
    </r>
    <r>
      <rPr>
        <b/>
        <sz val="11"/>
        <color rgb="FF333333"/>
        <rFont val="Calibri"/>
        <family val="2"/>
        <scheme val="minor"/>
      </rPr>
      <t>CIP2A</t>
    </r>
    <r>
      <rPr>
        <sz val="11"/>
        <color rgb="FF333333"/>
        <rFont val="Calibri"/>
        <family val="2"/>
        <scheme val="minor"/>
      </rPr>
      <t xml:space="preserve"> knockdown enhanced </t>
    </r>
    <r>
      <rPr>
        <b/>
        <sz val="11"/>
        <color rgb="FF333333"/>
        <rFont val="Calibri"/>
        <family val="2"/>
        <scheme val="minor"/>
      </rPr>
      <t>DDP</t>
    </r>
    <r>
      <rPr>
        <sz val="11"/>
        <color rgb="FF333333"/>
        <rFont val="Calibri"/>
        <family val="2"/>
        <scheme val="minor"/>
      </rPr>
      <t xml:space="preserve"> sensitivity. </t>
    </r>
    <r>
      <rPr>
        <b/>
        <sz val="11"/>
        <color rgb="FF333333"/>
        <rFont val="Calibri"/>
        <family val="2"/>
        <scheme val="minor"/>
      </rPr>
      <t>2)</t>
    </r>
    <r>
      <rPr>
        <sz val="11"/>
        <color rgb="FF333333"/>
        <rFont val="Calibri"/>
        <family val="2"/>
        <scheme val="minor"/>
      </rPr>
      <t xml:space="preserve"> CIP2A depletion accelerated the process of DNA damage caused by DDP treatment. </t>
    </r>
    <r>
      <rPr>
        <b/>
        <sz val="11"/>
        <color rgb="FF333333"/>
        <rFont val="Calibri"/>
        <family val="2"/>
        <scheme val="minor"/>
      </rPr>
      <t>3) CIP2A</t>
    </r>
    <r>
      <rPr>
        <sz val="11"/>
        <color rgb="FF333333"/>
        <rFont val="Calibri"/>
        <family val="2"/>
        <scheme val="minor"/>
      </rPr>
      <t xml:space="preserve"> suppression increased the cytotoxicity of DDP, which resulted in a decrease in the subcutaneous tumor growth in a xenograft mouse model.</t>
    </r>
    <r>
      <rPr>
        <b/>
        <sz val="11"/>
        <color rgb="FF333333"/>
        <rFont val="Calibri"/>
        <family val="2"/>
        <scheme val="minor"/>
      </rPr>
      <t>4) CIP2A</t>
    </r>
    <r>
      <rPr>
        <sz val="11"/>
        <color rgb="FF333333"/>
        <rFont val="Calibri"/>
        <family val="2"/>
        <scheme val="minor"/>
      </rPr>
      <t xml:space="preserve"> has higher expression in </t>
    </r>
    <r>
      <rPr>
        <b/>
        <sz val="11"/>
        <color rgb="FF333333"/>
        <rFont val="Calibri"/>
        <family val="2"/>
        <scheme val="minor"/>
      </rPr>
      <t>DDP</t>
    </r>
    <r>
      <rPr>
        <sz val="11"/>
        <color rgb="FF333333"/>
        <rFont val="Calibri"/>
        <family val="2"/>
        <scheme val="minor"/>
      </rPr>
      <t xml:space="preserve">-resistant </t>
    </r>
    <r>
      <rPr>
        <b/>
        <sz val="11"/>
        <color rgb="FF333333"/>
        <rFont val="Calibri"/>
        <family val="2"/>
        <scheme val="minor"/>
      </rPr>
      <t>GC</t>
    </r>
    <r>
      <rPr>
        <sz val="11"/>
        <color rgb="FF333333"/>
        <rFont val="Calibri"/>
        <family val="2"/>
        <scheme val="minor"/>
      </rPr>
      <t xml:space="preserve"> patients. </t>
    </r>
    <r>
      <rPr>
        <b/>
        <sz val="11"/>
        <color rgb="FF333333"/>
        <rFont val="Calibri"/>
        <family val="2"/>
        <scheme val="minor"/>
      </rPr>
      <t xml:space="preserve">5) </t>
    </r>
    <r>
      <rPr>
        <sz val="11"/>
        <color rgb="FF333333"/>
        <rFont val="Calibri"/>
        <family val="2"/>
        <scheme val="minor"/>
      </rPr>
      <t xml:space="preserve">DDP-resistant </t>
    </r>
    <r>
      <rPr>
        <b/>
        <sz val="11"/>
        <color rgb="FF333333"/>
        <rFont val="Calibri"/>
        <family val="2"/>
        <scheme val="minor"/>
      </rPr>
      <t>GC</t>
    </r>
    <r>
      <rPr>
        <sz val="11"/>
        <color rgb="FF333333"/>
        <rFont val="Calibri"/>
        <family val="2"/>
        <scheme val="minor"/>
      </rPr>
      <t xml:space="preserve"> patients with high CIP2A expression presented with poorer overall survival rates than those with low CIP2A expression. </t>
    </r>
    <r>
      <rPr>
        <b/>
        <sz val="11"/>
        <color rgb="FF333333"/>
        <rFont val="Calibri"/>
        <family val="2"/>
        <scheme val="minor"/>
      </rPr>
      <t>6) CIP2A</t>
    </r>
    <r>
      <rPr>
        <sz val="11"/>
        <color rgb="FF333333"/>
        <rFont val="Calibri"/>
        <family val="2"/>
        <scheme val="minor"/>
      </rPr>
      <t xml:space="preserve"> knockdown in </t>
    </r>
    <r>
      <rPr>
        <b/>
        <sz val="11"/>
        <color rgb="FF333333"/>
        <rFont val="Calibri"/>
        <family val="2"/>
        <scheme val="minor"/>
      </rPr>
      <t>DDP</t>
    </r>
    <r>
      <rPr>
        <sz val="11"/>
        <color rgb="FF333333"/>
        <rFont val="Calibri"/>
        <family val="2"/>
        <scheme val="minor"/>
      </rPr>
      <t xml:space="preserve">-resistant GC cells resulted in attenuated proliferative abilities and increased apoptosis level. </t>
    </r>
    <r>
      <rPr>
        <b/>
        <sz val="11"/>
        <color rgb="FF333333"/>
        <rFont val="Calibri"/>
        <family val="2"/>
        <scheme val="minor"/>
      </rPr>
      <t xml:space="preserve">7) </t>
    </r>
    <r>
      <rPr>
        <sz val="11"/>
        <color rgb="FF333333"/>
        <rFont val="Calibri"/>
        <family val="2"/>
        <scheme val="minor"/>
      </rPr>
      <t xml:space="preserve">CIP2A depletion sensitizes DDP-resistant cells to DDP and CIP2A overexpression antagonizes DDP-sensitive cells to DDP. </t>
    </r>
    <r>
      <rPr>
        <b/>
        <sz val="11"/>
        <color rgb="FF333333"/>
        <rFont val="Calibri"/>
        <family val="2"/>
        <scheme val="minor"/>
      </rPr>
      <t>8)</t>
    </r>
    <r>
      <rPr>
        <sz val="11"/>
        <color rgb="FF333333"/>
        <rFont val="Calibri"/>
        <family val="2"/>
        <scheme val="minor"/>
      </rPr>
      <t xml:space="preserve"> CIP2A influences the expression of multidrug resistance-related proteins in GC cells. </t>
    </r>
    <r>
      <rPr>
        <b/>
        <sz val="11"/>
        <color rgb="FF333333"/>
        <rFont val="Calibri"/>
        <family val="2"/>
        <scheme val="minor"/>
      </rPr>
      <t>9) CIP2A</t>
    </r>
    <r>
      <rPr>
        <sz val="11"/>
        <color rgb="FF333333"/>
        <rFont val="Calibri"/>
        <family val="2"/>
        <scheme val="minor"/>
      </rPr>
      <t xml:space="preserve"> promoted epithelial-mesenchymal transformation (EMT) and chemoresistance to </t>
    </r>
    <r>
      <rPr>
        <b/>
        <sz val="11"/>
        <color rgb="FF333333"/>
        <rFont val="Calibri"/>
        <family val="2"/>
        <scheme val="minor"/>
      </rPr>
      <t>cisplatin</t>
    </r>
    <r>
      <rPr>
        <sz val="11"/>
        <color rgb="FF333333"/>
        <rFont val="Calibri"/>
        <family val="2"/>
        <scheme val="minor"/>
      </rPr>
      <t xml:space="preserve"> in </t>
    </r>
    <r>
      <rPr>
        <b/>
        <sz val="11"/>
        <color rgb="FF333333"/>
        <rFont val="Calibri"/>
        <family val="2"/>
        <scheme val="minor"/>
      </rPr>
      <t>RCC</t>
    </r>
    <r>
      <rPr>
        <sz val="11"/>
        <color rgb="FF333333"/>
        <rFont val="Calibri"/>
        <family val="2"/>
        <scheme val="minor"/>
      </rPr>
      <t xml:space="preserve"> cells. </t>
    </r>
    <r>
      <rPr>
        <b/>
        <sz val="11"/>
        <color rgb="FF333333"/>
        <rFont val="Calibri"/>
        <family val="2"/>
        <scheme val="minor"/>
      </rPr>
      <t>10)</t>
    </r>
    <r>
      <rPr>
        <sz val="11"/>
        <color rgb="FF333333"/>
        <rFont val="Calibri"/>
        <family val="2"/>
        <scheme val="minor"/>
      </rPr>
      <t xml:space="preserve"> Knockdown of </t>
    </r>
    <r>
      <rPr>
        <b/>
        <sz val="11"/>
        <color rgb="FF333333"/>
        <rFont val="Calibri"/>
        <family val="2"/>
        <scheme val="minor"/>
      </rPr>
      <t>CIP2A</t>
    </r>
    <r>
      <rPr>
        <sz val="11"/>
        <color rgb="FF333333"/>
        <rFont val="Calibri"/>
        <family val="2"/>
        <scheme val="minor"/>
      </rPr>
      <t xml:space="preserve"> sensitizes </t>
    </r>
    <r>
      <rPr>
        <b/>
        <sz val="11"/>
        <color rgb="FF333333"/>
        <rFont val="Calibri"/>
        <family val="2"/>
        <scheme val="minor"/>
      </rPr>
      <t>ovarian</t>
    </r>
    <r>
      <rPr>
        <sz val="11"/>
        <color rgb="FF333333"/>
        <rFont val="Calibri"/>
        <family val="2"/>
        <scheme val="minor"/>
      </rPr>
      <t xml:space="preserve"> cancer cells to cisplatin. </t>
    </r>
    <r>
      <rPr>
        <b/>
        <sz val="11"/>
        <color rgb="FF333333"/>
        <rFont val="Calibri"/>
        <family val="2"/>
        <scheme val="minor"/>
      </rPr>
      <t>11) CIP2A</t>
    </r>
    <r>
      <rPr>
        <sz val="11"/>
        <color rgb="FF333333"/>
        <rFont val="Calibri"/>
        <family val="2"/>
        <scheme val="minor"/>
      </rPr>
      <t xml:space="preserve"> overexpression increases </t>
    </r>
    <r>
      <rPr>
        <b/>
        <sz val="11"/>
        <color rgb="FF333333"/>
        <rFont val="Calibri"/>
        <family val="2"/>
        <scheme val="minor"/>
      </rPr>
      <t>DDP</t>
    </r>
    <r>
      <rPr>
        <sz val="11"/>
        <color rgb="FF333333"/>
        <rFont val="Calibri"/>
        <family val="2"/>
        <scheme val="minor"/>
      </rPr>
      <t xml:space="preserve"> resistance in SKOV3 cells via </t>
    </r>
    <r>
      <rPr>
        <b/>
        <sz val="11"/>
        <color rgb="FF333333"/>
        <rFont val="Calibri"/>
        <family val="2"/>
        <scheme val="minor"/>
      </rPr>
      <t>pAKT</t>
    </r>
    <r>
      <rPr>
        <sz val="11"/>
        <color rgb="FF333333"/>
        <rFont val="Calibri"/>
        <family val="2"/>
        <scheme val="minor"/>
      </rPr>
      <t xml:space="preserve"> activity. </t>
    </r>
  </si>
  <si>
    <r>
      <rPr>
        <b/>
        <sz val="11"/>
        <color rgb="FF333333"/>
        <rFont val="Calibri"/>
        <family val="2"/>
        <scheme val="minor"/>
      </rPr>
      <t xml:space="preserve">1) </t>
    </r>
    <r>
      <rPr>
        <sz val="11"/>
        <color rgb="FF333333"/>
        <rFont val="Calibri"/>
        <family val="2"/>
        <scheme val="minor"/>
      </rPr>
      <t xml:space="preserve">Clock is overexpressed in </t>
    </r>
    <r>
      <rPr>
        <b/>
        <sz val="11"/>
        <color rgb="FF333333"/>
        <rFont val="Calibri"/>
        <family val="2"/>
        <scheme val="minor"/>
      </rPr>
      <t>cisplatin</t>
    </r>
    <r>
      <rPr>
        <sz val="11"/>
        <color rgb="FF333333"/>
        <rFont val="Calibri"/>
        <family val="2"/>
        <scheme val="minor"/>
      </rPr>
      <t xml:space="preserve">-resistant cells. </t>
    </r>
    <r>
      <rPr>
        <b/>
        <sz val="11"/>
        <color rgb="FF333333"/>
        <rFont val="Calibri"/>
        <family val="2"/>
        <scheme val="minor"/>
      </rPr>
      <t xml:space="preserve">2) </t>
    </r>
    <r>
      <rPr>
        <sz val="11"/>
        <color rgb="FF333333"/>
        <rFont val="Calibri"/>
        <family val="2"/>
        <scheme val="minor"/>
      </rPr>
      <t xml:space="preserve">Clock expression significantly correlates with cisplatin sensitivity. </t>
    </r>
    <r>
      <rPr>
        <b/>
        <sz val="11"/>
        <color rgb="FF333333"/>
        <rFont val="Calibri"/>
        <family val="2"/>
        <scheme val="minor"/>
      </rPr>
      <t>3)</t>
    </r>
    <r>
      <rPr>
        <sz val="11"/>
        <color rgb="FF333333"/>
        <rFont val="Calibri"/>
        <family val="2"/>
        <scheme val="minor"/>
      </rPr>
      <t xml:space="preserve"> Clock activate ATF4 expression through E-box elements. </t>
    </r>
    <r>
      <rPr>
        <b/>
        <sz val="11"/>
        <color rgb="FF333333"/>
        <rFont val="Calibri"/>
        <family val="2"/>
        <scheme val="minor"/>
      </rPr>
      <t>4)</t>
    </r>
    <r>
      <rPr>
        <sz val="11"/>
        <color rgb="FF333333"/>
        <rFont val="Calibri"/>
        <family val="2"/>
        <scheme val="minor"/>
      </rPr>
      <t xml:space="preserve"> the downregulation of either Clock or ATF4 confers sensitivity of A549 cells to cisplatin and etoposide. </t>
    </r>
    <r>
      <rPr>
        <b/>
        <sz val="11"/>
        <color rgb="FF333333"/>
        <rFont val="Calibri"/>
        <family val="2"/>
        <scheme val="minor"/>
      </rPr>
      <t xml:space="preserve">5) </t>
    </r>
    <r>
      <rPr>
        <sz val="11"/>
        <color rgb="FF333333"/>
        <rFont val="Calibri"/>
        <family val="2"/>
        <scheme val="minor"/>
      </rPr>
      <t xml:space="preserve">Higher expression of several clock genes (e.g., CLOCK, PER1, PER2, PER3, CRY2, NPAS2 and RORC) in </t>
    </r>
    <r>
      <rPr>
        <b/>
        <sz val="11"/>
        <color rgb="FF333333"/>
        <rFont val="Calibri"/>
        <family val="2"/>
        <scheme val="minor"/>
      </rPr>
      <t>breast</t>
    </r>
    <r>
      <rPr>
        <sz val="11"/>
        <color rgb="FF333333"/>
        <rFont val="Calibri"/>
        <family val="2"/>
        <scheme val="minor"/>
      </rPr>
      <t xml:space="preserve"> cancer patients was found to be associated with longer MFS in univariate Cox regression analyses (HR&lt;1 and FDR-adjusted P &lt; 0.05). </t>
    </r>
  </si>
  <si>
    <r>
      <rPr>
        <b/>
        <sz val="11"/>
        <color rgb="FF333333"/>
        <rFont val="Calibri"/>
        <family val="2"/>
        <scheme val="minor"/>
      </rPr>
      <t>1)</t>
    </r>
    <r>
      <rPr>
        <sz val="11"/>
        <color rgb="FF333333"/>
        <rFont val="Calibri"/>
        <family val="2"/>
        <scheme val="minor"/>
      </rPr>
      <t xml:space="preserve"> </t>
    </r>
    <r>
      <rPr>
        <b/>
        <sz val="11"/>
        <color rgb="FF333333"/>
        <rFont val="Calibri"/>
        <family val="2"/>
        <scheme val="minor"/>
      </rPr>
      <t>CLPTM1L</t>
    </r>
    <r>
      <rPr>
        <sz val="11"/>
        <color rgb="FF333333"/>
        <rFont val="Calibri"/>
        <family val="2"/>
        <scheme val="minor"/>
      </rPr>
      <t xml:space="preserve"> has been identified as an overexpressed protein in human </t>
    </r>
    <r>
      <rPr>
        <b/>
        <sz val="11"/>
        <color rgb="FF333333"/>
        <rFont val="Calibri"/>
        <family val="2"/>
        <scheme val="minor"/>
      </rPr>
      <t>ovarian</t>
    </r>
    <r>
      <rPr>
        <sz val="11"/>
        <color rgb="FF333333"/>
        <rFont val="Calibri"/>
        <family val="2"/>
        <scheme val="minor"/>
      </rPr>
      <t xml:space="preserve"> tumor cell lines that are resistant to </t>
    </r>
    <r>
      <rPr>
        <b/>
        <sz val="11"/>
        <color rgb="FF333333"/>
        <rFont val="Calibri"/>
        <family val="2"/>
        <scheme val="minor"/>
      </rPr>
      <t>cisplatin</t>
    </r>
    <r>
      <rPr>
        <sz val="11"/>
        <color rgb="FF333333"/>
        <rFont val="Calibri"/>
        <family val="2"/>
        <scheme val="minor"/>
      </rPr>
      <t xml:space="preserve">. </t>
    </r>
    <r>
      <rPr>
        <b/>
        <sz val="11"/>
        <color rgb="FF333333"/>
        <rFont val="Calibri"/>
        <family val="2"/>
        <scheme val="minor"/>
      </rPr>
      <t>2)</t>
    </r>
    <r>
      <rPr>
        <sz val="11"/>
        <color rgb="FF333333"/>
        <rFont val="Calibri"/>
        <family val="2"/>
        <scheme val="minor"/>
      </rPr>
      <t xml:space="preserve"> Upon loss of CLPTM1L accumulation in lung tumor cells, cisplatin and camptothecin induced apoptosis were increased in direct proportion to the level of CLPTM1L knockdown. </t>
    </r>
    <r>
      <rPr>
        <b/>
        <sz val="11"/>
        <color rgb="FF333333"/>
        <rFont val="Calibri"/>
        <family val="2"/>
        <scheme val="minor"/>
      </rPr>
      <t>3)</t>
    </r>
    <r>
      <rPr>
        <sz val="11"/>
        <color rgb="FF333333"/>
        <rFont val="Calibri"/>
        <family val="2"/>
        <scheme val="minor"/>
      </rPr>
      <t xml:space="preserve"> CLPTM1L protects from genotoxic stress induced apoptosis through regulation of Bcl-xL. </t>
    </r>
  </si>
  <si>
    <r>
      <rPr>
        <b/>
        <sz val="11"/>
        <color rgb="FF333333"/>
        <rFont val="Calibri"/>
        <family val="2"/>
        <scheme val="minor"/>
      </rPr>
      <t>1) DDP</t>
    </r>
    <r>
      <rPr>
        <sz val="11"/>
        <color rgb="FF333333"/>
        <rFont val="Calibri"/>
        <family val="2"/>
        <scheme val="minor"/>
      </rPr>
      <t xml:space="preserve">-induced secreted </t>
    </r>
    <r>
      <rPr>
        <b/>
        <sz val="11"/>
        <color rgb="FF333333"/>
        <rFont val="Calibri"/>
        <family val="2"/>
        <scheme val="minor"/>
      </rPr>
      <t>clusterin</t>
    </r>
    <r>
      <rPr>
        <sz val="11"/>
        <color rgb="FF333333"/>
        <rFont val="Calibri"/>
        <family val="2"/>
        <scheme val="minor"/>
      </rPr>
      <t xml:space="preserve"> (sCLU) activation, which involved induction of pAkt and pERK1/2 activation that confer DDP resistance in immunocompromised mice. </t>
    </r>
    <r>
      <rPr>
        <b/>
        <sz val="11"/>
        <color rgb="FF333333"/>
        <rFont val="Calibri"/>
        <family val="2"/>
        <scheme val="minor"/>
      </rPr>
      <t>2)</t>
    </r>
    <r>
      <rPr>
        <sz val="11"/>
        <color rgb="FF333333"/>
        <rFont val="Calibri"/>
        <family val="2"/>
        <scheme val="minor"/>
      </rPr>
      <t xml:space="preserve"> sCLU silencing increased the sensitivity of </t>
    </r>
    <r>
      <rPr>
        <b/>
        <sz val="11"/>
        <color rgb="FF333333"/>
        <rFont val="Calibri"/>
        <family val="2"/>
        <scheme val="minor"/>
      </rPr>
      <t>lung</t>
    </r>
    <r>
      <rPr>
        <sz val="11"/>
        <color rgb="FF333333"/>
        <rFont val="Calibri"/>
        <family val="2"/>
        <scheme val="minor"/>
      </rPr>
      <t xml:space="preserve"> cancer A549DDP cells to </t>
    </r>
    <r>
      <rPr>
        <b/>
        <sz val="11"/>
        <color rgb="FF333333"/>
        <rFont val="Calibri"/>
        <family val="2"/>
        <scheme val="minor"/>
      </rPr>
      <t>DDP</t>
    </r>
    <r>
      <rPr>
        <sz val="11"/>
        <color rgb="FF333333"/>
        <rFont val="Calibri"/>
        <family val="2"/>
        <scheme val="minor"/>
      </rPr>
      <t xml:space="preserve"> in vivo. </t>
    </r>
    <r>
      <rPr>
        <b/>
        <sz val="11"/>
        <color rgb="FF333333"/>
        <rFont val="Calibri"/>
        <family val="2"/>
        <scheme val="minor"/>
      </rPr>
      <t>3)</t>
    </r>
    <r>
      <rPr>
        <sz val="11"/>
        <color rgb="FF333333"/>
        <rFont val="Calibri"/>
        <family val="2"/>
        <scheme val="minor"/>
      </rPr>
      <t xml:space="preserve"> sCLU overexpression decreased the chemosensitivity of A549 cells to DDP in vivo. </t>
    </r>
    <r>
      <rPr>
        <b/>
        <sz val="11"/>
        <color rgb="FF333333"/>
        <rFont val="Calibri"/>
        <family val="2"/>
        <scheme val="minor"/>
      </rPr>
      <t xml:space="preserve">4) </t>
    </r>
    <r>
      <rPr>
        <sz val="11"/>
        <color rgb="FF333333"/>
        <rFont val="Calibri"/>
        <family val="2"/>
        <scheme val="minor"/>
      </rPr>
      <t xml:space="preserve">The expression level of </t>
    </r>
    <r>
      <rPr>
        <b/>
        <sz val="11"/>
        <color rgb="FF333333"/>
        <rFont val="Calibri"/>
        <family val="2"/>
        <scheme val="minor"/>
      </rPr>
      <t>clusterin</t>
    </r>
    <r>
      <rPr>
        <sz val="11"/>
        <color rgb="FF333333"/>
        <rFont val="Calibri"/>
        <family val="2"/>
        <scheme val="minor"/>
      </rPr>
      <t xml:space="preserve"> did not correlate with age, gender, grade or stage. However, its expression was significantly associated with a decrease in disease-free survival (P &lt; 0.05) in </t>
    </r>
    <r>
      <rPr>
        <b/>
        <sz val="11"/>
        <color rgb="FF333333"/>
        <rFont val="Calibri"/>
        <family val="2"/>
        <scheme val="minor"/>
      </rPr>
      <t>colorectal</t>
    </r>
    <r>
      <rPr>
        <sz val="11"/>
        <color rgb="FF333333"/>
        <rFont val="Calibri"/>
        <family val="2"/>
        <scheme val="minor"/>
      </rPr>
      <t xml:space="preserve"> carcinomas. </t>
    </r>
    <r>
      <rPr>
        <b/>
        <sz val="11"/>
        <color rgb="FF333333"/>
        <rFont val="Calibri"/>
        <family val="2"/>
        <scheme val="minor"/>
      </rPr>
      <t>5)</t>
    </r>
    <r>
      <rPr>
        <sz val="11"/>
        <color rgb="FF333333"/>
        <rFont val="Calibri"/>
        <family val="2"/>
        <scheme val="minor"/>
      </rPr>
      <t xml:space="preserve"> </t>
    </r>
    <r>
      <rPr>
        <b/>
        <sz val="11"/>
        <color rgb="FF333333"/>
        <rFont val="Calibri"/>
        <family val="2"/>
        <scheme val="minor"/>
      </rPr>
      <t>sCLU</t>
    </r>
    <r>
      <rPr>
        <sz val="11"/>
        <color rgb="FF333333"/>
        <rFont val="Calibri"/>
        <family val="2"/>
        <scheme val="minor"/>
      </rPr>
      <t xml:space="preserve"> overexpression promoted autophagy through AMPK/Akt/mTOR signaling pathway. </t>
    </r>
    <r>
      <rPr>
        <b/>
        <sz val="11"/>
        <color rgb="FF333333"/>
        <rFont val="Calibri"/>
        <family val="2"/>
        <scheme val="minor"/>
      </rPr>
      <t>6)</t>
    </r>
    <r>
      <rPr>
        <sz val="11"/>
        <color rgb="FF333333"/>
        <rFont val="Calibri"/>
        <family val="2"/>
        <scheme val="minor"/>
      </rPr>
      <t xml:space="preserve"> </t>
    </r>
    <r>
      <rPr>
        <b/>
        <sz val="11"/>
        <color rgb="FF333333"/>
        <rFont val="Calibri"/>
        <family val="2"/>
        <scheme val="minor"/>
      </rPr>
      <t>sCLU</t>
    </r>
    <r>
      <rPr>
        <sz val="11"/>
        <color rgb="FF333333"/>
        <rFont val="Calibri"/>
        <family val="2"/>
        <scheme val="minor"/>
      </rPr>
      <t xml:space="preserve"> interact with </t>
    </r>
    <r>
      <rPr>
        <b/>
        <sz val="11"/>
        <color rgb="FF333333"/>
        <rFont val="Calibri"/>
        <family val="2"/>
        <scheme val="minor"/>
      </rPr>
      <t>ULK1</t>
    </r>
    <r>
      <rPr>
        <sz val="11"/>
        <color rgb="FF333333"/>
        <rFont val="Calibri"/>
        <family val="2"/>
        <scheme val="minor"/>
      </rPr>
      <t xml:space="preserve">.  </t>
    </r>
    <r>
      <rPr>
        <b/>
        <sz val="11"/>
        <color rgb="FF333333"/>
        <rFont val="Calibri"/>
        <family val="2"/>
        <scheme val="minor"/>
      </rPr>
      <t>7)</t>
    </r>
    <r>
      <rPr>
        <sz val="11"/>
        <color rgb="FF333333"/>
        <rFont val="Calibri"/>
        <family val="2"/>
        <scheme val="minor"/>
      </rPr>
      <t xml:space="preserve"> high </t>
    </r>
    <r>
      <rPr>
        <b/>
        <sz val="11"/>
        <color rgb="FF333333"/>
        <rFont val="Calibri"/>
        <family val="2"/>
        <scheme val="minor"/>
      </rPr>
      <t>CLU</t>
    </r>
    <r>
      <rPr>
        <sz val="11"/>
        <color rgb="FF333333"/>
        <rFont val="Calibri"/>
        <family val="2"/>
        <scheme val="minor"/>
      </rPr>
      <t xml:space="preserve"> expression is associated with therapy resistance in cancer and we demonstrated that sCLU-mediated mitophagy was revealed to inhibit cell death by </t>
    </r>
    <r>
      <rPr>
        <b/>
        <sz val="11"/>
        <color rgb="FF333333"/>
        <rFont val="Calibri"/>
        <family val="2"/>
        <scheme val="minor"/>
      </rPr>
      <t xml:space="preserve">cisplatin </t>
    </r>
    <r>
      <rPr>
        <sz val="11"/>
        <color rgb="FF333333"/>
        <rFont val="Calibri"/>
        <family val="2"/>
        <scheme val="minor"/>
      </rPr>
      <t>in</t>
    </r>
    <r>
      <rPr>
        <b/>
        <sz val="11"/>
        <color rgb="FF333333"/>
        <rFont val="Calibri"/>
        <family val="2"/>
        <scheme val="minor"/>
      </rPr>
      <t xml:space="preserve"> Oral </t>
    </r>
    <r>
      <rPr>
        <sz val="11"/>
        <color rgb="FF333333"/>
        <rFont val="Calibri"/>
        <family val="2"/>
        <scheme val="minor"/>
      </rPr>
      <t>cancer.</t>
    </r>
  </si>
  <si>
    <r>
      <rPr>
        <b/>
        <sz val="11"/>
        <color rgb="FF333333"/>
        <rFont val="Calibri"/>
        <family val="2"/>
        <scheme val="minor"/>
      </rPr>
      <t xml:space="preserve">1) </t>
    </r>
    <r>
      <rPr>
        <sz val="11"/>
        <color rgb="FF333333"/>
        <rFont val="Calibri"/>
        <family val="2"/>
        <scheme val="minor"/>
      </rPr>
      <t xml:space="preserve">knockdown of </t>
    </r>
    <r>
      <rPr>
        <b/>
        <sz val="11"/>
        <color rgb="FF333333"/>
        <rFont val="Calibri"/>
        <family val="2"/>
        <scheme val="minor"/>
      </rPr>
      <t>α(E)-catenin</t>
    </r>
    <r>
      <rPr>
        <sz val="11"/>
        <color rgb="FF333333"/>
        <rFont val="Calibri"/>
        <family val="2"/>
        <scheme val="minor"/>
      </rPr>
      <t xml:space="preserve"> in </t>
    </r>
    <r>
      <rPr>
        <b/>
        <sz val="11"/>
        <color rgb="FF333333"/>
        <rFont val="Calibri"/>
        <family val="2"/>
        <scheme val="minor"/>
      </rPr>
      <t xml:space="preserve">tubular epithelial cells </t>
    </r>
    <r>
      <rPr>
        <sz val="11"/>
        <color rgb="FF333333"/>
        <rFont val="Calibri"/>
        <family val="2"/>
        <scheme val="minor"/>
      </rPr>
      <t xml:space="preserve">resulted in a significant loss of viability after </t>
    </r>
    <r>
      <rPr>
        <b/>
        <sz val="11"/>
        <color rgb="FF333333"/>
        <rFont val="Calibri"/>
        <family val="2"/>
        <scheme val="minor"/>
      </rPr>
      <t>cisplatin</t>
    </r>
    <r>
      <rPr>
        <sz val="11"/>
        <color rgb="FF333333"/>
        <rFont val="Calibri"/>
        <family val="2"/>
        <scheme val="minor"/>
      </rPr>
      <t xml:space="preserve"> challenge. </t>
    </r>
    <r>
      <rPr>
        <b/>
        <sz val="11"/>
        <color rgb="FF333333"/>
        <rFont val="Calibri"/>
        <family val="2"/>
        <scheme val="minor"/>
      </rPr>
      <t xml:space="preserve">2) </t>
    </r>
    <r>
      <rPr>
        <sz val="11"/>
        <color rgb="FF333333"/>
        <rFont val="Calibri"/>
        <family val="2"/>
        <scheme val="minor"/>
      </rPr>
      <t xml:space="preserve">the expression of α(E)-catenin was further decreased after cisplatin treatment. </t>
    </r>
    <r>
      <rPr>
        <b/>
        <sz val="11"/>
        <color rgb="FF333333"/>
        <rFont val="Calibri"/>
        <family val="2"/>
        <scheme val="minor"/>
      </rPr>
      <t xml:space="preserve">3) </t>
    </r>
    <r>
      <rPr>
        <sz val="11"/>
        <color rgb="FF333333"/>
        <rFont val="Calibri"/>
        <family val="2"/>
        <scheme val="minor"/>
      </rPr>
      <t xml:space="preserve">In all E-cad(+) tumours, the frequency of lymph node and liver metastasis was higher in </t>
    </r>
    <r>
      <rPr>
        <b/>
        <sz val="11"/>
        <color rgb="FF333333"/>
        <rFont val="Calibri"/>
        <family val="2"/>
        <scheme val="minor"/>
      </rPr>
      <t>alpha-cat(-)</t>
    </r>
    <r>
      <rPr>
        <sz val="11"/>
        <color rgb="FF333333"/>
        <rFont val="Calibri"/>
        <family val="2"/>
        <scheme val="minor"/>
      </rPr>
      <t xml:space="preserve"> tumours than in </t>
    </r>
    <r>
      <rPr>
        <b/>
        <sz val="11"/>
        <color rgb="FF333333"/>
        <rFont val="Calibri"/>
        <family val="2"/>
        <scheme val="minor"/>
      </rPr>
      <t>alpha-cat(+)</t>
    </r>
    <r>
      <rPr>
        <sz val="11"/>
        <color rgb="FF333333"/>
        <rFont val="Calibri"/>
        <family val="2"/>
        <scheme val="minor"/>
      </rPr>
      <t xml:space="preserve"> tumours in human </t>
    </r>
    <r>
      <rPr>
        <b/>
        <sz val="11"/>
        <color rgb="FF333333"/>
        <rFont val="Calibri"/>
        <family val="2"/>
        <scheme val="minor"/>
      </rPr>
      <t>gastric</t>
    </r>
    <r>
      <rPr>
        <sz val="11"/>
        <color rgb="FF333333"/>
        <rFont val="Calibri"/>
        <family val="2"/>
        <scheme val="minor"/>
      </rPr>
      <t xml:space="preserve"> cancer. </t>
    </r>
    <r>
      <rPr>
        <b/>
        <sz val="11"/>
        <color rgb="FF333333"/>
        <rFont val="Calibri"/>
        <family val="2"/>
        <scheme val="minor"/>
      </rPr>
      <t xml:space="preserve">4) </t>
    </r>
    <r>
      <rPr>
        <sz val="11"/>
        <color rgb="FF333333"/>
        <rFont val="Calibri"/>
        <family val="2"/>
        <scheme val="minor"/>
      </rPr>
      <t xml:space="preserve">compared with their parental </t>
    </r>
    <r>
      <rPr>
        <b/>
        <sz val="11"/>
        <color rgb="FF333333"/>
        <rFont val="Calibri"/>
        <family val="2"/>
        <scheme val="minor"/>
      </rPr>
      <t>CDDP</t>
    </r>
    <r>
      <rPr>
        <sz val="11"/>
        <color rgb="FF333333"/>
        <rFont val="Calibri"/>
        <family val="2"/>
        <scheme val="minor"/>
      </rPr>
      <t xml:space="preserve">-sensitive lines, the expressions of mesenchymal markers (vimentin, fibronectin and N-cadherin) increased significantly and the expressions of epithelial markers (E-cadherin, </t>
    </r>
    <r>
      <rPr>
        <b/>
        <sz val="11"/>
        <color rgb="FF333333"/>
        <rFont val="Calibri"/>
        <family val="2"/>
        <scheme val="minor"/>
      </rPr>
      <t>α-catenin</t>
    </r>
    <r>
      <rPr>
        <sz val="11"/>
        <color rgb="FF333333"/>
        <rFont val="Calibri"/>
        <family val="2"/>
        <scheme val="minor"/>
      </rPr>
      <t xml:space="preserve"> and β-catenin) decreased dramatically in A549-res and NCI-H520-res cells. </t>
    </r>
  </si>
  <si>
    <r>
      <rPr>
        <b/>
        <sz val="11"/>
        <color rgb="FF333333"/>
        <rFont val="Calibri"/>
        <family val="2"/>
        <scheme val="minor"/>
      </rPr>
      <t xml:space="preserve">1) </t>
    </r>
    <r>
      <rPr>
        <sz val="11"/>
        <color rgb="FF333333"/>
        <rFont val="Calibri"/>
        <family val="2"/>
        <scheme val="minor"/>
      </rPr>
      <t>overexpression of</t>
    </r>
    <r>
      <rPr>
        <b/>
        <sz val="11"/>
        <color rgb="FF333333"/>
        <rFont val="Calibri"/>
        <family val="2"/>
        <scheme val="minor"/>
      </rPr>
      <t xml:space="preserve"> CUEDC2 </t>
    </r>
    <r>
      <rPr>
        <sz val="11"/>
        <color rgb="FF333333"/>
        <rFont val="Calibri"/>
        <family val="2"/>
        <scheme val="minor"/>
      </rPr>
      <t xml:space="preserve">might be a promising biomarker to evaluate the progression and to predict likely relapse of serous ovarian carcinoma. </t>
    </r>
    <r>
      <rPr>
        <b/>
        <sz val="11"/>
        <color rgb="FF333333"/>
        <rFont val="Calibri"/>
        <family val="2"/>
        <scheme val="minor"/>
      </rPr>
      <t xml:space="preserve">2) </t>
    </r>
    <r>
      <rPr>
        <sz val="11"/>
        <color rgb="FF333333"/>
        <rFont val="Calibri"/>
        <family val="2"/>
        <scheme val="minor"/>
      </rPr>
      <t xml:space="preserve">higher expression of CUEDC2 was associated with higher resistance to </t>
    </r>
    <r>
      <rPr>
        <b/>
        <sz val="11"/>
        <color rgb="FF333333"/>
        <rFont val="Calibri"/>
        <family val="2"/>
        <scheme val="minor"/>
      </rPr>
      <t>cisplatin</t>
    </r>
    <r>
      <rPr>
        <sz val="11"/>
        <color rgb="FF333333"/>
        <rFont val="Calibri"/>
        <family val="2"/>
        <scheme val="minor"/>
      </rPr>
      <t xml:space="preserve">. </t>
    </r>
    <r>
      <rPr>
        <b/>
        <sz val="11"/>
        <color rgb="FF333333"/>
        <rFont val="Calibri"/>
        <family val="2"/>
        <scheme val="minor"/>
      </rPr>
      <t xml:space="preserve">3) </t>
    </r>
    <r>
      <rPr>
        <sz val="11"/>
        <color rgb="FF333333"/>
        <rFont val="Calibri"/>
        <family val="2"/>
        <scheme val="minor"/>
      </rPr>
      <t xml:space="preserve">The overall survival (OS) and disease-free survival time (DFS) of patients with cisplatin resistant was shorter than that of those with cisplatin sensitive, respectively, and the </t>
    </r>
    <r>
      <rPr>
        <b/>
        <sz val="11"/>
        <color rgb="FF333333"/>
        <rFont val="Calibri"/>
        <family val="2"/>
        <scheme val="minor"/>
      </rPr>
      <t>cisplatin</t>
    </r>
    <r>
      <rPr>
        <sz val="11"/>
        <color rgb="FF333333"/>
        <rFont val="Calibri"/>
        <family val="2"/>
        <scheme val="minor"/>
      </rPr>
      <t xml:space="preserve"> sensitivity was independent predictor of a shorter OS time and DFS time.</t>
    </r>
    <r>
      <rPr>
        <b/>
        <sz val="11"/>
        <color rgb="FF333333"/>
        <rFont val="Calibri"/>
        <family val="2"/>
        <scheme val="minor"/>
      </rPr>
      <t xml:space="preserve"> 4) </t>
    </r>
    <r>
      <rPr>
        <sz val="11"/>
        <color rgb="FF333333"/>
        <rFont val="Calibri"/>
        <family val="2"/>
        <scheme val="minor"/>
      </rPr>
      <t xml:space="preserve">Knockdown of CUEDC2 by siRNA enhanced the cisplatin sensitivity of serous ovarian carcinoma cells in SKOV3 cell lines. </t>
    </r>
    <r>
      <rPr>
        <b/>
        <sz val="11"/>
        <color rgb="FF333333"/>
        <rFont val="Calibri"/>
        <family val="2"/>
        <scheme val="minor"/>
      </rPr>
      <t>5)</t>
    </r>
    <r>
      <rPr>
        <sz val="11"/>
        <color rgb="FF333333"/>
        <rFont val="Calibri"/>
        <family val="2"/>
        <scheme val="minor"/>
      </rPr>
      <t xml:space="preserve"> the phosphorylation of p38 MAPK were obviously increased after CUEDC2 knockdown, while p38 MAPK signaling contributes to cell growth and cell apoptosis. </t>
    </r>
  </si>
  <si>
    <r>
      <rPr>
        <b/>
        <sz val="11"/>
        <rFont val="Calibri"/>
        <family val="2"/>
        <scheme val="minor"/>
      </rPr>
      <t>1) Cisplatin</t>
    </r>
    <r>
      <rPr>
        <sz val="11"/>
        <rFont val="Calibri"/>
        <family val="2"/>
        <scheme val="minor"/>
      </rPr>
      <t xml:space="preserve">-induced cytotoxicity was augmented by depletion of </t>
    </r>
    <r>
      <rPr>
        <b/>
        <sz val="11"/>
        <rFont val="Calibri"/>
        <family val="2"/>
        <scheme val="minor"/>
      </rPr>
      <t>CUL3</t>
    </r>
    <r>
      <rPr>
        <sz val="11"/>
        <rFont val="Calibri"/>
        <family val="2"/>
        <scheme val="minor"/>
      </rPr>
      <t xml:space="preserve">, and antagonized by siCUL1 in both ES2 and SKOV3 </t>
    </r>
    <r>
      <rPr>
        <b/>
        <sz val="11"/>
        <rFont val="Calibri"/>
        <family val="2"/>
        <scheme val="minor"/>
      </rPr>
      <t>ovarian</t>
    </r>
    <r>
      <rPr>
        <sz val="11"/>
        <rFont val="Calibri"/>
        <family val="2"/>
        <scheme val="minor"/>
      </rPr>
      <t xml:space="preserve"> cancer cells. </t>
    </r>
    <r>
      <rPr>
        <b/>
        <sz val="11"/>
        <rFont val="Calibri"/>
        <family val="2"/>
        <scheme val="minor"/>
      </rPr>
      <t xml:space="preserve">2) </t>
    </r>
    <r>
      <rPr>
        <sz val="11"/>
        <rFont val="Calibri"/>
        <family val="2"/>
        <scheme val="minor"/>
      </rPr>
      <t xml:space="preserve">Patients with metastatic </t>
    </r>
    <r>
      <rPr>
        <b/>
        <sz val="11"/>
        <rFont val="Calibri"/>
        <family val="2"/>
        <scheme val="minor"/>
      </rPr>
      <t>NSCLC</t>
    </r>
    <r>
      <rPr>
        <sz val="11"/>
        <rFont val="Calibri"/>
        <family val="2"/>
        <scheme val="minor"/>
      </rPr>
      <t xml:space="preserve"> with mutations in KEAP1, NFE2L2, or </t>
    </r>
    <r>
      <rPr>
        <b/>
        <sz val="11"/>
        <rFont val="Calibri"/>
        <family val="2"/>
        <scheme val="minor"/>
      </rPr>
      <t>CUL3</t>
    </r>
    <r>
      <rPr>
        <sz val="11"/>
        <rFont val="Calibri"/>
        <family val="2"/>
        <scheme val="minor"/>
      </rPr>
      <t xml:space="preserve"> have shorter TTF and OS after first-line </t>
    </r>
    <r>
      <rPr>
        <b/>
        <sz val="11"/>
        <rFont val="Calibri"/>
        <family val="2"/>
        <scheme val="minor"/>
      </rPr>
      <t>platinum</t>
    </r>
    <r>
      <rPr>
        <sz val="11"/>
        <rFont val="Calibri"/>
        <family val="2"/>
        <scheme val="minor"/>
      </rPr>
      <t xml:space="preserve"> doublet chemotherapy compared with matched controls. </t>
    </r>
  </si>
  <si>
    <r>
      <rPr>
        <b/>
        <sz val="11"/>
        <color rgb="FF000000"/>
        <rFont val="Calibri"/>
        <family val="2"/>
        <scheme val="minor"/>
      </rPr>
      <t xml:space="preserve">1) </t>
    </r>
    <r>
      <rPr>
        <sz val="11"/>
        <color indexed="8"/>
        <rFont val="Calibri"/>
        <family val="2"/>
        <scheme val="minor"/>
      </rPr>
      <t>DDB1 and DDB2 cooperate to repress Bcl-2 transcription. </t>
    </r>
    <r>
      <rPr>
        <b/>
        <sz val="11"/>
        <color rgb="FF000000"/>
        <rFont val="Calibri"/>
        <family val="2"/>
        <scheme val="minor"/>
      </rPr>
      <t xml:space="preserve">2) </t>
    </r>
    <r>
      <rPr>
        <sz val="11"/>
        <color indexed="8"/>
        <rFont val="Calibri"/>
        <family val="2"/>
        <scheme val="minor"/>
      </rPr>
      <t>As DDB2</t>
    </r>
  </si>
  <si>
    <r>
      <rPr>
        <b/>
        <sz val="11"/>
        <color rgb="FF000000"/>
        <rFont val="Calibri"/>
        <family val="2"/>
        <scheme val="minor"/>
      </rPr>
      <t>1)</t>
    </r>
    <r>
      <rPr>
        <sz val="11"/>
        <color indexed="8"/>
        <rFont val="Calibri"/>
        <family val="2"/>
        <scheme val="minor"/>
      </rPr>
      <t xml:space="preserve"> NFATc1 or </t>
    </r>
    <r>
      <rPr>
        <b/>
        <sz val="11"/>
        <color rgb="FF000000"/>
        <rFont val="Calibri"/>
        <family val="2"/>
        <scheme val="minor"/>
      </rPr>
      <t>DDIAS</t>
    </r>
    <r>
      <rPr>
        <sz val="11"/>
        <color indexed="8"/>
        <rFont val="Calibri"/>
        <family val="2"/>
        <scheme val="minor"/>
      </rPr>
      <t xml:space="preserve"> inhibition clearly enhanced apoptosis induced by </t>
    </r>
    <r>
      <rPr>
        <b/>
        <sz val="11"/>
        <color rgb="FF000000"/>
        <rFont val="Calibri"/>
        <family val="2"/>
        <scheme val="minor"/>
      </rPr>
      <t>cisplatin</t>
    </r>
    <r>
      <rPr>
        <sz val="11"/>
        <color indexed="8"/>
        <rFont val="Calibri"/>
        <family val="2"/>
        <scheme val="minor"/>
      </rPr>
      <t xml:space="preserve"> in </t>
    </r>
    <r>
      <rPr>
        <b/>
        <sz val="11"/>
        <color rgb="FF000000"/>
        <rFont val="Calibri"/>
        <family val="2"/>
        <scheme val="minor"/>
      </rPr>
      <t>lung</t>
    </r>
    <r>
      <rPr>
        <sz val="11"/>
        <color indexed="8"/>
        <rFont val="Calibri"/>
        <family val="2"/>
        <scheme val="minor"/>
      </rPr>
      <t xml:space="preserve"> cancer </t>
    </r>
    <r>
      <rPr>
        <b/>
        <sz val="11"/>
        <color rgb="FF000000"/>
        <rFont val="Calibri"/>
        <family val="2"/>
        <scheme val="minor"/>
      </rPr>
      <t>NCI-H1703</t>
    </r>
    <r>
      <rPr>
        <sz val="11"/>
        <color indexed="8"/>
        <rFont val="Calibri"/>
        <family val="2"/>
        <scheme val="minor"/>
      </rPr>
      <t xml:space="preserve"> and </t>
    </r>
    <r>
      <rPr>
        <b/>
        <sz val="11"/>
        <color rgb="FF000000"/>
        <rFont val="Calibri"/>
        <family val="2"/>
        <scheme val="minor"/>
      </rPr>
      <t>A549</t>
    </r>
    <r>
      <rPr>
        <sz val="11"/>
        <color indexed="8"/>
        <rFont val="Calibri"/>
        <family val="2"/>
        <scheme val="minor"/>
      </rPr>
      <t xml:space="preserve"> cells. </t>
    </r>
    <r>
      <rPr>
        <b/>
        <sz val="11"/>
        <color rgb="FF000000"/>
        <rFont val="Calibri"/>
        <family val="2"/>
        <scheme val="minor"/>
      </rPr>
      <t xml:space="preserve">2) </t>
    </r>
    <r>
      <rPr>
        <sz val="11"/>
        <color indexed="8"/>
        <rFont val="Calibri"/>
        <family val="2"/>
        <scheme val="minor"/>
      </rPr>
      <t xml:space="preserve">DDIAS overexpression rescued NCI-H1703 cells from cisplatin-mediated cell death and caspase-3/7 activation. </t>
    </r>
  </si>
  <si>
    <r>
      <rPr>
        <b/>
        <sz val="11"/>
        <color rgb="FF000000"/>
        <rFont val="Calibri"/>
        <family val="2"/>
        <scheme val="minor"/>
      </rPr>
      <t>1)</t>
    </r>
    <r>
      <rPr>
        <sz val="11"/>
        <color rgb="FF000000"/>
        <rFont val="Calibri"/>
        <family val="2"/>
        <scheme val="minor"/>
      </rPr>
      <t xml:space="preserve"> </t>
    </r>
    <r>
      <rPr>
        <b/>
        <sz val="11"/>
        <color rgb="FF000000"/>
        <rFont val="Calibri"/>
        <family val="2"/>
        <scheme val="minor"/>
      </rPr>
      <t>CHOP</t>
    </r>
    <r>
      <rPr>
        <sz val="11"/>
        <color rgb="FF000000"/>
        <rFont val="Calibri"/>
        <family val="2"/>
        <scheme val="minor"/>
      </rPr>
      <t xml:space="preserve"> expression in tumor tissues form 69 </t>
    </r>
    <r>
      <rPr>
        <b/>
        <sz val="11"/>
        <color rgb="FF000000"/>
        <rFont val="Calibri"/>
        <family val="2"/>
        <scheme val="minor"/>
      </rPr>
      <t>lung</t>
    </r>
    <r>
      <rPr>
        <sz val="11"/>
        <color rgb="FF000000"/>
        <rFont val="Calibri"/>
        <family val="2"/>
        <scheme val="minor"/>
      </rPr>
      <t xml:space="preserve"> cancer patients: deficient CHOP expression is associated with poor prognosis. </t>
    </r>
    <r>
      <rPr>
        <b/>
        <sz val="11"/>
        <color rgb="FF000000"/>
        <rFont val="Calibri"/>
        <family val="2"/>
        <scheme val="minor"/>
      </rPr>
      <t>2) Cisplatin</t>
    </r>
    <r>
      <rPr>
        <sz val="11"/>
        <color rgb="FF000000"/>
        <rFont val="Calibri"/>
        <family val="2"/>
        <scheme val="minor"/>
      </rPr>
      <t xml:space="preserve">-resistant lung cancer cells exhibited lower expression of </t>
    </r>
    <r>
      <rPr>
        <b/>
        <sz val="11"/>
        <color rgb="FF000000"/>
        <rFont val="Calibri"/>
        <family val="2"/>
        <scheme val="minor"/>
      </rPr>
      <t>CHOP</t>
    </r>
    <r>
      <rPr>
        <sz val="11"/>
        <color rgb="FF000000"/>
        <rFont val="Calibri"/>
        <family val="2"/>
        <scheme val="minor"/>
      </rPr>
      <t xml:space="preserve"> compared to that in sensitive lung cancer cells, </t>
    </r>
    <r>
      <rPr>
        <b/>
        <sz val="11"/>
        <color rgb="FF000000"/>
        <rFont val="Calibri"/>
        <family val="2"/>
        <scheme val="minor"/>
      </rPr>
      <t xml:space="preserve">3) </t>
    </r>
    <r>
      <rPr>
        <sz val="11"/>
        <color rgb="FF000000"/>
        <rFont val="Calibri"/>
        <family val="2"/>
        <scheme val="minor"/>
      </rPr>
      <t xml:space="preserve">silencing or augmenting CHOP expression enhanced or impaired cisplatin resistance. </t>
    </r>
    <r>
      <rPr>
        <b/>
        <sz val="11"/>
        <color rgb="FF000000"/>
        <rFont val="Calibri"/>
        <family val="2"/>
        <scheme val="minor"/>
      </rPr>
      <t>4)</t>
    </r>
    <r>
      <rPr>
        <sz val="11"/>
        <color rgb="FF000000"/>
        <rFont val="Calibri"/>
        <family val="2"/>
        <scheme val="minor"/>
      </rPr>
      <t xml:space="preserve"> </t>
    </r>
    <r>
      <rPr>
        <b/>
        <sz val="11"/>
        <color rgb="FF000000"/>
        <rFont val="Calibri"/>
        <family val="2"/>
        <scheme val="minor"/>
      </rPr>
      <t>CHOP</t>
    </r>
    <r>
      <rPr>
        <sz val="11"/>
        <color rgb="FF000000"/>
        <rFont val="Calibri"/>
        <family val="2"/>
        <scheme val="minor"/>
      </rPr>
      <t xml:space="preserve"> is directly associated with the regulation of autophagy or apoptosis-regulatory genes including LC3-II, death receptor 5 (DR5), and telomere repeat-binding factor 3. </t>
    </r>
    <r>
      <rPr>
        <b/>
        <sz val="11"/>
        <color rgb="FF000000"/>
        <rFont val="Calibri"/>
        <family val="2"/>
        <scheme val="minor"/>
      </rPr>
      <t>5) CHOP</t>
    </r>
    <r>
      <rPr>
        <sz val="11"/>
        <color rgb="FF000000"/>
        <rFont val="Calibri"/>
        <family val="2"/>
        <scheme val="minor"/>
      </rPr>
      <t xml:space="preserve"> was identified as a target of miR-146a, and increased miR-146a expression in lung cancer cells was suggested to be responsible for CHOP mRNA down-regulation. </t>
    </r>
    <r>
      <rPr>
        <b/>
        <sz val="11"/>
        <color rgb="FF000000"/>
        <rFont val="Calibri"/>
        <family val="2"/>
        <scheme val="minor"/>
      </rPr>
      <t>6)</t>
    </r>
    <r>
      <rPr>
        <sz val="11"/>
        <color rgb="FF000000"/>
        <rFont val="Calibri"/>
        <family val="2"/>
        <scheme val="minor"/>
      </rPr>
      <t xml:space="preserve"> animal models confirmed that abnormally expressed miR-146a in lung cancer cells does not affect growth, but rather alters chemotherapy sensitivity. </t>
    </r>
  </si>
  <si>
    <r>
      <rPr>
        <b/>
        <sz val="11"/>
        <color rgb="FF000000"/>
        <rFont val="Calibri"/>
        <family val="2"/>
        <scheme val="minor"/>
      </rPr>
      <t>1)</t>
    </r>
    <r>
      <rPr>
        <sz val="11"/>
        <color indexed="8"/>
        <rFont val="Calibri"/>
        <family val="2"/>
        <scheme val="minor"/>
      </rPr>
      <t xml:space="preserve"> </t>
    </r>
    <r>
      <rPr>
        <b/>
        <sz val="11"/>
        <color rgb="FF000000"/>
        <rFont val="Calibri"/>
        <family val="2"/>
        <scheme val="minor"/>
      </rPr>
      <t>DVL2</t>
    </r>
    <r>
      <rPr>
        <sz val="11"/>
        <color indexed="8"/>
        <rFont val="Calibri"/>
        <family val="2"/>
        <scheme val="minor"/>
      </rPr>
      <t xml:space="preserve"> was over-expressed in </t>
    </r>
    <r>
      <rPr>
        <b/>
        <sz val="11"/>
        <color rgb="FF000000"/>
        <rFont val="Calibri"/>
        <family val="2"/>
        <scheme val="minor"/>
      </rPr>
      <t>cisplatin</t>
    </r>
    <r>
      <rPr>
        <sz val="11"/>
        <color indexed="8"/>
        <rFont val="Calibri"/>
        <family val="2"/>
        <scheme val="minor"/>
      </rPr>
      <t xml:space="preserve">-resistant human lung cancer cells A549/CDDP compared to the parental A549 cells. </t>
    </r>
    <r>
      <rPr>
        <b/>
        <sz val="11"/>
        <color rgb="FF000000"/>
        <rFont val="Calibri"/>
        <family val="2"/>
        <scheme val="minor"/>
      </rPr>
      <t>2)</t>
    </r>
    <r>
      <rPr>
        <sz val="11"/>
        <color indexed="8"/>
        <rFont val="Calibri"/>
        <family val="2"/>
        <scheme val="minor"/>
      </rPr>
      <t xml:space="preserve"> Inhibition of DVL2 by its inhibitor (3289-8625) or shDVL2 resensitized A549/CDDP cells to cisplatin. </t>
    </r>
    <r>
      <rPr>
        <b/>
        <sz val="11"/>
        <color rgb="FF000000"/>
        <rFont val="Calibri"/>
        <family val="2"/>
        <scheme val="minor"/>
      </rPr>
      <t xml:space="preserve">3) </t>
    </r>
    <r>
      <rPr>
        <sz val="11"/>
        <color indexed="8"/>
        <rFont val="Calibri"/>
        <family val="2"/>
        <scheme val="minor"/>
      </rPr>
      <t xml:space="preserve">over-expression of DVL2 in A549 cells increased the protein levels of BCRP, MRP4, and Survivin, which are known to be associated with chemoresistance, </t>
    </r>
    <r>
      <rPr>
        <b/>
        <sz val="11"/>
        <color rgb="FF000000"/>
        <rFont val="Calibri"/>
        <family val="2"/>
        <scheme val="minor"/>
      </rPr>
      <t xml:space="preserve">4) </t>
    </r>
    <r>
      <rPr>
        <sz val="11"/>
        <color indexed="8"/>
        <rFont val="Calibri"/>
        <family val="2"/>
        <scheme val="minor"/>
      </rPr>
      <t>inhibition of DVL2 in A549/CDDP cells decreased these protein levels, and reduced the accumulation and nuclear translocation of</t>
    </r>
    <r>
      <rPr>
        <b/>
        <sz val="11"/>
        <color rgb="FF000000"/>
        <rFont val="Calibri"/>
        <family val="2"/>
        <scheme val="minor"/>
      </rPr>
      <t xml:space="preserve"> β-catenin</t>
    </r>
    <r>
      <rPr>
        <sz val="11"/>
        <color indexed="8"/>
        <rFont val="Calibri"/>
        <family val="2"/>
        <scheme val="minor"/>
      </rPr>
      <t xml:space="preserve">. </t>
    </r>
    <r>
      <rPr>
        <b/>
        <sz val="11"/>
        <color rgb="FF000000"/>
        <rFont val="Calibri"/>
        <family val="2"/>
        <scheme val="minor"/>
      </rPr>
      <t xml:space="preserve">5) </t>
    </r>
    <r>
      <rPr>
        <sz val="11"/>
        <color indexed="8"/>
        <rFont val="Calibri"/>
        <family val="2"/>
        <scheme val="minor"/>
      </rPr>
      <t>sh</t>
    </r>
    <r>
      <rPr>
        <b/>
        <sz val="11"/>
        <color rgb="FF000000"/>
        <rFont val="Calibri"/>
        <family val="2"/>
        <scheme val="minor"/>
      </rPr>
      <t>β-catenin</t>
    </r>
    <r>
      <rPr>
        <sz val="11"/>
        <color indexed="8"/>
        <rFont val="Calibri"/>
        <family val="2"/>
        <scheme val="minor"/>
      </rPr>
      <t xml:space="preserve"> abolished the DVL2-induced the expression of BCRP, MRP4, and Survivin. </t>
    </r>
    <r>
      <rPr>
        <b/>
        <sz val="11"/>
        <color rgb="FF000000"/>
        <rFont val="Calibri"/>
        <family val="2"/>
        <scheme val="minor"/>
      </rPr>
      <t xml:space="preserve">6) </t>
    </r>
    <r>
      <rPr>
        <sz val="11"/>
        <color indexed="8"/>
        <rFont val="Calibri"/>
        <family val="2"/>
        <scheme val="minor"/>
      </rPr>
      <t>GSK3β/β-catenin signals were aberrantly activated by DVL2, and inactivation of GSK3β reversed the shDVL2-induced down-regulation of β-catenin. </t>
    </r>
  </si>
  <si>
    <r>
      <rPr>
        <b/>
        <sz val="11"/>
        <color rgb="FF000000"/>
        <rFont val="Calibri"/>
        <family val="2"/>
        <scheme val="minor"/>
      </rPr>
      <t xml:space="preserve">1) DYNLL1 </t>
    </r>
    <r>
      <rPr>
        <sz val="11"/>
        <color rgb="FF000000"/>
        <rFont val="Calibri"/>
        <family val="2"/>
        <scheme val="minor"/>
      </rPr>
      <t>was among the top-ranked factors that cause resistance in both the olaparib and</t>
    </r>
    <r>
      <rPr>
        <b/>
        <sz val="11"/>
        <color rgb="FF000000"/>
        <rFont val="Calibri"/>
        <family val="2"/>
        <scheme val="minor"/>
      </rPr>
      <t xml:space="preserve"> platinum </t>
    </r>
    <r>
      <rPr>
        <sz val="11"/>
        <color rgb="FF000000"/>
        <rFont val="Calibri"/>
        <family val="2"/>
        <scheme val="minor"/>
      </rPr>
      <t>screen</t>
    </r>
    <r>
      <rPr>
        <b/>
        <sz val="11"/>
        <color rgb="FF000000"/>
        <rFont val="Calibri"/>
        <family val="2"/>
        <scheme val="minor"/>
      </rPr>
      <t xml:space="preserve">. 2) </t>
    </r>
    <r>
      <rPr>
        <sz val="11"/>
        <color indexed="8"/>
        <rFont val="Calibri"/>
        <family val="2"/>
        <scheme val="minor"/>
      </rPr>
      <t>The loss of </t>
    </r>
    <r>
      <rPr>
        <b/>
        <sz val="11"/>
        <color rgb="FF000000"/>
        <rFont val="Calibri"/>
        <family val="2"/>
        <scheme val="minor"/>
      </rPr>
      <t>DYNLL1</t>
    </r>
    <r>
      <rPr>
        <sz val="11"/>
        <color indexed="8"/>
        <rFont val="Calibri"/>
        <family val="2"/>
        <scheme val="minor"/>
      </rPr>
      <t xml:space="preserve"> enables DNA end resection and restores homologous recombination in BRCA1-mutant cells, thereby inducing resistance to </t>
    </r>
    <r>
      <rPr>
        <b/>
        <sz val="11"/>
        <color rgb="FF000000"/>
        <rFont val="Calibri"/>
        <family val="2"/>
        <scheme val="minor"/>
      </rPr>
      <t>platinum</t>
    </r>
    <r>
      <rPr>
        <sz val="11"/>
        <color indexed="8"/>
        <rFont val="Calibri"/>
        <family val="2"/>
        <scheme val="minor"/>
      </rPr>
      <t xml:space="preserve"> drugs and inhibitors of poly(ADP-ribose) polymerase.</t>
    </r>
    <r>
      <rPr>
        <b/>
        <sz val="11"/>
        <color rgb="FF000000"/>
        <rFont val="Calibri"/>
        <family val="2"/>
        <scheme val="minor"/>
      </rPr>
      <t xml:space="preserve"> 3)</t>
    </r>
    <r>
      <rPr>
        <sz val="11"/>
        <color indexed="8"/>
        <rFont val="Calibri"/>
        <family val="2"/>
        <scheme val="minor"/>
      </rPr>
      <t xml:space="preserve"> Low expression of DYNLL1 significantly correlates with worse PFS of BRCA1-mutant patients with </t>
    </r>
    <r>
      <rPr>
        <b/>
        <sz val="11"/>
        <color rgb="FF000000"/>
        <rFont val="Calibri"/>
        <family val="2"/>
        <scheme val="minor"/>
      </rPr>
      <t>HGSOC</t>
    </r>
    <r>
      <rPr>
        <sz val="11"/>
        <color indexed="8"/>
        <rFont val="Calibri"/>
        <family val="2"/>
        <scheme val="minor"/>
      </rPr>
      <t xml:space="preserve"> from TCGA dataset. </t>
    </r>
    <r>
      <rPr>
        <b/>
        <sz val="11"/>
        <color rgb="FF000000"/>
        <rFont val="Calibri"/>
        <family val="2"/>
        <scheme val="minor"/>
      </rPr>
      <t>4)</t>
    </r>
    <r>
      <rPr>
        <sz val="11"/>
        <color indexed="8"/>
        <rFont val="Calibri"/>
        <family val="2"/>
        <scheme val="minor"/>
      </rPr>
      <t xml:space="preserve"> no such correlation was observed with the PFS of BRCA-proficient patients with HGSOC. </t>
    </r>
    <r>
      <rPr>
        <b/>
        <sz val="11"/>
        <color rgb="FF000000"/>
        <rFont val="Calibri"/>
        <family val="2"/>
        <scheme val="minor"/>
      </rPr>
      <t>5)</t>
    </r>
    <r>
      <rPr>
        <sz val="11"/>
        <color indexed="8"/>
        <rFont val="Calibri"/>
        <family val="2"/>
        <scheme val="minor"/>
      </rPr>
      <t xml:space="preserve"> In cells, DYNLL1 limits nucleolytic degradation of DNA ends by associating with the DNA end-resection machinery (MRN complex, BLM helicase and DNA2 endonuclease). </t>
    </r>
    <r>
      <rPr>
        <b/>
        <sz val="11"/>
        <color rgb="FF000000"/>
        <rFont val="Calibri"/>
        <family val="2"/>
        <scheme val="minor"/>
      </rPr>
      <t>6)</t>
    </r>
    <r>
      <rPr>
        <sz val="11"/>
        <color indexed="8"/>
        <rFont val="Calibri"/>
        <family val="2"/>
        <scheme val="minor"/>
      </rPr>
      <t xml:space="preserve"> In vitro, DYNLL1 binds directly to MRE11 to limit its end-resection activity. </t>
    </r>
  </si>
  <si>
    <r>
      <rPr>
        <b/>
        <sz val="11"/>
        <color rgb="FF000000"/>
        <rFont val="Calibri"/>
        <family val="2"/>
        <scheme val="minor"/>
      </rPr>
      <t>1)</t>
    </r>
    <r>
      <rPr>
        <sz val="11"/>
        <color indexed="8"/>
        <rFont val="Calibri"/>
        <family val="2"/>
        <scheme val="minor"/>
      </rPr>
      <t xml:space="preserve"> Ninety percent of malignant </t>
    </r>
    <r>
      <rPr>
        <b/>
        <sz val="11"/>
        <color rgb="FF000000"/>
        <rFont val="Calibri"/>
        <family val="2"/>
        <scheme val="minor"/>
      </rPr>
      <t>ovarian</t>
    </r>
    <r>
      <rPr>
        <sz val="11"/>
        <color indexed="8"/>
        <rFont val="Calibri"/>
        <family val="2"/>
        <scheme val="minor"/>
      </rPr>
      <t xml:space="preserve"> tumors express </t>
    </r>
    <r>
      <rPr>
        <b/>
        <sz val="11"/>
        <color rgb="FF000000"/>
        <rFont val="Calibri"/>
        <family val="2"/>
        <scheme val="minor"/>
      </rPr>
      <t>endothelin</t>
    </r>
    <r>
      <rPr>
        <sz val="11"/>
        <color indexed="8"/>
        <rFont val="Calibri"/>
        <family val="2"/>
        <scheme val="minor"/>
      </rPr>
      <t xml:space="preserve"> receptors. </t>
    </r>
    <r>
      <rPr>
        <b/>
        <sz val="11"/>
        <color rgb="FF000000"/>
        <rFont val="Calibri"/>
        <family val="2"/>
        <scheme val="minor"/>
      </rPr>
      <t xml:space="preserve">2) </t>
    </r>
    <r>
      <rPr>
        <sz val="11"/>
        <color indexed="8"/>
        <rFont val="Calibri"/>
        <family val="2"/>
        <scheme val="minor"/>
      </rPr>
      <t xml:space="preserve">ETRA inhibition in combination with chemotherapy reduced the formation of tumor spheres. </t>
    </r>
    <r>
      <rPr>
        <b/>
        <sz val="11"/>
        <color rgb="FF000000"/>
        <rFont val="Calibri"/>
        <family val="2"/>
        <scheme val="minor"/>
      </rPr>
      <t>3)</t>
    </r>
    <r>
      <rPr>
        <sz val="11"/>
        <color indexed="8"/>
        <rFont val="Calibri"/>
        <family val="2"/>
        <scheme val="minor"/>
      </rPr>
      <t xml:space="preserve"> when used in combination with chemotherapy, ETRA inhibition specifically reduced tumor growth in cell lines with CD133+ cancer stem cells. </t>
    </r>
    <r>
      <rPr>
        <b/>
        <sz val="11"/>
        <color rgb="FF000000"/>
        <rFont val="Calibri"/>
        <family val="2"/>
        <scheme val="minor"/>
      </rPr>
      <t xml:space="preserve">4) </t>
    </r>
    <r>
      <rPr>
        <sz val="11"/>
        <color indexed="8"/>
        <rFont val="Calibri"/>
        <family val="2"/>
        <scheme val="minor"/>
      </rPr>
      <t xml:space="preserve">Elevated expression of ET-1, ET(A)R, and ET(B)R was more common in </t>
    </r>
    <r>
      <rPr>
        <b/>
        <sz val="11"/>
        <color rgb="FF000000"/>
        <rFont val="Calibri"/>
        <family val="2"/>
        <scheme val="minor"/>
      </rPr>
      <t>breast</t>
    </r>
    <r>
      <rPr>
        <sz val="11"/>
        <color indexed="8"/>
        <rFont val="Calibri"/>
        <family val="2"/>
        <scheme val="minor"/>
      </rPr>
      <t xml:space="preserve"> carcinomas of patients with lower disease-free survival time and overall survival. </t>
    </r>
    <r>
      <rPr>
        <b/>
        <sz val="11"/>
        <color rgb="FF000000"/>
        <rFont val="Calibri"/>
        <family val="2"/>
        <scheme val="minor"/>
      </rPr>
      <t xml:space="preserve">6) </t>
    </r>
    <r>
      <rPr>
        <sz val="11"/>
        <color indexed="8"/>
        <rFont val="Calibri"/>
        <family val="2"/>
        <scheme val="minor"/>
      </rPr>
      <t xml:space="preserve">a statistically significant correlation was observed between ET(A)R expression and reduced disease-free survival time (P = 0.041). </t>
    </r>
    <r>
      <rPr>
        <b/>
        <sz val="11"/>
        <color rgb="FF000000"/>
        <rFont val="Calibri"/>
        <family val="2"/>
        <scheme val="minor"/>
      </rPr>
      <t xml:space="preserve">7) </t>
    </r>
    <r>
      <rPr>
        <sz val="11"/>
        <color indexed="8"/>
        <rFont val="Calibri"/>
        <family val="2"/>
        <scheme val="minor"/>
      </rPr>
      <t xml:space="preserve">the prognostic impact of ET(A)R expression was shown to be more pronounced in the subgroup of patients with a putative favorable prognosis according to classic prognostic factors. </t>
    </r>
  </si>
  <si>
    <r>
      <rPr>
        <b/>
        <sz val="11"/>
        <color rgb="FF333333"/>
        <rFont val="Calibri"/>
        <family val="2"/>
        <scheme val="minor"/>
      </rPr>
      <t>1) ovarian</t>
    </r>
    <r>
      <rPr>
        <sz val="11"/>
        <color rgb="FF333333"/>
        <rFont val="Calibri"/>
        <family val="2"/>
        <scheme val="minor"/>
      </rPr>
      <t xml:space="preserve"> cancers containing high levels of </t>
    </r>
    <r>
      <rPr>
        <b/>
        <sz val="11"/>
        <color rgb="FF333333"/>
        <rFont val="Calibri"/>
        <family val="2"/>
        <scheme val="minor"/>
      </rPr>
      <t>EpCAM</t>
    </r>
    <r>
      <rPr>
        <sz val="11"/>
        <color rgb="FF333333"/>
        <rFont val="Calibri"/>
        <family val="2"/>
        <scheme val="minor"/>
      </rPr>
      <t xml:space="preserve"> have a significantly much lower probability of achieving overall responsive rates after </t>
    </r>
    <r>
      <rPr>
        <b/>
        <sz val="11"/>
        <color rgb="FF333333"/>
        <rFont val="Calibri"/>
        <family val="2"/>
        <scheme val="minor"/>
      </rPr>
      <t>first-line chemotherapy</t>
    </r>
    <r>
      <rPr>
        <sz val="11"/>
        <color rgb="FF333333"/>
        <rFont val="Calibri"/>
        <family val="2"/>
        <scheme val="minor"/>
      </rPr>
      <t xml:space="preserve">. </t>
    </r>
    <r>
      <rPr>
        <b/>
        <sz val="11"/>
        <color rgb="FF333333"/>
        <rFont val="Calibri"/>
        <family val="2"/>
        <scheme val="minor"/>
      </rPr>
      <t xml:space="preserve">2) </t>
    </r>
    <r>
      <rPr>
        <sz val="11"/>
        <color rgb="FF333333"/>
        <rFont val="Calibri"/>
        <family val="2"/>
        <scheme val="minor"/>
      </rPr>
      <t xml:space="preserve">subpopulation of EpCAM-positive ovarian cancer cells shows a significantly higher viability compared with EpCAM-negative cells in response to </t>
    </r>
    <r>
      <rPr>
        <b/>
        <sz val="11"/>
        <color rgb="FF333333"/>
        <rFont val="Calibri"/>
        <family val="2"/>
        <scheme val="minor"/>
      </rPr>
      <t xml:space="preserve">cisplatin </t>
    </r>
    <r>
      <rPr>
        <sz val="11"/>
        <color rgb="FF333333"/>
        <rFont val="Calibri"/>
        <family val="2"/>
        <scheme val="minor"/>
      </rPr>
      <t xml:space="preserve">treatment by preventing chemotherapy-induced apoptosis, which is regulated by EpCAM-Bcl-2 axis. </t>
    </r>
  </si>
  <si>
    <r>
      <rPr>
        <b/>
        <sz val="11"/>
        <color rgb="FF333333"/>
        <rFont val="Calibri"/>
        <family val="2"/>
        <scheme val="minor"/>
      </rPr>
      <t>1) progranulin</t>
    </r>
    <r>
      <rPr>
        <sz val="11"/>
        <color rgb="FF333333"/>
        <rFont val="Calibri"/>
        <family val="2"/>
        <scheme val="minor"/>
      </rPr>
      <t xml:space="preserve">, and not </t>
    </r>
    <r>
      <rPr>
        <b/>
        <sz val="11"/>
        <color rgb="FF333333"/>
        <rFont val="Calibri"/>
        <family val="2"/>
        <scheme val="minor"/>
      </rPr>
      <t>ephrin-A1</t>
    </r>
    <r>
      <rPr>
        <sz val="11"/>
        <color rgb="FF333333"/>
        <rFont val="Calibri"/>
        <family val="2"/>
        <scheme val="minor"/>
      </rPr>
      <t xml:space="preserve">, the canonical ligand for </t>
    </r>
    <r>
      <rPr>
        <b/>
        <sz val="11"/>
        <color rgb="FF333333"/>
        <rFont val="Calibri"/>
        <family val="2"/>
        <scheme val="minor"/>
      </rPr>
      <t>EphA2</t>
    </r>
    <r>
      <rPr>
        <sz val="11"/>
        <color rgb="FF333333"/>
        <rFont val="Calibri"/>
        <family val="2"/>
        <scheme val="minor"/>
      </rPr>
      <t xml:space="preserve">, is the predominant </t>
    </r>
    <r>
      <rPr>
        <b/>
        <sz val="11"/>
        <color rgb="FF333333"/>
        <rFont val="Calibri"/>
        <family val="2"/>
        <scheme val="minor"/>
      </rPr>
      <t>EphA2</t>
    </r>
    <r>
      <rPr>
        <sz val="11"/>
        <color rgb="FF333333"/>
        <rFont val="Calibri"/>
        <family val="2"/>
        <scheme val="minor"/>
      </rPr>
      <t xml:space="preserve"> ligand in </t>
    </r>
    <r>
      <rPr>
        <b/>
        <sz val="11"/>
        <color rgb="FF333333"/>
        <rFont val="Calibri"/>
        <family val="2"/>
        <scheme val="minor"/>
      </rPr>
      <t>bladder</t>
    </r>
    <r>
      <rPr>
        <sz val="11"/>
        <color rgb="FF333333"/>
        <rFont val="Calibri"/>
        <family val="2"/>
        <scheme val="minor"/>
      </rPr>
      <t xml:space="preserve"> cancer. </t>
    </r>
    <r>
      <rPr>
        <b/>
        <sz val="11"/>
        <color rgb="FF333333"/>
        <rFont val="Calibri"/>
        <family val="2"/>
        <scheme val="minor"/>
      </rPr>
      <t>2)</t>
    </r>
    <r>
      <rPr>
        <sz val="11"/>
        <color rgb="FF333333"/>
        <rFont val="Calibri"/>
        <family val="2"/>
        <scheme val="minor"/>
      </rPr>
      <t xml:space="preserve"> Progranulin evoked </t>
    </r>
    <r>
      <rPr>
        <b/>
        <sz val="11"/>
        <color rgb="FF333333"/>
        <rFont val="Calibri"/>
        <family val="2"/>
        <scheme val="minor"/>
      </rPr>
      <t>Akt</t>
    </r>
    <r>
      <rPr>
        <sz val="11"/>
        <color rgb="FF333333"/>
        <rFont val="Calibri"/>
        <family val="2"/>
        <scheme val="minor"/>
      </rPr>
      <t xml:space="preserve">- and </t>
    </r>
    <r>
      <rPr>
        <b/>
        <sz val="11"/>
        <color rgb="FF333333"/>
        <rFont val="Calibri"/>
        <family val="2"/>
        <scheme val="minor"/>
      </rPr>
      <t>Erk1/2</t>
    </r>
    <r>
      <rPr>
        <sz val="11"/>
        <color rgb="FF333333"/>
        <rFont val="Calibri"/>
        <family val="2"/>
        <scheme val="minor"/>
      </rPr>
      <t xml:space="preserve">-mediated EphA2 phosphorylation at Ser897, which could drive bladder tumorigenesis. </t>
    </r>
    <r>
      <rPr>
        <b/>
        <sz val="11"/>
        <color rgb="FF333333"/>
        <rFont val="Calibri"/>
        <family val="2"/>
        <scheme val="minor"/>
      </rPr>
      <t xml:space="preserve">3) EphA2 </t>
    </r>
    <r>
      <rPr>
        <sz val="11"/>
        <color rgb="FF333333"/>
        <rFont val="Calibri"/>
        <family val="2"/>
        <scheme val="minor"/>
      </rPr>
      <t xml:space="preserve">depletion severely blunted progranulin-dependent motility and anchorage-independent growth, and sensitized bladder cancer cells to </t>
    </r>
    <r>
      <rPr>
        <b/>
        <sz val="11"/>
        <color rgb="FF333333"/>
        <rFont val="Calibri"/>
        <family val="2"/>
        <scheme val="minor"/>
      </rPr>
      <t>cisplatin</t>
    </r>
    <r>
      <rPr>
        <sz val="11"/>
        <color rgb="FF333333"/>
        <rFont val="Calibri"/>
        <family val="2"/>
        <scheme val="minor"/>
      </rPr>
      <t xml:space="preserve"> treatment. </t>
    </r>
    <r>
      <rPr>
        <b/>
        <sz val="11"/>
        <color rgb="FF333333"/>
        <rFont val="Calibri"/>
        <family val="2"/>
        <scheme val="minor"/>
      </rPr>
      <t>4) liprin-α1</t>
    </r>
    <r>
      <rPr>
        <sz val="11"/>
        <color rgb="FF333333"/>
        <rFont val="Calibri"/>
        <family val="2"/>
        <scheme val="minor"/>
      </rPr>
      <t xml:space="preserve"> as a novel progranulin-dependent EphA2 interacting protein and establishing its critical role in cell motility. </t>
    </r>
    <r>
      <rPr>
        <b/>
        <sz val="11"/>
        <color rgb="FF333333"/>
        <rFont val="Calibri"/>
        <family val="2"/>
        <scheme val="minor"/>
      </rPr>
      <t xml:space="preserve">5) </t>
    </r>
    <r>
      <rPr>
        <sz val="11"/>
        <color rgb="FF333333"/>
        <rFont val="Calibri"/>
        <family val="2"/>
        <scheme val="minor"/>
      </rPr>
      <t xml:space="preserve">inhibition or knockdown of </t>
    </r>
    <r>
      <rPr>
        <b/>
        <sz val="11"/>
        <color rgb="FF333333"/>
        <rFont val="Calibri"/>
        <family val="2"/>
        <scheme val="minor"/>
      </rPr>
      <t>RSK1/2</t>
    </r>
    <r>
      <rPr>
        <sz val="11"/>
        <color rgb="FF333333"/>
        <rFont val="Calibri"/>
        <family val="2"/>
        <scheme val="minor"/>
      </rPr>
      <t xml:space="preserve"> prevented oncogenic </t>
    </r>
    <r>
      <rPr>
        <b/>
        <sz val="11"/>
        <color rgb="FF333333"/>
        <rFont val="Calibri"/>
        <family val="2"/>
        <scheme val="minor"/>
      </rPr>
      <t>EphA2-</t>
    </r>
    <r>
      <rPr>
        <sz val="11"/>
        <color rgb="FF333333"/>
        <rFont val="Calibri"/>
        <family val="2"/>
        <scheme val="minor"/>
      </rPr>
      <t xml:space="preserve">S897 phosphorylation and </t>
    </r>
    <r>
      <rPr>
        <b/>
        <sz val="11"/>
        <color rgb="FF333333"/>
        <rFont val="Calibri"/>
        <family val="2"/>
        <scheme val="minor"/>
      </rPr>
      <t>EphA2-GPRC5A</t>
    </r>
    <r>
      <rPr>
        <sz val="11"/>
        <color rgb="FF333333"/>
        <rFont val="Calibri"/>
        <family val="2"/>
        <scheme val="minor"/>
      </rPr>
      <t xml:space="preserve"> co-regulation, leading to downregulation of EphA2. </t>
    </r>
    <r>
      <rPr>
        <b/>
        <sz val="11"/>
        <color rgb="FF333333"/>
        <rFont val="Calibri"/>
        <family val="2"/>
        <scheme val="minor"/>
      </rPr>
      <t>6)</t>
    </r>
    <r>
      <rPr>
        <sz val="11"/>
        <color rgb="FF333333"/>
        <rFont val="Calibri"/>
        <family val="2"/>
        <scheme val="minor"/>
      </rPr>
      <t xml:space="preserve"> In combination with </t>
    </r>
    <r>
      <rPr>
        <b/>
        <sz val="11"/>
        <color rgb="FF333333"/>
        <rFont val="Calibri"/>
        <family val="2"/>
        <scheme val="minor"/>
      </rPr>
      <t>platinum</t>
    </r>
    <r>
      <rPr>
        <sz val="11"/>
        <color rgb="FF333333"/>
        <rFont val="Calibri"/>
        <family val="2"/>
        <scheme val="minor"/>
      </rPr>
      <t xml:space="preserve">, RSK inhibitors effectively sensitized even the most platinum-resistant EphA2high , GPRC5Ahigh cells. </t>
    </r>
    <r>
      <rPr>
        <b/>
        <sz val="11"/>
        <color rgb="FF333333"/>
        <rFont val="Calibri"/>
        <family val="2"/>
        <scheme val="minor"/>
      </rPr>
      <t xml:space="preserve">6) </t>
    </r>
    <r>
      <rPr>
        <sz val="11"/>
        <color rgb="FF333333"/>
        <rFont val="Calibri"/>
        <family val="2"/>
        <scheme val="minor"/>
      </rPr>
      <t xml:space="preserve">Overexpression of </t>
    </r>
    <r>
      <rPr>
        <b/>
        <sz val="11"/>
        <color rgb="FF333333"/>
        <rFont val="Calibri"/>
        <family val="2"/>
        <scheme val="minor"/>
      </rPr>
      <t>EPHA2</t>
    </r>
    <r>
      <rPr>
        <sz val="11"/>
        <color rgb="FF333333"/>
        <rFont val="Calibri"/>
        <family val="2"/>
        <scheme val="minor"/>
      </rPr>
      <t xml:space="preserve"> has been observed in multiple cancers and reported to be associated with poor prognosis. </t>
    </r>
    <r>
      <rPr>
        <b/>
        <sz val="11"/>
        <color rgb="FF333333"/>
        <rFont val="Calibri"/>
        <family val="2"/>
        <scheme val="minor"/>
      </rPr>
      <t xml:space="preserve">7) </t>
    </r>
    <r>
      <rPr>
        <sz val="11"/>
        <color rgb="FF333333"/>
        <rFont val="Calibri"/>
        <family val="2"/>
        <scheme val="minor"/>
      </rPr>
      <t xml:space="preserve">anti-EPHA2 monoclonal antibody (mAb), DS-8895a in combination with </t>
    </r>
    <r>
      <rPr>
        <b/>
        <sz val="11"/>
        <color rgb="FF333333"/>
        <rFont val="Calibri"/>
        <family val="2"/>
        <scheme val="minor"/>
      </rPr>
      <t>cisplatin</t>
    </r>
    <r>
      <rPr>
        <sz val="11"/>
        <color rgb="FF333333"/>
        <rFont val="Calibri"/>
        <family val="2"/>
        <scheme val="minor"/>
      </rPr>
      <t xml:space="preserve"> showed better efficacy than each of the monotherapies did in the human gastric cancer model. </t>
    </r>
  </si>
  <si>
    <r>
      <rPr>
        <b/>
        <sz val="11"/>
        <color rgb="FF000000"/>
        <rFont val="Calibri"/>
        <family val="2"/>
        <scheme val="minor"/>
      </rPr>
      <t>1)</t>
    </r>
    <r>
      <rPr>
        <sz val="11"/>
        <color indexed="8"/>
        <rFont val="Calibri"/>
        <family val="2"/>
        <scheme val="minor"/>
      </rPr>
      <t xml:space="preserve"> miR-770-5p expression was reduced in </t>
    </r>
    <r>
      <rPr>
        <b/>
        <sz val="11"/>
        <color rgb="FF000000"/>
        <rFont val="Calibri"/>
        <family val="2"/>
        <scheme val="minor"/>
      </rPr>
      <t>platinum</t>
    </r>
    <r>
      <rPr>
        <sz val="11"/>
        <color indexed="8"/>
        <rFont val="Calibri"/>
        <family val="2"/>
        <scheme val="minor"/>
      </rPr>
      <t xml:space="preserve">-resistant patients. </t>
    </r>
    <r>
      <rPr>
        <b/>
        <sz val="11"/>
        <color rgb="FF000000"/>
        <rFont val="Calibri"/>
        <family val="2"/>
        <scheme val="minor"/>
      </rPr>
      <t xml:space="preserve">2) </t>
    </r>
    <r>
      <rPr>
        <sz val="11"/>
        <color indexed="8"/>
        <rFont val="Calibri"/>
        <family val="2"/>
        <scheme val="minor"/>
      </rPr>
      <t xml:space="preserve">Using a 6.128-fold in expression as the cutoff value, miR-770-5p expression served as a prognostic biomarker and predicted the response to </t>
    </r>
    <r>
      <rPr>
        <b/>
        <sz val="11"/>
        <color rgb="FF000000"/>
        <rFont val="Calibri"/>
        <family val="2"/>
        <scheme val="minor"/>
      </rPr>
      <t>cisplatin</t>
    </r>
    <r>
      <rPr>
        <sz val="11"/>
        <color indexed="8"/>
        <rFont val="Calibri"/>
        <family val="2"/>
        <scheme val="minor"/>
      </rPr>
      <t xml:space="preserve"> treatment and survival among </t>
    </r>
    <r>
      <rPr>
        <b/>
        <sz val="11"/>
        <color rgb="FF000000"/>
        <rFont val="Calibri"/>
        <family val="2"/>
        <scheme val="minor"/>
      </rPr>
      <t>OVC</t>
    </r>
    <r>
      <rPr>
        <sz val="11"/>
        <color indexed="8"/>
        <rFont val="Calibri"/>
        <family val="2"/>
        <scheme val="minor"/>
      </rPr>
      <t xml:space="preserve"> patients. </t>
    </r>
    <r>
      <rPr>
        <b/>
        <sz val="11"/>
        <color rgb="FF000000"/>
        <rFont val="Calibri"/>
        <family val="2"/>
        <scheme val="minor"/>
      </rPr>
      <t xml:space="preserve">3) </t>
    </r>
    <r>
      <rPr>
        <sz val="11"/>
        <color indexed="8"/>
        <rFont val="Calibri"/>
        <family val="2"/>
        <scheme val="minor"/>
      </rPr>
      <t xml:space="preserve">Overexpression of miR-770-5p in vitro reduced survival in chemoresistant cell lines after </t>
    </r>
    <r>
      <rPr>
        <b/>
        <sz val="11"/>
        <color rgb="FF000000"/>
        <rFont val="Calibri"/>
        <family val="2"/>
        <scheme val="minor"/>
      </rPr>
      <t>cisplatin</t>
    </r>
    <r>
      <rPr>
        <sz val="11"/>
        <color indexed="8"/>
        <rFont val="Calibri"/>
        <family val="2"/>
        <scheme val="minor"/>
      </rPr>
      <t xml:space="preserve"> treatment. </t>
    </r>
    <r>
      <rPr>
        <b/>
        <sz val="11"/>
        <color rgb="FF000000"/>
        <rFont val="Calibri"/>
        <family val="2"/>
        <scheme val="minor"/>
      </rPr>
      <t>4)</t>
    </r>
    <r>
      <rPr>
        <sz val="11"/>
        <color indexed="8"/>
        <rFont val="Calibri"/>
        <family val="2"/>
        <scheme val="minor"/>
      </rPr>
      <t xml:space="preserve"> </t>
    </r>
    <r>
      <rPr>
        <b/>
        <sz val="11"/>
        <color rgb="FF000000"/>
        <rFont val="Calibri"/>
        <family val="2"/>
        <scheme val="minor"/>
      </rPr>
      <t>ERCC2</t>
    </r>
    <r>
      <rPr>
        <sz val="11"/>
        <color indexed="8"/>
        <rFont val="Calibri"/>
        <family val="2"/>
        <scheme val="minor"/>
      </rPr>
      <t xml:space="preserve">, a target gene of miR-770-5p, was negatively regulated by miR-770-5p. </t>
    </r>
    <r>
      <rPr>
        <b/>
        <sz val="11"/>
        <color rgb="FF000000"/>
        <rFont val="Calibri"/>
        <family val="2"/>
        <scheme val="minor"/>
      </rPr>
      <t xml:space="preserve">5) </t>
    </r>
    <r>
      <rPr>
        <sz val="11"/>
        <color indexed="8"/>
        <rFont val="Calibri"/>
        <family val="2"/>
        <scheme val="minor"/>
      </rPr>
      <t xml:space="preserve">siRNA-mediated silencing of </t>
    </r>
    <r>
      <rPr>
        <b/>
        <sz val="11"/>
        <color rgb="FF000000"/>
        <rFont val="Calibri"/>
        <family val="2"/>
        <scheme val="minor"/>
      </rPr>
      <t>ERCC2</t>
    </r>
    <r>
      <rPr>
        <sz val="11"/>
        <color indexed="8"/>
        <rFont val="Calibri"/>
        <family val="2"/>
        <scheme val="minor"/>
      </rPr>
      <t xml:space="preserve"> reversed the inhibition of apoptosis resulting from miR-770-5p downreglation in A2780S cells. </t>
    </r>
    <r>
      <rPr>
        <b/>
        <sz val="11"/>
        <color rgb="FF000000"/>
        <rFont val="Calibri"/>
        <family val="2"/>
        <scheme val="minor"/>
      </rPr>
      <t>6)</t>
    </r>
    <r>
      <rPr>
        <sz val="11"/>
        <color indexed="8"/>
        <rFont val="Calibri"/>
        <family val="2"/>
        <scheme val="minor"/>
      </rPr>
      <t xml:space="preserve"> A comet assay confirmed that this restoration of cisplatin chemosensitivity was due to the inhibition of DNA repair. </t>
    </r>
    <r>
      <rPr>
        <b/>
        <sz val="11"/>
        <color rgb="FF000000"/>
        <rFont val="Calibri"/>
        <family val="2"/>
        <scheme val="minor"/>
      </rPr>
      <t>7)</t>
    </r>
    <r>
      <rPr>
        <sz val="11"/>
        <color indexed="8"/>
        <rFont val="Calibri"/>
        <family val="2"/>
        <scheme val="minor"/>
      </rPr>
      <t xml:space="preserve"> pretreatment tumor and germline DNA from 50 patients with </t>
    </r>
    <r>
      <rPr>
        <b/>
        <sz val="11"/>
        <color rgb="FF000000"/>
        <rFont val="Calibri"/>
        <family val="2"/>
        <scheme val="minor"/>
      </rPr>
      <t xml:space="preserve">muscle-invasive urothelial </t>
    </r>
    <r>
      <rPr>
        <sz val="11"/>
        <color indexed="8"/>
        <rFont val="Calibri"/>
        <family val="2"/>
        <scheme val="minor"/>
      </rPr>
      <t xml:space="preserve">carcinoma who received neoadjuvant </t>
    </r>
    <r>
      <rPr>
        <b/>
        <sz val="11"/>
        <color rgb="FF000000"/>
        <rFont val="Calibri"/>
        <family val="2"/>
        <scheme val="minor"/>
      </rPr>
      <t>cisplatin</t>
    </r>
    <r>
      <rPr>
        <sz val="11"/>
        <color indexed="8"/>
        <rFont val="Calibri"/>
        <family val="2"/>
        <scheme val="minor"/>
      </rPr>
      <t xml:space="preserve">-based chemotherapy followed by cystectomy (25 pT0/pTis "responders," 25 pT2+ "nonresponders") to identify somatic mutations that occurred preferentially in responders: </t>
    </r>
    <r>
      <rPr>
        <b/>
        <sz val="11"/>
        <color rgb="FF000000"/>
        <rFont val="Calibri"/>
        <family val="2"/>
        <scheme val="minor"/>
      </rPr>
      <t>ERCC2</t>
    </r>
    <r>
      <rPr>
        <sz val="11"/>
        <color indexed="8"/>
        <rFont val="Calibri"/>
        <family val="2"/>
        <scheme val="minor"/>
      </rPr>
      <t xml:space="preserve"> was the only significantly mutated gene enriched in the </t>
    </r>
    <r>
      <rPr>
        <b/>
        <sz val="11"/>
        <color rgb="FF000000"/>
        <rFont val="Calibri"/>
        <family val="2"/>
        <scheme val="minor"/>
      </rPr>
      <t>cisplatin</t>
    </r>
    <r>
      <rPr>
        <sz val="11"/>
        <color indexed="8"/>
        <rFont val="Calibri"/>
        <family val="2"/>
        <scheme val="minor"/>
      </rPr>
      <t xml:space="preserve"> responders compared with nonresponders (q &lt; 0.01). </t>
    </r>
    <r>
      <rPr>
        <b/>
        <sz val="11"/>
        <color rgb="FF000000"/>
        <rFont val="Calibri"/>
        <family val="2"/>
        <scheme val="minor"/>
      </rPr>
      <t>8)</t>
    </r>
    <r>
      <rPr>
        <sz val="11"/>
        <color indexed="8"/>
        <rFont val="Calibri"/>
        <family val="2"/>
        <scheme val="minor"/>
      </rPr>
      <t xml:space="preserve"> Expression of representative ERCC2 mutants in an ERCC2-deficient cell line failed to rescue </t>
    </r>
    <r>
      <rPr>
        <b/>
        <sz val="11"/>
        <color rgb="FF000000"/>
        <rFont val="Calibri"/>
        <family val="2"/>
        <scheme val="minor"/>
      </rPr>
      <t>cisplatin</t>
    </r>
    <r>
      <rPr>
        <sz val="11"/>
        <color indexed="8"/>
        <rFont val="Calibri"/>
        <family val="2"/>
        <scheme val="minor"/>
      </rPr>
      <t xml:space="preserve"> and UV sensitivity. </t>
    </r>
  </si>
  <si>
    <r>
      <rPr>
        <b/>
        <sz val="11"/>
        <color rgb="FF000000"/>
        <rFont val="Calibri"/>
        <family val="2"/>
        <scheme val="minor"/>
      </rPr>
      <t>1)</t>
    </r>
    <r>
      <rPr>
        <sz val="11"/>
        <color indexed="8"/>
        <rFont val="Calibri"/>
        <family val="2"/>
        <scheme val="minor"/>
      </rPr>
      <t xml:space="preserve"> cells defective in ERCC1 are more sensitive than cells defective in </t>
    </r>
    <r>
      <rPr>
        <b/>
        <sz val="11"/>
        <color rgb="FF000000"/>
        <rFont val="Calibri"/>
        <family val="2"/>
        <scheme val="minor"/>
      </rPr>
      <t>ERCC3</t>
    </r>
    <r>
      <rPr>
        <sz val="11"/>
        <color indexed="8"/>
        <rFont val="Calibri"/>
        <family val="2"/>
        <scheme val="minor"/>
      </rPr>
      <t xml:space="preserve"> with regard to cisplatin-induced reproductive cell death. </t>
    </r>
    <r>
      <rPr>
        <b/>
        <sz val="11"/>
        <color rgb="FF000000"/>
        <rFont val="Calibri"/>
        <family val="2"/>
        <scheme val="minor"/>
      </rPr>
      <t xml:space="preserve">2) </t>
    </r>
    <r>
      <rPr>
        <sz val="11"/>
        <color indexed="8"/>
        <rFont val="Calibri"/>
        <family val="2"/>
        <scheme val="minor"/>
      </rPr>
      <t xml:space="preserve">ERCC1 and ERCC3 mutants showed a higher frequency of apoptosis and, to a lesser degree, necrosis compared to repair proficient cells. </t>
    </r>
    <r>
      <rPr>
        <b/>
        <sz val="11"/>
        <color rgb="FF000000"/>
        <rFont val="Calibri"/>
        <family val="2"/>
        <scheme val="minor"/>
      </rPr>
      <t>3) ERCC3</t>
    </r>
    <r>
      <rPr>
        <sz val="11"/>
        <color indexed="8"/>
        <rFont val="Calibri"/>
        <family val="2"/>
        <scheme val="minor"/>
      </rPr>
      <t xml:space="preserve"> (XPB), ERCC4 (XPF), and ERCC5 (XPG) RE levels were significantly lower in the melanoma cell lines than in the melanocyte cell line 24 hours after cisplatin treatment. </t>
    </r>
    <r>
      <rPr>
        <b/>
        <sz val="11"/>
        <color rgb="FF000000"/>
        <rFont val="Calibri"/>
        <family val="2"/>
        <scheme val="minor"/>
      </rPr>
      <t xml:space="preserve">4) </t>
    </r>
    <r>
      <rPr>
        <sz val="11"/>
        <color indexed="8"/>
        <rFont val="Calibri"/>
        <family val="2"/>
        <scheme val="minor"/>
      </rPr>
      <t xml:space="preserve">All </t>
    </r>
    <r>
      <rPr>
        <b/>
        <sz val="11"/>
        <color rgb="FF000000"/>
        <rFont val="Calibri"/>
        <family val="2"/>
        <scheme val="minor"/>
      </rPr>
      <t>lung</t>
    </r>
    <r>
      <rPr>
        <sz val="11"/>
        <color indexed="8"/>
        <rFont val="Calibri"/>
        <family val="2"/>
        <scheme val="minor"/>
      </rPr>
      <t xml:space="preserve"> cancer patients (n = 161) received </t>
    </r>
    <r>
      <rPr>
        <b/>
        <sz val="11"/>
        <color rgb="FF000000"/>
        <rFont val="Calibri"/>
        <family val="2"/>
        <scheme val="minor"/>
      </rPr>
      <t>cisplatin</t>
    </r>
    <r>
      <rPr>
        <sz val="11"/>
        <color indexed="8"/>
        <rFont val="Calibri"/>
        <family val="2"/>
        <scheme val="minor"/>
      </rPr>
      <t xml:space="preserve"> or</t>
    </r>
    <r>
      <rPr>
        <b/>
        <sz val="11"/>
        <color rgb="FF000000"/>
        <rFont val="Calibri"/>
        <family val="2"/>
        <scheme val="minor"/>
      </rPr>
      <t xml:space="preserve"> carboplatin</t>
    </r>
    <r>
      <rPr>
        <sz val="11"/>
        <color indexed="8"/>
        <rFont val="Calibri"/>
        <family val="2"/>
        <scheme val="minor"/>
      </rPr>
      <t xml:space="preserve"> plus a third-generation drug: in stage III patients, response was significantly associated with SNPs in </t>
    </r>
    <r>
      <rPr>
        <b/>
        <sz val="11"/>
        <color rgb="FF000000"/>
        <rFont val="Calibri"/>
        <family val="2"/>
        <scheme val="minor"/>
      </rPr>
      <t>ERCC1</t>
    </r>
    <r>
      <rPr>
        <sz val="11"/>
        <color indexed="8"/>
        <rFont val="Calibri"/>
        <family val="2"/>
        <scheme val="minor"/>
      </rPr>
      <t xml:space="preserve"> and in </t>
    </r>
    <r>
      <rPr>
        <b/>
        <sz val="11"/>
        <color rgb="FF000000"/>
        <rFont val="Calibri"/>
        <family val="2"/>
        <scheme val="minor"/>
      </rPr>
      <t>ERCC3</t>
    </r>
    <r>
      <rPr>
        <sz val="11"/>
        <color indexed="8"/>
        <rFont val="Calibri"/>
        <family val="2"/>
        <scheme val="minor"/>
      </rPr>
      <t xml:space="preserve"> genes.  </t>
    </r>
  </si>
  <si>
    <r>
      <rPr>
        <b/>
        <sz val="11"/>
        <color rgb="FF000000"/>
        <rFont val="Calibri"/>
        <family val="2"/>
        <scheme val="minor"/>
      </rPr>
      <t xml:space="preserve">1) </t>
    </r>
    <r>
      <rPr>
        <sz val="11"/>
        <color indexed="8"/>
        <rFont val="Calibri"/>
        <family val="2"/>
        <scheme val="minor"/>
      </rPr>
      <t xml:space="preserve">The repair of both types of </t>
    </r>
    <r>
      <rPr>
        <b/>
        <sz val="11"/>
        <color rgb="FF000000"/>
        <rFont val="Calibri"/>
        <family val="2"/>
        <scheme val="minor"/>
      </rPr>
      <t>cisplatin</t>
    </r>
    <r>
      <rPr>
        <sz val="11"/>
        <color indexed="8"/>
        <rFont val="Calibri"/>
        <family val="2"/>
        <scheme val="minor"/>
      </rPr>
      <t xml:space="preserve">-DNA lesions was decreased with downregulation of </t>
    </r>
    <r>
      <rPr>
        <b/>
        <sz val="11"/>
        <color rgb="FF000000"/>
        <rFont val="Calibri"/>
        <family val="2"/>
        <scheme val="minor"/>
      </rPr>
      <t>XPF</t>
    </r>
    <r>
      <rPr>
        <sz val="11"/>
        <color indexed="8"/>
        <rFont val="Calibri"/>
        <family val="2"/>
        <scheme val="minor"/>
      </rPr>
      <t xml:space="preserve">, </t>
    </r>
    <r>
      <rPr>
        <b/>
        <sz val="11"/>
        <color rgb="FF000000"/>
        <rFont val="Calibri"/>
        <family val="2"/>
        <scheme val="minor"/>
      </rPr>
      <t>ERCC1</t>
    </r>
    <r>
      <rPr>
        <sz val="11"/>
        <color indexed="8"/>
        <rFont val="Calibri"/>
        <family val="2"/>
        <scheme val="minor"/>
      </rPr>
      <t xml:space="preserve"> or both XPF-ERCC1;</t>
    </r>
    <r>
      <rPr>
        <b/>
        <sz val="11"/>
        <color rgb="FF000000"/>
        <rFont val="Calibri"/>
        <family val="2"/>
        <scheme val="minor"/>
      </rPr>
      <t xml:space="preserve"> </t>
    </r>
    <r>
      <rPr>
        <sz val="11"/>
        <color indexed="8"/>
        <rFont val="Calibri"/>
        <family val="2"/>
        <scheme val="minor"/>
      </rPr>
      <t>The ICL-induced DSBs persist in the absence of</t>
    </r>
    <r>
      <rPr>
        <b/>
        <sz val="11"/>
        <color rgb="FF000000"/>
        <rFont val="Calibri"/>
        <family val="2"/>
        <scheme val="minor"/>
      </rPr>
      <t xml:space="preserve"> XPF-ERCC1</t>
    </r>
    <r>
      <rPr>
        <sz val="11"/>
        <color indexed="8"/>
        <rFont val="Calibri"/>
        <family val="2"/>
        <scheme val="minor"/>
      </rPr>
      <t>.</t>
    </r>
    <r>
      <rPr>
        <b/>
        <sz val="11"/>
        <color rgb="FF000000"/>
        <rFont val="Calibri"/>
        <family val="2"/>
        <scheme val="minor"/>
      </rPr>
      <t xml:space="preserve"> 2)</t>
    </r>
    <r>
      <rPr>
        <sz val="11"/>
        <color indexed="8"/>
        <rFont val="Calibri"/>
        <family val="2"/>
        <scheme val="minor"/>
      </rPr>
      <t xml:space="preserve"> A double knockdown of XPF-ERCC1 displays the greatest level of cellular cytotoxicity when compared with XPF or ERCC1 alone. </t>
    </r>
    <r>
      <rPr>
        <b/>
        <sz val="11"/>
        <color rgb="FF000000"/>
        <rFont val="Calibri"/>
        <family val="2"/>
        <scheme val="minor"/>
      </rPr>
      <t xml:space="preserve">3) </t>
    </r>
    <r>
      <rPr>
        <sz val="11"/>
        <color indexed="8"/>
        <rFont val="Calibri"/>
        <family val="2"/>
        <scheme val="minor"/>
      </rPr>
      <t xml:space="preserve">Tumors with NER alterations were associated with improved overall survival (OS) and progression-free survival (PFS). </t>
    </r>
    <r>
      <rPr>
        <b/>
        <sz val="11"/>
        <color rgb="FF000000"/>
        <rFont val="Calibri"/>
        <family val="2"/>
        <scheme val="minor"/>
      </rPr>
      <t>4)</t>
    </r>
    <r>
      <rPr>
        <sz val="11"/>
        <color indexed="8"/>
        <rFont val="Calibri"/>
        <family val="2"/>
        <scheme val="minor"/>
      </rPr>
      <t xml:space="preserve"> two NER mutations (ERCC6-Q524* and </t>
    </r>
    <r>
      <rPr>
        <b/>
        <sz val="11"/>
        <color rgb="FF000000"/>
        <rFont val="Calibri"/>
        <family val="2"/>
        <scheme val="minor"/>
      </rPr>
      <t>ERCC4</t>
    </r>
    <r>
      <rPr>
        <sz val="11"/>
        <color indexed="8"/>
        <rFont val="Calibri"/>
        <family val="2"/>
        <scheme val="minor"/>
      </rPr>
      <t xml:space="preserve">-A583T), identified in the two most </t>
    </r>
    <r>
      <rPr>
        <b/>
        <sz val="11"/>
        <color rgb="FF000000"/>
        <rFont val="Calibri"/>
        <family val="2"/>
        <scheme val="minor"/>
      </rPr>
      <t>platinum</t>
    </r>
    <r>
      <rPr>
        <sz val="11"/>
        <color indexed="8"/>
        <rFont val="Calibri"/>
        <family val="2"/>
        <scheme val="minor"/>
      </rPr>
      <t xml:space="preserve">-sensitive tumors, were functionally associated with platinum sensitivity in vitro. </t>
    </r>
    <r>
      <rPr>
        <b/>
        <sz val="11"/>
        <color rgb="FF000000"/>
        <rFont val="Calibri"/>
        <family val="2"/>
        <scheme val="minor"/>
      </rPr>
      <t xml:space="preserve">5) </t>
    </r>
    <r>
      <rPr>
        <sz val="11"/>
        <color indexed="8"/>
        <rFont val="Calibri"/>
        <family val="2"/>
        <scheme val="minor"/>
      </rPr>
      <t xml:space="preserve">RCC3 (XPB), </t>
    </r>
    <r>
      <rPr>
        <b/>
        <sz val="11"/>
        <color rgb="FF000000"/>
        <rFont val="Calibri"/>
        <family val="2"/>
        <scheme val="minor"/>
      </rPr>
      <t>ERCC4</t>
    </r>
    <r>
      <rPr>
        <sz val="11"/>
        <color indexed="8"/>
        <rFont val="Calibri"/>
        <family val="2"/>
        <scheme val="minor"/>
      </rPr>
      <t xml:space="preserve"> (XPF), and ERCC5 (XPG) RE levels were significantly lower in the </t>
    </r>
    <r>
      <rPr>
        <b/>
        <sz val="11"/>
        <color rgb="FF000000"/>
        <rFont val="Calibri"/>
        <family val="2"/>
        <scheme val="minor"/>
      </rPr>
      <t>melanoma</t>
    </r>
    <r>
      <rPr>
        <sz val="11"/>
        <color indexed="8"/>
        <rFont val="Calibri"/>
        <family val="2"/>
        <scheme val="minor"/>
      </rPr>
      <t xml:space="preserve"> cell lines than in the melanocyte cell line 24 hours after</t>
    </r>
    <r>
      <rPr>
        <b/>
        <sz val="11"/>
        <color rgb="FF000000"/>
        <rFont val="Calibri"/>
        <family val="2"/>
        <scheme val="minor"/>
      </rPr>
      <t xml:space="preserve"> cisplatin</t>
    </r>
    <r>
      <rPr>
        <sz val="11"/>
        <color indexed="8"/>
        <rFont val="Calibri"/>
        <family val="2"/>
        <scheme val="minor"/>
      </rPr>
      <t xml:space="preserve"> treatment. </t>
    </r>
    <r>
      <rPr>
        <b/>
        <sz val="11"/>
        <color rgb="FF000000"/>
        <rFont val="Calibri"/>
        <family val="2"/>
        <scheme val="minor"/>
      </rPr>
      <t>6)</t>
    </r>
    <r>
      <rPr>
        <sz val="11"/>
        <color indexed="8"/>
        <rFont val="Calibri"/>
        <family val="2"/>
        <scheme val="minor"/>
      </rPr>
      <t xml:space="preserve"> Expression level of </t>
    </r>
    <r>
      <rPr>
        <b/>
        <sz val="11"/>
        <color rgb="FF000000"/>
        <rFont val="Calibri"/>
        <family val="2"/>
        <scheme val="minor"/>
      </rPr>
      <t>XPF</t>
    </r>
    <r>
      <rPr>
        <sz val="11"/>
        <color indexed="8"/>
        <rFont val="Calibri"/>
        <family val="2"/>
        <scheme val="minor"/>
      </rPr>
      <t xml:space="preserve"> in </t>
    </r>
    <r>
      <rPr>
        <b/>
        <sz val="11"/>
        <color rgb="FF000000"/>
        <rFont val="Calibri"/>
        <family val="2"/>
        <scheme val="minor"/>
      </rPr>
      <t>HNSCC</t>
    </r>
    <r>
      <rPr>
        <sz val="11"/>
        <color indexed="8"/>
        <rFont val="Calibri"/>
        <family val="2"/>
        <scheme val="minor"/>
      </rPr>
      <t xml:space="preserve"> tumors correlates with clinical response to platinum-based chemotherapy. </t>
    </r>
  </si>
  <si>
    <r>
      <rPr>
        <b/>
        <sz val="11"/>
        <color rgb="FF000000"/>
        <rFont val="Calibri"/>
        <family val="2"/>
        <scheme val="minor"/>
      </rPr>
      <t xml:space="preserve">1) </t>
    </r>
    <r>
      <rPr>
        <sz val="11"/>
        <color indexed="8"/>
        <rFont val="Calibri"/>
        <family val="2"/>
        <scheme val="minor"/>
      </rPr>
      <t>a common polymorphic variant in the </t>
    </r>
    <r>
      <rPr>
        <b/>
        <sz val="11"/>
        <color rgb="FF000000"/>
        <rFont val="Calibri"/>
        <family val="2"/>
        <scheme val="minor"/>
      </rPr>
      <t>ERCC5</t>
    </r>
    <r>
      <rPr>
        <sz val="11"/>
        <color indexed="8"/>
        <rFont val="Calibri"/>
        <family val="2"/>
        <scheme val="minor"/>
      </rPr>
      <t xml:space="preserve"> 5' untranslated region (UTR) generates upstream ORF (uORF) that affects both the background expression of this protein and its ability to be synthesized following exposure to agents that cause bulky adduct DNA damage. </t>
    </r>
    <r>
      <rPr>
        <b/>
        <sz val="11"/>
        <color rgb="FF000000"/>
        <rFont val="Calibri"/>
        <family val="2"/>
        <scheme val="minor"/>
      </rPr>
      <t xml:space="preserve">2) </t>
    </r>
    <r>
      <rPr>
        <sz val="11"/>
        <color indexed="8"/>
        <rFont val="Calibri"/>
        <family val="2"/>
        <scheme val="minor"/>
      </rPr>
      <t>Individuals that harbor uORF1 have a marked resistance to </t>
    </r>
    <r>
      <rPr>
        <b/>
        <sz val="11"/>
        <color rgb="FF000000"/>
        <rFont val="Calibri"/>
        <family val="2"/>
        <scheme val="minor"/>
      </rPr>
      <t>platinum</t>
    </r>
    <r>
      <rPr>
        <sz val="11"/>
        <color indexed="8"/>
        <rFont val="Calibri"/>
        <family val="2"/>
        <scheme val="minor"/>
      </rPr>
      <t xml:space="preserve">-based agents, illustrated by the significantly reduced progression-free survival of pediatric ependymoma patients treated with such compounds. </t>
    </r>
    <r>
      <rPr>
        <b/>
        <sz val="11"/>
        <color rgb="FF000000"/>
        <rFont val="Calibri"/>
        <family val="2"/>
        <scheme val="minor"/>
      </rPr>
      <t xml:space="preserve">3) </t>
    </r>
    <r>
      <rPr>
        <sz val="11"/>
        <color indexed="8"/>
        <rFont val="Calibri"/>
        <family val="2"/>
        <scheme val="minor"/>
      </rPr>
      <t>inhibition of DNA-PKcs restores sensitivity to platinum-based compounds by preventing uORF1-dependent ERCC5 expression. </t>
    </r>
    <r>
      <rPr>
        <b/>
        <sz val="11"/>
        <color rgb="FF000000"/>
        <rFont val="Calibri"/>
        <family val="2"/>
        <scheme val="minor"/>
      </rPr>
      <t>4)</t>
    </r>
    <r>
      <rPr>
        <sz val="11"/>
        <color indexed="8"/>
        <rFont val="Calibri"/>
        <family val="2"/>
        <scheme val="minor"/>
      </rPr>
      <t xml:space="preserve"> the A allele and GA‑AA genotype of rs11069498 of </t>
    </r>
    <r>
      <rPr>
        <b/>
        <sz val="11"/>
        <color rgb="FF000000"/>
        <rFont val="Calibri"/>
        <family val="2"/>
        <scheme val="minor"/>
      </rPr>
      <t>ERCC5</t>
    </r>
    <r>
      <rPr>
        <sz val="11"/>
        <color indexed="8"/>
        <rFont val="Calibri"/>
        <family val="2"/>
        <scheme val="minor"/>
      </rPr>
      <t xml:space="preserve"> were related to the response to </t>
    </r>
    <r>
      <rPr>
        <b/>
        <sz val="11"/>
        <color rgb="FF000000"/>
        <rFont val="Calibri"/>
        <family val="2"/>
        <scheme val="minor"/>
      </rPr>
      <t>platinum</t>
    </r>
    <r>
      <rPr>
        <sz val="11"/>
        <color indexed="8"/>
        <rFont val="Calibri"/>
        <family val="2"/>
        <scheme val="minor"/>
      </rPr>
      <t xml:space="preserve"> based chemotherapy in </t>
    </r>
    <r>
      <rPr>
        <b/>
        <sz val="11"/>
        <color rgb="FF000000"/>
        <rFont val="Calibri"/>
        <family val="2"/>
        <scheme val="minor"/>
      </rPr>
      <t>lung</t>
    </r>
    <r>
      <rPr>
        <sz val="11"/>
        <color indexed="8"/>
        <rFont val="Calibri"/>
        <family val="2"/>
        <scheme val="minor"/>
      </rPr>
      <t xml:space="preserve"> cancer patients. </t>
    </r>
  </si>
  <si>
    <r>
      <rPr>
        <b/>
        <sz val="11"/>
        <color rgb="FF000000"/>
        <rFont val="Calibri"/>
        <family val="2"/>
        <scheme val="minor"/>
      </rPr>
      <t xml:space="preserve">1) </t>
    </r>
    <r>
      <rPr>
        <sz val="11"/>
        <color indexed="8"/>
        <rFont val="Calibri"/>
        <family val="2"/>
        <scheme val="minor"/>
      </rPr>
      <t xml:space="preserve">two NER mutations (ERCC6-Q524* and ERCC4-A583T), identified in the two most platinum-sensitive epithelial </t>
    </r>
    <r>
      <rPr>
        <b/>
        <sz val="11"/>
        <color rgb="FF000000"/>
        <rFont val="Calibri"/>
        <family val="2"/>
        <scheme val="minor"/>
      </rPr>
      <t>ovarian</t>
    </r>
    <r>
      <rPr>
        <sz val="11"/>
        <color indexed="8"/>
        <rFont val="Calibri"/>
        <family val="2"/>
        <scheme val="minor"/>
      </rPr>
      <t xml:space="preserve"> cancer (EOC) tumors, were functionally associated with platinum sensitivity in vitro.</t>
    </r>
    <r>
      <rPr>
        <b/>
        <sz val="11"/>
        <color rgb="FF000000"/>
        <rFont val="Calibri"/>
        <family val="2"/>
        <scheme val="minor"/>
      </rPr>
      <t xml:space="preserve"> 2)</t>
    </r>
    <r>
      <rPr>
        <sz val="11"/>
        <color indexed="8"/>
        <rFont val="Calibri"/>
        <family val="2"/>
        <scheme val="minor"/>
      </rPr>
      <t xml:space="preserve"> Expression of wild-type ERCC6 rescued cisplatin sensitivity of ERCC6-deficient cells, whereas complementation with mutant ERCC6-Q524* did not impact cisplatin sensitivity. </t>
    </r>
    <r>
      <rPr>
        <b/>
        <sz val="11"/>
        <color rgb="FF000000"/>
        <rFont val="Calibri"/>
        <family val="2"/>
        <scheme val="minor"/>
      </rPr>
      <t>3)</t>
    </r>
    <r>
      <rPr>
        <sz val="11"/>
        <color indexed="8"/>
        <rFont val="Calibri"/>
        <family val="2"/>
        <scheme val="minor"/>
      </rPr>
      <t xml:space="preserve"> Tumors with NER alterations were associated with improved overall survival (OS) and progression-free survival (PFS), compared with patients without NER alterations or BRCA1/2 mutations. </t>
    </r>
  </si>
  <si>
    <r>
      <rPr>
        <b/>
        <sz val="11"/>
        <color rgb="FF000000"/>
        <rFont val="Calibri"/>
        <family val="2"/>
        <scheme val="minor"/>
      </rPr>
      <t>1) </t>
    </r>
    <r>
      <rPr>
        <sz val="11"/>
        <color rgb="FF000000"/>
        <rFont val="Calibri"/>
        <family val="2"/>
        <scheme val="minor"/>
      </rPr>
      <t xml:space="preserve">Of </t>
    </r>
    <r>
      <rPr>
        <sz val="11"/>
        <color indexed="8"/>
        <rFont val="Calibri"/>
        <family val="2"/>
        <scheme val="minor"/>
      </rPr>
      <t xml:space="preserve">updated gene expression data and survival information of 1656 </t>
    </r>
    <r>
      <rPr>
        <b/>
        <sz val="11"/>
        <color rgb="FF000000"/>
        <rFont val="Calibri"/>
        <family val="2"/>
        <scheme val="minor"/>
      </rPr>
      <t>ovarian</t>
    </r>
    <r>
      <rPr>
        <sz val="11"/>
        <color indexed="8"/>
        <rFont val="Calibri"/>
        <family val="2"/>
        <scheme val="minor"/>
      </rPr>
      <t xml:space="preserve"> cancer patients, high expression of ERCC1 and ERCC8 mRNA was related to a worse overall survival among ovarian cancer patients, especially in late stage and poor differentiation serous ovarian patients. </t>
    </r>
    <r>
      <rPr>
        <b/>
        <sz val="11"/>
        <color rgb="FF000000"/>
        <rFont val="Calibri"/>
        <family val="2"/>
        <scheme val="minor"/>
      </rPr>
      <t xml:space="preserve">2) </t>
    </r>
    <r>
      <rPr>
        <sz val="11"/>
        <color indexed="8"/>
        <rFont val="Calibri"/>
        <family val="2"/>
        <scheme val="minor"/>
      </rPr>
      <t xml:space="preserve">High </t>
    </r>
    <r>
      <rPr>
        <b/>
        <sz val="11"/>
        <color rgb="FF000000"/>
        <rFont val="Calibri"/>
        <family val="2"/>
        <scheme val="minor"/>
      </rPr>
      <t>ERCC8</t>
    </r>
    <r>
      <rPr>
        <sz val="11"/>
        <color indexed="8"/>
        <rFont val="Calibri"/>
        <family val="2"/>
        <scheme val="minor"/>
      </rPr>
      <t xml:space="preserve"> mRNA expression indicated a worse OS for all GC patients. defects in the NER pathway (XPA, ERCC2, ERCC4, ERCC5, ERCC6 and </t>
    </r>
    <r>
      <rPr>
        <b/>
        <sz val="11"/>
        <color rgb="FF000000"/>
        <rFont val="Calibri"/>
        <family val="2"/>
        <scheme val="minor"/>
      </rPr>
      <t>ERCC8</t>
    </r>
    <r>
      <rPr>
        <sz val="11"/>
        <color indexed="8"/>
        <rFont val="Calibri"/>
        <family val="2"/>
        <scheme val="minor"/>
      </rPr>
      <t>) result in hypersensitivity to platinating agents, and restoration of NER integrity correlates with rescue of the cisplatin sensitivity of these cells.</t>
    </r>
  </si>
  <si>
    <r>
      <rPr>
        <b/>
        <sz val="11"/>
        <color rgb="FF000000"/>
        <rFont val="Calibri"/>
        <family val="2"/>
        <scheme val="minor"/>
      </rPr>
      <t>1) Ets-1</t>
    </r>
    <r>
      <rPr>
        <sz val="11"/>
        <color indexed="8"/>
        <rFont val="Calibri"/>
        <family val="2"/>
        <scheme val="minor"/>
      </rPr>
      <t xml:space="preserve"> is a transcription factor for metallothioneins. </t>
    </r>
    <r>
      <rPr>
        <b/>
        <sz val="11"/>
        <color rgb="FF000000"/>
        <rFont val="Calibri"/>
        <family val="2"/>
        <scheme val="minor"/>
      </rPr>
      <t>2)</t>
    </r>
    <r>
      <rPr>
        <sz val="11"/>
        <color indexed="8"/>
        <rFont val="Calibri"/>
        <family val="2"/>
        <scheme val="minor"/>
      </rPr>
      <t xml:space="preserve"> overexpress Ets-1 show similar or greater resistance to </t>
    </r>
    <r>
      <rPr>
        <b/>
        <sz val="11"/>
        <color rgb="FF000000"/>
        <rFont val="Calibri"/>
        <family val="2"/>
        <scheme val="minor"/>
      </rPr>
      <t>cisplatin</t>
    </r>
    <r>
      <rPr>
        <sz val="11"/>
        <color indexed="8"/>
        <rFont val="Calibri"/>
        <family val="2"/>
        <scheme val="minor"/>
      </rPr>
      <t xml:space="preserve">. </t>
    </r>
    <r>
      <rPr>
        <b/>
        <sz val="11"/>
        <color rgb="FF000000"/>
        <rFont val="Calibri"/>
        <family val="2"/>
        <scheme val="minor"/>
      </rPr>
      <t xml:space="preserve">3) </t>
    </r>
    <r>
      <rPr>
        <sz val="11"/>
        <color indexed="8"/>
        <rFont val="Calibri"/>
        <family val="2"/>
        <scheme val="minor"/>
      </rPr>
      <t xml:space="preserve">ETS1 is associated with cisplatin resistance through IKKα/NF-κB pathway in TNBC cell line MDA-MB-231. </t>
    </r>
    <r>
      <rPr>
        <b/>
        <sz val="11"/>
        <color rgb="FF000000"/>
        <rFont val="Calibri"/>
        <family val="2"/>
        <scheme val="minor"/>
      </rPr>
      <t>4)</t>
    </r>
    <r>
      <rPr>
        <sz val="11"/>
        <color indexed="8"/>
        <rFont val="Calibri"/>
        <family val="2"/>
        <scheme val="minor"/>
      </rPr>
      <t xml:space="preserve"> Increased ABC transporters were induced by the activation of NF-κB pathway in 231/DDP cells. </t>
    </r>
    <r>
      <rPr>
        <b/>
        <sz val="11"/>
        <color rgb="FF000000"/>
        <rFont val="Calibri"/>
        <family val="2"/>
        <scheme val="minor"/>
      </rPr>
      <t>5)</t>
    </r>
    <r>
      <rPr>
        <sz val="11"/>
        <color indexed="8"/>
        <rFont val="Calibri"/>
        <family val="2"/>
        <scheme val="minor"/>
      </rPr>
      <t xml:space="preserve"> Protein expression of ETS1 and IKKα were significantly up-regulated in 231/DDP cells. </t>
    </r>
    <r>
      <rPr>
        <b/>
        <sz val="11"/>
        <color rgb="FF000000"/>
        <rFont val="Calibri"/>
        <family val="2"/>
        <scheme val="minor"/>
      </rPr>
      <t xml:space="preserve">6) </t>
    </r>
    <r>
      <rPr>
        <sz val="11"/>
        <color indexed="8"/>
        <rFont val="Calibri"/>
        <family val="2"/>
        <scheme val="minor"/>
      </rPr>
      <t xml:space="preserve">Inhibition of ETS1 expression enhances chemo-sensitivity to DDP and reversed the activation of NF-κB pathway in 231/DDP cells and subcutaneous transplantation tumor in vivo. </t>
    </r>
    <r>
      <rPr>
        <b/>
        <sz val="11"/>
        <color rgb="FF000000"/>
        <rFont val="Calibri"/>
        <family val="2"/>
        <scheme val="minor"/>
      </rPr>
      <t>7)</t>
    </r>
    <r>
      <rPr>
        <sz val="11"/>
        <color indexed="8"/>
        <rFont val="Calibri"/>
        <family val="2"/>
        <scheme val="minor"/>
      </rPr>
      <t xml:space="preserve"> Association between ETS1 and the core IKKα promoter. </t>
    </r>
    <r>
      <rPr>
        <b/>
        <sz val="11"/>
        <color rgb="FF000000"/>
        <rFont val="Calibri"/>
        <family val="2"/>
        <scheme val="minor"/>
      </rPr>
      <t>8)</t>
    </r>
    <r>
      <rPr>
        <sz val="11"/>
        <color indexed="8"/>
        <rFont val="Calibri"/>
        <family val="2"/>
        <scheme val="minor"/>
      </rPr>
      <t xml:space="preserve"> c‐Ets1 was strongly expressed in the head portion of </t>
    </r>
    <r>
      <rPr>
        <b/>
        <sz val="11"/>
        <color rgb="FF000000"/>
        <rFont val="Calibri"/>
        <family val="2"/>
        <scheme val="minor"/>
      </rPr>
      <t>papillary</t>
    </r>
    <r>
      <rPr>
        <sz val="11"/>
        <color indexed="8"/>
        <rFont val="Calibri"/>
        <family val="2"/>
        <scheme val="minor"/>
      </rPr>
      <t xml:space="preserve"> carcinoma tissues that invaded the stroma. </t>
    </r>
    <r>
      <rPr>
        <b/>
        <sz val="11"/>
        <color rgb="FF000000"/>
        <rFont val="Calibri"/>
        <family val="2"/>
        <scheme val="minor"/>
      </rPr>
      <t xml:space="preserve">9) </t>
    </r>
    <r>
      <rPr>
        <sz val="11"/>
        <color indexed="8"/>
        <rFont val="Calibri"/>
        <family val="2"/>
        <scheme val="minor"/>
      </rPr>
      <t>c‐Ets1 expression was associated significantly with histologic grade (P &lt; 0.005), the presence of invasion to greater than one‐half myometrium (P &lt; 0.001), surgical stage (P &lt; 0.005), and vascular involvement (P = 0.009).</t>
    </r>
  </si>
  <si>
    <r>
      <t xml:space="preserve">Increased expression of </t>
    </r>
    <r>
      <rPr>
        <b/>
        <sz val="11"/>
        <color rgb="FF333333"/>
        <rFont val="Calibri"/>
        <family val="2"/>
        <scheme val="minor"/>
      </rPr>
      <t>FANCM</t>
    </r>
    <r>
      <rPr>
        <sz val="11"/>
        <color rgb="FF333333"/>
        <rFont val="Calibri"/>
        <family val="2"/>
        <scheme val="minor"/>
      </rPr>
      <t xml:space="preserve">, FANCL, UBE2T and RAD18 mRNA was observed in non-complete responders (NCR) compared to CR </t>
    </r>
    <r>
      <rPr>
        <b/>
        <sz val="11"/>
        <color rgb="FF333333"/>
        <rFont val="Calibri"/>
        <family val="2"/>
        <scheme val="minor"/>
      </rPr>
      <t>cervical</t>
    </r>
    <r>
      <rPr>
        <sz val="11"/>
        <color rgb="FF333333"/>
        <rFont val="Calibri"/>
        <family val="2"/>
        <scheme val="minor"/>
      </rPr>
      <t xml:space="preserve"> tumor samples. </t>
    </r>
  </si>
  <si>
    <r>
      <rPr>
        <b/>
        <sz val="11"/>
        <color rgb="FF333333"/>
        <rFont val="Calibri"/>
        <family val="2"/>
        <scheme val="minor"/>
      </rPr>
      <t xml:space="preserve">1) </t>
    </r>
    <r>
      <rPr>
        <sz val="11"/>
        <color rgb="FF333333"/>
        <rFont val="Calibri"/>
        <family val="2"/>
        <scheme val="minor"/>
      </rPr>
      <t>reduction of filamin-A sensitizes cancer cells to chemotherapy reagents bleomycin and </t>
    </r>
    <r>
      <rPr>
        <b/>
        <sz val="11"/>
        <color rgb="FF333333"/>
        <rFont val="Calibri"/>
        <family val="2"/>
        <scheme val="minor"/>
      </rPr>
      <t>cisplatin</t>
    </r>
    <r>
      <rPr>
        <sz val="11"/>
        <color rgb="FF333333"/>
        <rFont val="Calibri"/>
        <family val="2"/>
        <scheme val="minor"/>
      </rPr>
      <t>, delays the repair of not only DSBs but also single strand breaks (SSBs) and interstrand crosslinks (ICLs), and increases chromosome breaks.</t>
    </r>
    <r>
      <rPr>
        <b/>
        <sz val="11"/>
        <color rgb="FF333333"/>
        <rFont val="Calibri"/>
        <family val="2"/>
        <scheme val="minor"/>
      </rPr>
      <t xml:space="preserve"> 2) </t>
    </r>
    <r>
      <rPr>
        <sz val="11"/>
        <color rgb="FF333333"/>
        <rFont val="Calibri"/>
        <family val="2"/>
        <scheme val="minor"/>
      </rPr>
      <t xml:space="preserve">By treating a panel of human </t>
    </r>
    <r>
      <rPr>
        <b/>
        <sz val="11"/>
        <color rgb="FF333333"/>
        <rFont val="Calibri"/>
        <family val="2"/>
        <scheme val="minor"/>
      </rPr>
      <t>melanoma</t>
    </r>
    <r>
      <rPr>
        <sz val="11"/>
        <color rgb="FF333333"/>
        <rFont val="Calibri"/>
        <family val="2"/>
        <scheme val="minor"/>
      </rPr>
      <t xml:space="preserve"> cell lines with variable filamin-A expression, we observed a </t>
    </r>
    <r>
      <rPr>
        <b/>
        <sz val="11"/>
        <color rgb="FF333333"/>
        <rFont val="Calibri"/>
        <family val="2"/>
        <scheme val="minor"/>
      </rPr>
      <t>correlation between expression level of filamin-A protein and drug IC(50).</t>
    </r>
    <r>
      <rPr>
        <sz val="11"/>
        <color rgb="FF333333"/>
        <rFont val="Calibri"/>
        <family val="2"/>
        <scheme val="minor"/>
      </rPr>
      <t xml:space="preserve"> </t>
    </r>
    <r>
      <rPr>
        <b/>
        <sz val="11"/>
        <color rgb="FF333333"/>
        <rFont val="Calibri"/>
        <family val="2"/>
        <scheme val="minor"/>
      </rPr>
      <t>3) I</t>
    </r>
    <r>
      <rPr>
        <sz val="11"/>
        <color rgb="FF333333"/>
        <rFont val="Calibri"/>
        <family val="2"/>
        <scheme val="minor"/>
      </rPr>
      <t>nhibition of the expression of filamin-A confers an increased sensitivity to bleomycin and </t>
    </r>
    <r>
      <rPr>
        <b/>
        <sz val="11"/>
        <color rgb="FF333333"/>
        <rFont val="Calibri"/>
        <family val="2"/>
        <scheme val="minor"/>
      </rPr>
      <t>cisplatin</t>
    </r>
    <r>
      <rPr>
        <sz val="11"/>
        <color rgb="FF333333"/>
        <rFont val="Calibri"/>
        <family val="2"/>
        <scheme val="minor"/>
      </rPr>
      <t xml:space="preserve"> treatment in a mouse xenograft tumor model. </t>
    </r>
  </si>
  <si>
    <r>
      <rPr>
        <b/>
        <sz val="11"/>
        <color rgb="FF333333"/>
        <rFont val="Calibri"/>
        <family val="2"/>
        <scheme val="minor"/>
      </rPr>
      <t>1)</t>
    </r>
    <r>
      <rPr>
        <sz val="11"/>
        <color rgb="FF333333"/>
        <rFont val="Calibri"/>
        <family val="2"/>
        <scheme val="minor"/>
      </rPr>
      <t xml:space="preserve"> BMPs and their antagonists are known to play a crucial role in stem and progenitor cellbiology as regulators of the balance between expansion and differentiation. </t>
    </r>
    <r>
      <rPr>
        <b/>
        <sz val="11"/>
        <color rgb="FF333333"/>
        <rFont val="Calibri"/>
        <family val="2"/>
        <scheme val="minor"/>
      </rPr>
      <t>2) GREMLIN 1</t>
    </r>
    <r>
      <rPr>
        <sz val="11"/>
        <color rgb="FF333333"/>
        <rFont val="Calibri"/>
        <family val="2"/>
        <scheme val="minor"/>
      </rPr>
      <t xml:space="preserve"> expression in the stroma of human </t>
    </r>
    <r>
      <rPr>
        <b/>
        <sz val="11"/>
        <color rgb="FF333333"/>
        <rFont val="Calibri"/>
        <family val="2"/>
        <scheme val="minor"/>
      </rPr>
      <t>BCC</t>
    </r>
    <r>
      <rPr>
        <sz val="11"/>
        <color rgb="FF333333"/>
        <rFont val="Calibri"/>
        <family val="2"/>
        <scheme val="minor"/>
      </rPr>
      <t xml:space="preserve"> tumors but not in normal skin in vivo. </t>
    </r>
    <r>
      <rPr>
        <b/>
        <sz val="11"/>
        <color rgb="FF333333"/>
        <rFont val="Calibri"/>
        <family val="2"/>
        <scheme val="minor"/>
      </rPr>
      <t>3)</t>
    </r>
    <r>
      <rPr>
        <sz val="11"/>
        <color rgb="FF333333"/>
        <rFont val="Calibri"/>
        <family val="2"/>
        <scheme val="minor"/>
      </rPr>
      <t xml:space="preserve"> BMP 2 and 4 are expressed by BCC cells. Ex vivo, BMP inhibits, and Gremlin 1 promotes, proliferation of cultured BCC cells. </t>
    </r>
    <r>
      <rPr>
        <b/>
        <sz val="11"/>
        <color rgb="FF333333"/>
        <rFont val="Calibri"/>
        <family val="2"/>
        <scheme val="minor"/>
      </rPr>
      <t xml:space="preserve">4) </t>
    </r>
    <r>
      <rPr>
        <sz val="11"/>
        <color rgb="FF333333"/>
        <rFont val="Calibri"/>
        <family val="2"/>
        <scheme val="minor"/>
      </rPr>
      <t>GREMLIN 1 is expressed by stromal cells in many carcinomas but not in the corresponding normal tissue counterparts that we examined. </t>
    </r>
    <r>
      <rPr>
        <b/>
        <sz val="11"/>
        <color rgb="FF333333"/>
        <rFont val="Calibri"/>
        <family val="2"/>
        <scheme val="minor"/>
      </rPr>
      <t>5) Cisplatin</t>
    </r>
    <r>
      <rPr>
        <sz val="11"/>
        <color rgb="FF333333"/>
        <rFont val="Calibri"/>
        <family val="2"/>
        <scheme val="minor"/>
      </rPr>
      <t xml:space="preserve"> had at least an additive efect in the reduction of JL-1 and H2052 </t>
    </r>
    <r>
      <rPr>
        <b/>
        <sz val="11"/>
        <color rgb="FF333333"/>
        <rFont val="Calibri"/>
        <family val="2"/>
        <scheme val="minor"/>
      </rPr>
      <t>mesothelioma</t>
    </r>
    <r>
      <rPr>
        <sz val="11"/>
        <color rgb="FF333333"/>
        <rFont val="Calibri"/>
        <family val="2"/>
        <scheme val="minor"/>
      </rPr>
      <t xml:space="preserve"> cell proliferation when combined with pirfenidone, which down-regulate </t>
    </r>
    <r>
      <rPr>
        <b/>
        <sz val="11"/>
        <color rgb="FF333333"/>
        <rFont val="Calibri"/>
        <family val="2"/>
        <scheme val="minor"/>
      </rPr>
      <t>GREM1</t>
    </r>
    <r>
      <rPr>
        <sz val="11"/>
        <color rgb="FF333333"/>
        <rFont val="Calibri"/>
        <family val="2"/>
        <scheme val="minor"/>
      </rPr>
      <t xml:space="preserve"> expression. </t>
    </r>
    <r>
      <rPr>
        <b/>
        <sz val="11"/>
        <color rgb="FF333333"/>
        <rFont val="Calibri"/>
        <family val="2"/>
        <scheme val="minor"/>
      </rPr>
      <t xml:space="preserve">6) </t>
    </r>
    <r>
      <rPr>
        <sz val="11"/>
        <color rgb="FF333333"/>
        <rFont val="Calibri"/>
        <family val="2"/>
        <scheme val="minor"/>
      </rPr>
      <t xml:space="preserve">two studies using non-small cell lung cancer (NSCLC) xenograf mouse models suggested also that pirfenidone alone did not signifcantly reduce tumor proliferation. However, combining pirfenidone with a platin chemotherapy compound resulted in a signifcant decrease in tumor growth. </t>
    </r>
  </si>
  <si>
    <r>
      <rPr>
        <b/>
        <sz val="11"/>
        <color rgb="FF333333"/>
        <rFont val="Calibri"/>
        <family val="2"/>
        <scheme val="minor"/>
      </rPr>
      <t xml:space="preserve">1) </t>
    </r>
    <r>
      <rPr>
        <sz val="11"/>
        <color rgb="FF333333"/>
        <rFont val="Calibri"/>
        <family val="2"/>
        <scheme val="minor"/>
      </rPr>
      <t xml:space="preserve">We compared the expression/phosphorylation of </t>
    </r>
    <r>
      <rPr>
        <b/>
        <sz val="11"/>
        <color rgb="FF333333"/>
        <rFont val="Calibri"/>
        <family val="2"/>
        <scheme val="minor"/>
      </rPr>
      <t>GSK-3beta</t>
    </r>
    <r>
      <rPr>
        <sz val="11"/>
        <color rgb="FF333333"/>
        <rFont val="Calibri"/>
        <family val="2"/>
        <scheme val="minor"/>
      </rPr>
      <t xml:space="preserve"> between the cisplatin-sensitive </t>
    </r>
    <r>
      <rPr>
        <b/>
        <sz val="11"/>
        <color rgb="FF333333"/>
        <rFont val="Calibri"/>
        <family val="2"/>
        <scheme val="minor"/>
      </rPr>
      <t>ovarian</t>
    </r>
    <r>
      <rPr>
        <sz val="11"/>
        <color rgb="FF333333"/>
        <rFont val="Calibri"/>
        <family val="2"/>
        <scheme val="minor"/>
      </rPr>
      <t xml:space="preserve"> carcinoma cell line A2780 and its </t>
    </r>
    <r>
      <rPr>
        <b/>
        <sz val="11"/>
        <color rgb="FF333333"/>
        <rFont val="Calibri"/>
        <family val="2"/>
        <scheme val="minor"/>
      </rPr>
      <t>cisplatin</t>
    </r>
    <r>
      <rPr>
        <sz val="11"/>
        <color rgb="FF333333"/>
        <rFont val="Calibri"/>
        <family val="2"/>
        <scheme val="minor"/>
      </rPr>
      <t>-resistant derivative CP70. The expression levels of total GSK-3beta and pGSK-3beta-tyr-216 were similar in these cells; however, CP70 cells had a much higher expression of</t>
    </r>
    <r>
      <rPr>
        <b/>
        <sz val="11"/>
        <color rgb="FF333333"/>
        <rFont val="Calibri"/>
        <family val="2"/>
        <scheme val="minor"/>
      </rPr>
      <t xml:space="preserve"> pGSK-3beta-ser-9</t>
    </r>
    <r>
      <rPr>
        <sz val="11"/>
        <color rgb="FF333333"/>
        <rFont val="Calibri"/>
        <family val="2"/>
        <scheme val="minor"/>
      </rPr>
      <t xml:space="preserve"> than A2780 cells. </t>
    </r>
    <r>
      <rPr>
        <b/>
        <sz val="11"/>
        <color rgb="FF333333"/>
        <rFont val="Calibri"/>
        <family val="2"/>
        <scheme val="minor"/>
      </rPr>
      <t xml:space="preserve">2) </t>
    </r>
    <r>
      <rPr>
        <sz val="11"/>
        <color rgb="FF333333"/>
        <rFont val="Calibri"/>
        <family val="2"/>
        <scheme val="minor"/>
      </rPr>
      <t xml:space="preserve">Lithium chloride, which is a GSK-3beta inhibitor and stimulates pGSK-3beta-ser-9, significantly increased the IC50 of cisplatin and counteracted cisplatin-induced apoptosis of A2780 and CP70 cells. </t>
    </r>
    <r>
      <rPr>
        <b/>
        <sz val="11"/>
        <color rgb="FF333333"/>
        <rFont val="Calibri"/>
        <family val="2"/>
        <scheme val="minor"/>
      </rPr>
      <t xml:space="preserve">3) </t>
    </r>
    <r>
      <rPr>
        <sz val="11"/>
        <color rgb="FF333333"/>
        <rFont val="Calibri"/>
        <family val="2"/>
        <scheme val="minor"/>
      </rPr>
      <t xml:space="preserve">In contrast, overexpression of a constitutively active S9A GSK-3beta mutant increased the sensitivity of CP70 cells to cisplatin and significantly enhanced cisplatin-mediated apoptosis. </t>
    </r>
    <r>
      <rPr>
        <b/>
        <sz val="11"/>
        <color rgb="FF333333"/>
        <rFont val="Calibri"/>
        <family val="2"/>
        <scheme val="minor"/>
      </rPr>
      <t xml:space="preserve">4) </t>
    </r>
    <r>
      <rPr>
        <sz val="11"/>
        <color rgb="FF333333"/>
        <rFont val="Calibri"/>
        <family val="2"/>
        <scheme val="minor"/>
      </rPr>
      <t>It is suggested that the cisplatin-resistance of CP70 cells is mediated by stabilizing p53. We demonstrated that GSK-3beta negatively regulated the expression of p53. </t>
    </r>
  </si>
  <si>
    <r>
      <rPr>
        <b/>
        <sz val="11"/>
        <rFont val="Calibri"/>
        <family val="2"/>
        <scheme val="minor"/>
      </rPr>
      <t xml:space="preserve">1) </t>
    </r>
    <r>
      <rPr>
        <sz val="11"/>
        <rFont val="Calibri"/>
        <family val="2"/>
        <scheme val="minor"/>
      </rPr>
      <t xml:space="preserve">hepatocyte growth factor (HGF) </t>
    </r>
    <r>
      <rPr>
        <b/>
        <sz val="11"/>
        <rFont val="Calibri"/>
        <family val="2"/>
        <scheme val="minor"/>
      </rPr>
      <t>enhances</t>
    </r>
    <r>
      <rPr>
        <sz val="11"/>
        <rFont val="Calibri"/>
        <family val="2"/>
        <scheme val="minor"/>
      </rPr>
      <t xml:space="preserve"> death of human </t>
    </r>
    <r>
      <rPr>
        <b/>
        <sz val="11"/>
        <rFont val="Calibri"/>
        <family val="2"/>
        <scheme val="minor"/>
      </rPr>
      <t>ovarian cancer cell lines</t>
    </r>
    <r>
      <rPr>
        <sz val="11"/>
        <rFont val="Calibri"/>
        <family val="2"/>
        <scheme val="minor"/>
      </rPr>
      <t xml:space="preserve"> treated with </t>
    </r>
    <r>
      <rPr>
        <b/>
        <sz val="11"/>
        <rFont val="Calibri"/>
        <family val="2"/>
        <scheme val="minor"/>
      </rPr>
      <t>cisplatin</t>
    </r>
    <r>
      <rPr>
        <sz val="11"/>
        <rFont val="Calibri"/>
        <family val="2"/>
        <scheme val="minor"/>
      </rPr>
      <t xml:space="preserve"> (CDDP) </t>
    </r>
    <r>
      <rPr>
        <b/>
        <sz val="11"/>
        <rFont val="Calibri"/>
        <family val="2"/>
        <scheme val="minor"/>
      </rPr>
      <t xml:space="preserve">2) </t>
    </r>
    <r>
      <rPr>
        <sz val="11"/>
        <rFont val="Calibri"/>
        <family val="2"/>
        <scheme val="minor"/>
      </rPr>
      <t xml:space="preserve">this effect is mediated by the p38 mitogen-activated protein kinase. </t>
    </r>
    <r>
      <rPr>
        <b/>
        <sz val="11"/>
        <rFont val="Calibri"/>
        <family val="2"/>
        <scheme val="minor"/>
      </rPr>
      <t>3)</t>
    </r>
    <r>
      <rPr>
        <sz val="11"/>
        <rFont val="Calibri"/>
        <family val="2"/>
        <scheme val="minor"/>
      </rPr>
      <t xml:space="preserve"> In </t>
    </r>
    <r>
      <rPr>
        <b/>
        <sz val="11"/>
        <rFont val="Calibri"/>
        <family val="2"/>
        <scheme val="minor"/>
      </rPr>
      <t>nonovarian cancer cell</t>
    </r>
    <r>
      <rPr>
        <sz val="11"/>
        <rFont val="Calibri"/>
        <family val="2"/>
        <scheme val="minor"/>
      </rPr>
      <t xml:space="preserve"> models, as expected, HGF provides </t>
    </r>
    <r>
      <rPr>
        <b/>
        <sz val="11"/>
        <rFont val="Calibri"/>
        <family val="2"/>
        <scheme val="minor"/>
      </rPr>
      <t xml:space="preserve">protection </t>
    </r>
    <r>
      <rPr>
        <sz val="11"/>
        <rFont val="Calibri"/>
        <family val="2"/>
        <scheme val="minor"/>
      </rPr>
      <t xml:space="preserve">from drug-induced apoptosis. </t>
    </r>
    <r>
      <rPr>
        <b/>
        <sz val="11"/>
        <rFont val="Calibri"/>
        <family val="2"/>
        <scheme val="minor"/>
      </rPr>
      <t>4)</t>
    </r>
    <r>
      <rPr>
        <sz val="11"/>
        <rFont val="Calibri"/>
        <family val="2"/>
        <scheme val="minor"/>
      </rPr>
      <t xml:space="preserve"> HGF expression was associated with tumor‑node‑metastasis (TNM) clinical stage, histological grade, lymph node metastasis and prognosis (P&lt;0.05). </t>
    </r>
    <r>
      <rPr>
        <b/>
        <sz val="11"/>
        <rFont val="Calibri"/>
        <family val="2"/>
        <scheme val="minor"/>
      </rPr>
      <t xml:space="preserve">5) </t>
    </r>
    <r>
      <rPr>
        <sz val="11"/>
        <rFont val="Calibri"/>
        <family val="2"/>
        <scheme val="minor"/>
      </rPr>
      <t>The efficiency of chemotherapy in HGF negative patients (90%) was significantly higher (P&lt;0.05) compared with HGF positive patients (68.75%).</t>
    </r>
  </si>
  <si>
    <r>
      <rPr>
        <b/>
        <sz val="11"/>
        <rFont val="Calibri"/>
        <family val="2"/>
        <scheme val="minor"/>
      </rPr>
      <t xml:space="preserve">1) </t>
    </r>
    <r>
      <rPr>
        <sz val="11"/>
        <rFont val="Calibri"/>
        <family val="2"/>
        <scheme val="minor"/>
      </rPr>
      <t>22 gene promoters for hypermethylation in 70 differentiated nonseminoma germ cell tumors (</t>
    </r>
    <r>
      <rPr>
        <b/>
        <sz val="11"/>
        <rFont val="Calibri"/>
        <family val="2"/>
        <scheme val="minor"/>
      </rPr>
      <t>NSGCT</t>
    </r>
    <r>
      <rPr>
        <sz val="11"/>
        <rFont val="Calibri"/>
        <family val="2"/>
        <scheme val="minor"/>
      </rPr>
      <t xml:space="preserve">s) derived from 60 patients; the frequency of promoter hypermethylation of individual genes differed between </t>
    </r>
    <r>
      <rPr>
        <b/>
        <sz val="11"/>
        <rFont val="Calibri"/>
        <family val="2"/>
        <scheme val="minor"/>
      </rPr>
      <t>cisplatin</t>
    </r>
    <r>
      <rPr>
        <sz val="11"/>
        <rFont val="Calibri"/>
        <family val="2"/>
        <scheme val="minor"/>
      </rPr>
      <t>-sensitive and resistant tumors. RASSF1A (52% in resistant vs. 28% in sensitive) and </t>
    </r>
    <r>
      <rPr>
        <b/>
        <sz val="11"/>
        <rFont val="Calibri"/>
        <family val="2"/>
        <scheme val="minor"/>
      </rPr>
      <t>HIC1</t>
    </r>
    <r>
      <rPr>
        <sz val="11"/>
        <rFont val="Calibri"/>
        <family val="2"/>
        <scheme val="minor"/>
      </rPr>
      <t xml:space="preserve"> (47% in resistant vs. 24% in sensitive) genes showed higher frequency of promoter hypermethylation in resistant tumors. </t>
    </r>
    <r>
      <rPr>
        <b/>
        <sz val="11"/>
        <rFont val="Calibri"/>
        <family val="2"/>
        <scheme val="minor"/>
      </rPr>
      <t>2)</t>
    </r>
    <r>
      <rPr>
        <sz val="11"/>
        <rFont val="Calibri"/>
        <family val="2"/>
        <scheme val="minor"/>
      </rPr>
      <t xml:space="preserve"> hypermethylation of RASSF1A, </t>
    </r>
    <r>
      <rPr>
        <b/>
        <sz val="11"/>
        <rFont val="Calibri"/>
        <family val="2"/>
        <scheme val="minor"/>
      </rPr>
      <t>HIC1</t>
    </r>
    <r>
      <rPr>
        <sz val="11"/>
        <rFont val="Calibri"/>
        <family val="2"/>
        <scheme val="minor"/>
      </rPr>
      <t>, and APC genes was higher in the treated tumors, with highly resistant (C2/C3) tumors exhibiting the highest incidence</t>
    </r>
  </si>
  <si>
    <r>
      <rPr>
        <b/>
        <sz val="11"/>
        <color rgb="FF333333"/>
        <rFont val="Calibri"/>
        <family val="2"/>
        <scheme val="minor"/>
      </rPr>
      <t xml:space="preserve">1) </t>
    </r>
    <r>
      <rPr>
        <sz val="11"/>
        <color rgb="FF333333"/>
        <rFont val="Calibri"/>
        <family val="2"/>
        <scheme val="minor"/>
      </rPr>
      <t>The median survival of patients with high HOXA13 expression was significantly shorter than those with low expression (P = 0.027). </t>
    </r>
    <r>
      <rPr>
        <b/>
        <sz val="11"/>
        <color rgb="FF333333"/>
        <rFont val="Calibri"/>
        <family val="2"/>
        <scheme val="minor"/>
      </rPr>
      <t xml:space="preserve">2) </t>
    </r>
    <r>
      <rPr>
        <sz val="11"/>
        <color rgb="FF333333"/>
        <rFont val="Calibri"/>
        <family val="2"/>
        <scheme val="minor"/>
      </rPr>
      <t xml:space="preserve">HOXA13 was associated with worse tumor regression grade (P = 0.009). </t>
    </r>
    <r>
      <rPr>
        <b/>
        <sz val="11"/>
        <color rgb="FF333333"/>
        <rFont val="Calibri"/>
        <family val="2"/>
        <scheme val="minor"/>
      </rPr>
      <t>3)</t>
    </r>
    <r>
      <rPr>
        <sz val="11"/>
        <color rgb="FF333333"/>
        <rFont val="Calibri"/>
        <family val="2"/>
        <scheme val="minor"/>
      </rPr>
      <t xml:space="preserve"> Low </t>
    </r>
    <r>
      <rPr>
        <b/>
        <sz val="11"/>
        <color rgb="FF333333"/>
        <rFont val="Calibri"/>
        <family val="2"/>
        <scheme val="minor"/>
      </rPr>
      <t>HOXA13</t>
    </r>
    <r>
      <rPr>
        <sz val="11"/>
        <color rgb="FF333333"/>
        <rFont val="Calibri"/>
        <family val="2"/>
        <scheme val="minor"/>
      </rPr>
      <t xml:space="preserve"> expressed cells decreased the half‐maximal inhibitory concentration of </t>
    </r>
    <r>
      <rPr>
        <b/>
        <sz val="11"/>
        <color rgb="FF333333"/>
        <rFont val="Calibri"/>
        <family val="2"/>
        <scheme val="minor"/>
      </rPr>
      <t>cisplatin</t>
    </r>
    <r>
      <rPr>
        <sz val="11"/>
        <color rgb="FF333333"/>
        <rFont val="Calibri"/>
        <family val="2"/>
        <scheme val="minor"/>
      </rPr>
      <t xml:space="preserve"> (P &lt; 0.05), increased cisplatin‐induced apoptosis (P &lt; 0.05), and decreased EMT (P &lt; 0.05) compared with high HOXA13 expressed cells. </t>
    </r>
    <r>
      <rPr>
        <b/>
        <sz val="11"/>
        <color rgb="FF333333"/>
        <rFont val="Calibri"/>
        <family val="2"/>
        <scheme val="minor"/>
      </rPr>
      <t>4)</t>
    </r>
    <r>
      <rPr>
        <sz val="11"/>
        <color rgb="FF333333"/>
        <rFont val="Calibri"/>
        <family val="2"/>
        <scheme val="minor"/>
      </rPr>
      <t xml:space="preserve"> In low HOXA13 expressed cells, cleaved caspase‐3 and cleaved PARP expression induced by </t>
    </r>
    <r>
      <rPr>
        <b/>
        <sz val="11"/>
        <color rgb="FF333333"/>
        <rFont val="Calibri"/>
        <family val="2"/>
        <scheme val="minor"/>
      </rPr>
      <t>cisplatin</t>
    </r>
    <r>
      <rPr>
        <sz val="11"/>
        <color rgb="FF333333"/>
        <rFont val="Calibri"/>
        <family val="2"/>
        <scheme val="minor"/>
      </rPr>
      <t xml:space="preserve"> increased, while expression of E‐cadherin and Snail protein, markers of EMT, was upregulated and downregulated, respectively. </t>
    </r>
    <r>
      <rPr>
        <b/>
        <sz val="11"/>
        <color rgb="FF333333"/>
        <rFont val="Calibri"/>
        <family val="2"/>
        <scheme val="minor"/>
      </rPr>
      <t xml:space="preserve">5) </t>
    </r>
    <r>
      <rPr>
        <sz val="11"/>
        <color rgb="FF333333"/>
        <rFont val="Calibri"/>
        <family val="2"/>
        <scheme val="minor"/>
      </rPr>
      <t>EMT decreased in low HOXA13expressed cells.</t>
    </r>
  </si>
  <si>
    <r>
      <rPr>
        <b/>
        <sz val="11"/>
        <color rgb="FF333333"/>
        <rFont val="Calibri"/>
        <family val="2"/>
        <scheme val="minor"/>
      </rPr>
      <t>1)</t>
    </r>
    <r>
      <rPr>
        <sz val="11"/>
        <color rgb="FF333333"/>
        <rFont val="Calibri"/>
        <family val="2"/>
        <scheme val="minor"/>
      </rPr>
      <t xml:space="preserve"> Of 23 HOX genes tested in the training cohort, </t>
    </r>
    <r>
      <rPr>
        <b/>
        <sz val="11"/>
        <color rgb="FF333333"/>
        <rFont val="Calibri"/>
        <family val="2"/>
        <scheme val="minor"/>
      </rPr>
      <t>HOXA4</t>
    </r>
    <r>
      <rPr>
        <sz val="11"/>
        <color rgb="FF333333"/>
        <rFont val="Calibri"/>
        <family val="2"/>
        <scheme val="minor"/>
      </rPr>
      <t xml:space="preserve"> (HR=1.20, 95% CI=1.07-1.34, P=0.002) and HOXB3 (HR=1.09, 95% CI=1.01-1.17, P=0.027) overexpression were significantly associated with shorter PFS in multivariate analysis. </t>
    </r>
    <r>
      <rPr>
        <b/>
        <sz val="11"/>
        <color rgb="FF333333"/>
        <rFont val="Calibri"/>
        <family val="2"/>
        <scheme val="minor"/>
      </rPr>
      <t>2)</t>
    </r>
    <r>
      <rPr>
        <sz val="11"/>
        <color rgb="FF333333"/>
        <rFont val="Calibri"/>
        <family val="2"/>
        <scheme val="minor"/>
      </rPr>
      <t xml:space="preserve"> Based on the optimal cutoff of the HOXA4/HOXB3 risk score, median PFS was 16.9months (95% CI=14.6-21.2months) and not reached (&gt;80months) for patients with high and low risk scores, respectively (HR=8.89, 95% CI=2.09-37.74, P&lt;0.001). </t>
    </r>
    <r>
      <rPr>
        <b/>
        <sz val="11"/>
        <color rgb="FF333333"/>
        <rFont val="Calibri"/>
        <family val="2"/>
        <scheme val="minor"/>
      </rPr>
      <t xml:space="preserve">3) </t>
    </r>
    <r>
      <rPr>
        <sz val="11"/>
        <color rgb="FF333333"/>
        <rFont val="Calibri"/>
        <family val="2"/>
        <scheme val="minor"/>
      </rPr>
      <t xml:space="preserve">In TCGA, the HOXA4/HOXB3 risk score was significantly associated with disease-free survival (HR=1.44, 95% CI=1.00-2.09, P=0.048). </t>
    </r>
    <r>
      <rPr>
        <b/>
        <sz val="11"/>
        <color rgb="FF333333"/>
        <rFont val="Calibri"/>
        <family val="2"/>
        <scheme val="minor"/>
      </rPr>
      <t xml:space="preserve">4) </t>
    </r>
    <r>
      <rPr>
        <sz val="11"/>
        <color rgb="FF333333"/>
        <rFont val="Calibri"/>
        <family val="2"/>
        <scheme val="minor"/>
      </rPr>
      <t xml:space="preserve">HOXA4 or HOXB3 overexpression in </t>
    </r>
    <r>
      <rPr>
        <b/>
        <sz val="11"/>
        <color rgb="FF333333"/>
        <rFont val="Calibri"/>
        <family val="2"/>
        <scheme val="minor"/>
      </rPr>
      <t>ovarian</t>
    </r>
    <r>
      <rPr>
        <sz val="11"/>
        <color rgb="FF333333"/>
        <rFont val="Calibri"/>
        <family val="2"/>
        <scheme val="minor"/>
      </rPr>
      <t xml:space="preserve"> cancer cells decreased sensitivity to </t>
    </r>
    <r>
      <rPr>
        <b/>
        <sz val="11"/>
        <color rgb="FF333333"/>
        <rFont val="Calibri"/>
        <family val="2"/>
        <scheme val="minor"/>
      </rPr>
      <t>cisplatin</t>
    </r>
    <r>
      <rPr>
        <sz val="11"/>
        <color rgb="FF333333"/>
        <rFont val="Calibri"/>
        <family val="2"/>
        <scheme val="minor"/>
      </rPr>
      <t xml:space="preserve"> and attenuated the generation of cisplatin-induced ROS (P&lt;0.05). </t>
    </r>
    <r>
      <rPr>
        <b/>
        <sz val="11"/>
        <color rgb="FF333333"/>
        <rFont val="Calibri"/>
        <family val="2"/>
        <scheme val="minor"/>
      </rPr>
      <t>5) HOXA4</t>
    </r>
    <r>
      <rPr>
        <sz val="11"/>
        <color rgb="FF333333"/>
        <rFont val="Calibri"/>
        <family val="2"/>
        <scheme val="minor"/>
      </rPr>
      <t xml:space="preserve">-Dependent Transcriptional Activation of </t>
    </r>
    <r>
      <rPr>
        <b/>
        <sz val="11"/>
        <color rgb="FF333333"/>
        <rFont val="Calibri"/>
        <family val="2"/>
        <scheme val="minor"/>
      </rPr>
      <t>AXL</t>
    </r>
    <r>
      <rPr>
        <sz val="11"/>
        <color rgb="FF333333"/>
        <rFont val="Calibri"/>
        <family val="2"/>
        <scheme val="minor"/>
      </rPr>
      <t xml:space="preserve"> Promotes Cisplatin- Resistance in </t>
    </r>
    <r>
      <rPr>
        <b/>
        <sz val="11"/>
        <color rgb="FF333333"/>
        <rFont val="Calibri"/>
        <family val="2"/>
        <scheme val="minor"/>
      </rPr>
      <t>Lung</t>
    </r>
    <r>
      <rPr>
        <sz val="11"/>
        <color rgb="FF333333"/>
        <rFont val="Calibri"/>
        <family val="2"/>
        <scheme val="minor"/>
      </rPr>
      <t xml:space="preserve"> Adenocarcinoma Cells. </t>
    </r>
  </si>
  <si>
    <r>
      <rPr>
        <b/>
        <sz val="11"/>
        <color rgb="FF333333"/>
        <rFont val="Calibri"/>
        <family val="2"/>
        <scheme val="minor"/>
      </rPr>
      <t>1)</t>
    </r>
    <r>
      <rPr>
        <sz val="11"/>
        <color rgb="FF333333"/>
        <rFont val="Calibri"/>
        <family val="2"/>
        <scheme val="minor"/>
      </rPr>
      <t xml:space="preserve"> High expression of </t>
    </r>
    <r>
      <rPr>
        <b/>
        <sz val="11"/>
        <color rgb="FF333333"/>
        <rFont val="Calibri"/>
        <family val="2"/>
        <scheme val="minor"/>
      </rPr>
      <t xml:space="preserve">HOXB13 </t>
    </r>
    <r>
      <rPr>
        <sz val="11"/>
        <color rgb="FF333333"/>
        <rFont val="Calibri"/>
        <family val="2"/>
        <scheme val="minor"/>
      </rPr>
      <t xml:space="preserve">observed in 17.8% of the lung adenocarcinoma patients in this study promoted cancer progression and predicted poor prognosis. </t>
    </r>
    <r>
      <rPr>
        <b/>
        <sz val="11"/>
        <color rgb="FF333333"/>
        <rFont val="Calibri"/>
        <family val="2"/>
        <scheme val="minor"/>
      </rPr>
      <t xml:space="preserve">2) </t>
    </r>
    <r>
      <rPr>
        <sz val="11"/>
        <color rgb="FF333333"/>
        <rFont val="Calibri"/>
        <family val="2"/>
        <scheme val="minor"/>
      </rPr>
      <t xml:space="preserve">HOXB13 upregulated an array of metastasis- and drug-resistance-related genes, including ABCG1, EZH2, and Slug, by directly binding to their promoters. </t>
    </r>
    <r>
      <rPr>
        <b/>
        <sz val="11"/>
        <color rgb="FF333333"/>
        <rFont val="Calibri"/>
        <family val="2"/>
        <scheme val="minor"/>
      </rPr>
      <t>3) Cisplatin</t>
    </r>
    <r>
      <rPr>
        <sz val="11"/>
        <color rgb="FF333333"/>
        <rFont val="Calibri"/>
        <family val="2"/>
        <scheme val="minor"/>
      </rPr>
      <t xml:space="preserve"> induced HOXB13 expression in lung adenocarcinoma cells, and patient-derived xenografts and depletion of ABCG1 enhanced the sensitivity of lung adenocarcinoma cells to cisplatin therapy. </t>
    </r>
    <r>
      <rPr>
        <b/>
        <sz val="11"/>
        <color rgb="FF333333"/>
        <rFont val="Calibri"/>
        <family val="2"/>
        <scheme val="minor"/>
      </rPr>
      <t xml:space="preserve">4) </t>
    </r>
    <r>
      <rPr>
        <sz val="11"/>
        <color rgb="FF333333"/>
        <rFont val="Calibri"/>
        <family val="2"/>
        <scheme val="minor"/>
      </rPr>
      <t>determining the combined expression of HOXB13 and its target genes can predict patient outcomes.</t>
    </r>
  </si>
  <si>
    <r>
      <rPr>
        <b/>
        <sz val="11"/>
        <color rgb="FF333333"/>
        <rFont val="Calibri"/>
        <family val="2"/>
        <scheme val="minor"/>
      </rPr>
      <t>1)</t>
    </r>
    <r>
      <rPr>
        <sz val="11"/>
        <color rgb="FF333333"/>
        <rFont val="Calibri"/>
        <family val="2"/>
        <scheme val="minor"/>
      </rPr>
      <t xml:space="preserve"> Of 23 HOX genes tested in the training cohort, HOXA4 (HR=1.20, 95% CI=1.07-1.34, P=0.002) and </t>
    </r>
    <r>
      <rPr>
        <b/>
        <sz val="11"/>
        <color rgb="FF333333"/>
        <rFont val="Calibri"/>
        <family val="2"/>
        <scheme val="minor"/>
      </rPr>
      <t>HOXB3</t>
    </r>
    <r>
      <rPr>
        <sz val="11"/>
        <color rgb="FF333333"/>
        <rFont val="Calibri"/>
        <family val="2"/>
        <scheme val="minor"/>
      </rPr>
      <t xml:space="preserve"> (HR=1.09, 95% CI=1.01-1.17, P=0.027) overexpression were significantly associated with shorter PFS in multivariate analysis. </t>
    </r>
    <r>
      <rPr>
        <b/>
        <sz val="11"/>
        <color rgb="FF333333"/>
        <rFont val="Calibri"/>
        <family val="2"/>
        <scheme val="minor"/>
      </rPr>
      <t>2)</t>
    </r>
    <r>
      <rPr>
        <sz val="11"/>
        <color rgb="FF333333"/>
        <rFont val="Calibri"/>
        <family val="2"/>
        <scheme val="minor"/>
      </rPr>
      <t xml:space="preserve"> Based on the optimal cutoff of the HOXA4/HOXB3 risk score, median PFS was 16.9months (95% CI=14.6-21.2months) and not reached (&gt;80months) for patients with high and low risk scores, respectively (HR=8.89, 95% CI=2.09-37.74, P&lt;0.001). </t>
    </r>
    <r>
      <rPr>
        <b/>
        <sz val="11"/>
        <color rgb="FF333333"/>
        <rFont val="Calibri"/>
        <family val="2"/>
        <scheme val="minor"/>
      </rPr>
      <t xml:space="preserve">3) </t>
    </r>
    <r>
      <rPr>
        <sz val="11"/>
        <color rgb="FF333333"/>
        <rFont val="Calibri"/>
        <family val="2"/>
        <scheme val="minor"/>
      </rPr>
      <t xml:space="preserve">In TCGA, the HOXA4/HOXB3 risk score was significantly associated with disease-free survival (HR=1.44, 95% CI=1.00-2.09, P=0.048). </t>
    </r>
    <r>
      <rPr>
        <b/>
        <sz val="11"/>
        <color rgb="FF333333"/>
        <rFont val="Calibri"/>
        <family val="2"/>
        <scheme val="minor"/>
      </rPr>
      <t xml:space="preserve">4) </t>
    </r>
    <r>
      <rPr>
        <sz val="11"/>
        <color rgb="FF333333"/>
        <rFont val="Calibri"/>
        <family val="2"/>
        <scheme val="minor"/>
      </rPr>
      <t xml:space="preserve">HOXA4 or HOXB3 overexpression in </t>
    </r>
    <r>
      <rPr>
        <b/>
        <sz val="11"/>
        <color rgb="FF333333"/>
        <rFont val="Calibri"/>
        <family val="2"/>
        <scheme val="minor"/>
      </rPr>
      <t>ovarian</t>
    </r>
    <r>
      <rPr>
        <sz val="11"/>
        <color rgb="FF333333"/>
        <rFont val="Calibri"/>
        <family val="2"/>
        <scheme val="minor"/>
      </rPr>
      <t xml:space="preserve"> cancer cells decreased sensitivity to </t>
    </r>
    <r>
      <rPr>
        <b/>
        <sz val="11"/>
        <color rgb="FF333333"/>
        <rFont val="Calibri"/>
        <family val="2"/>
        <scheme val="minor"/>
      </rPr>
      <t>cisplatin</t>
    </r>
    <r>
      <rPr>
        <sz val="11"/>
        <color rgb="FF333333"/>
        <rFont val="Calibri"/>
        <family val="2"/>
        <scheme val="minor"/>
      </rPr>
      <t xml:space="preserve"> and attenuated the generation of cisplatin-induced ROS (P&lt;0.05). </t>
    </r>
    <r>
      <rPr>
        <b/>
        <sz val="11"/>
        <color rgb="FF333333"/>
        <rFont val="Calibri"/>
        <family val="2"/>
        <scheme val="minor"/>
      </rPr>
      <t xml:space="preserve">5) </t>
    </r>
    <r>
      <rPr>
        <sz val="11"/>
        <color rgb="FF333333"/>
        <rFont val="Calibri"/>
        <family val="2"/>
        <scheme val="minor"/>
      </rPr>
      <t xml:space="preserve">HOXB3 was directly bound by miR-375, and was negatively regulated by miR-375 in </t>
    </r>
    <r>
      <rPr>
        <b/>
        <sz val="11"/>
        <color rgb="FF333333"/>
        <rFont val="Calibri"/>
        <family val="2"/>
        <scheme val="minor"/>
      </rPr>
      <t>pancreatic</t>
    </r>
    <r>
      <rPr>
        <sz val="11"/>
        <color rgb="FF333333"/>
        <rFont val="Calibri"/>
        <family val="2"/>
        <scheme val="minor"/>
      </rPr>
      <t xml:space="preserve"> cancer cells. </t>
    </r>
    <r>
      <rPr>
        <b/>
        <sz val="11"/>
        <color rgb="FF333333"/>
        <rFont val="Calibri"/>
        <family val="2"/>
        <scheme val="minor"/>
      </rPr>
      <t xml:space="preserve">6) </t>
    </r>
    <r>
      <rPr>
        <sz val="11"/>
        <color rgb="FF333333"/>
        <rFont val="Calibri"/>
        <family val="2"/>
        <scheme val="minor"/>
      </rPr>
      <t xml:space="preserve">MiR-375 was upregulated in pancreatic tumors and pancreatic cancer cell lines. HOXB3 downregulation reversed the phenotype of miR-375 overexpression on cancer proliferation, migration and </t>
    </r>
    <r>
      <rPr>
        <b/>
        <sz val="11"/>
        <color rgb="FF333333"/>
        <rFont val="Calibri"/>
        <family val="2"/>
        <scheme val="minor"/>
      </rPr>
      <t>cisplatin</t>
    </r>
    <r>
      <rPr>
        <sz val="11"/>
        <color rgb="FF333333"/>
        <rFont val="Calibri"/>
        <family val="2"/>
        <scheme val="minor"/>
      </rPr>
      <t xml:space="preserve"> chemosensitivity in pancreatic cancer. </t>
    </r>
  </si>
  <si>
    <r>
      <rPr>
        <b/>
        <sz val="11"/>
        <rFont val="Calibri"/>
        <family val="2"/>
        <scheme val="minor"/>
      </rPr>
      <t>1)</t>
    </r>
    <r>
      <rPr>
        <sz val="11"/>
        <rFont val="Calibri"/>
        <family val="2"/>
        <scheme val="minor"/>
      </rPr>
      <t xml:space="preserve"> TWIST1 expression resulted in upregulation of GAS6 and L1CAM. </t>
    </r>
    <r>
      <rPr>
        <b/>
        <sz val="11"/>
        <rFont val="Calibri"/>
        <family val="2"/>
        <scheme val="minor"/>
      </rPr>
      <t>2)</t>
    </r>
    <r>
      <rPr>
        <sz val="11"/>
        <rFont val="Calibri"/>
        <family val="2"/>
        <scheme val="minor"/>
      </rPr>
      <t xml:space="preserve"> Knockdown studies of these genes demonstrated that loss of GAS6 or L1CAM sensitized cells to cisplatin. </t>
    </r>
    <r>
      <rPr>
        <b/>
        <sz val="11"/>
        <rFont val="Calibri"/>
        <family val="2"/>
        <scheme val="minor"/>
      </rPr>
      <t xml:space="preserve">3) </t>
    </r>
    <r>
      <rPr>
        <sz val="11"/>
        <rFont val="Calibri"/>
        <family val="2"/>
        <scheme val="minor"/>
      </rPr>
      <t xml:space="preserve">Positive L1CAM expression (≥10% of tumor cells) was associated with disease-free survival, validated using RNAseq TCGA data. </t>
    </r>
    <r>
      <rPr>
        <b/>
        <sz val="11"/>
        <rFont val="Calibri"/>
        <family val="2"/>
        <scheme val="minor"/>
      </rPr>
      <t xml:space="preserve">4) </t>
    </r>
    <r>
      <rPr>
        <sz val="11"/>
        <rFont val="Calibri"/>
        <family val="2"/>
        <scheme val="minor"/>
      </rPr>
      <t xml:space="preserve">L1CAM expression was independently associated with locoregional </t>
    </r>
    <r>
      <rPr>
        <b/>
        <sz val="11"/>
        <rFont val="Calibri"/>
        <family val="2"/>
        <scheme val="minor"/>
      </rPr>
      <t>recurrence-free survival</t>
    </r>
    <r>
      <rPr>
        <sz val="11"/>
        <rFont val="Calibri"/>
        <family val="2"/>
        <scheme val="minor"/>
      </rPr>
      <t xml:space="preserve"> (hazard ratio 2.62, 95% CI 1.33 - 5.17, P = 0.006), and strongly associated with percentage of </t>
    </r>
    <r>
      <rPr>
        <b/>
        <sz val="11"/>
        <rFont val="Calibri"/>
        <family val="2"/>
        <scheme val="minor"/>
      </rPr>
      <t>vimentin</t>
    </r>
    <r>
      <rPr>
        <sz val="11"/>
        <rFont val="Calibri"/>
        <family val="2"/>
        <scheme val="minor"/>
      </rPr>
      <t xml:space="preserve"> expressing tumor cells (P = 0.003). </t>
    </r>
    <r>
      <rPr>
        <b/>
        <sz val="11"/>
        <rFont val="Calibri"/>
        <family val="2"/>
        <scheme val="minor"/>
      </rPr>
      <t>5)</t>
    </r>
    <r>
      <rPr>
        <sz val="11"/>
        <rFont val="Calibri"/>
        <family val="2"/>
        <scheme val="minor"/>
      </rPr>
      <t xml:space="preserve"> Expression of both </t>
    </r>
    <r>
      <rPr>
        <b/>
        <sz val="11"/>
        <rFont val="Calibri"/>
        <family val="2"/>
        <scheme val="minor"/>
      </rPr>
      <t>L1CAM and vimentin</t>
    </r>
    <r>
      <rPr>
        <sz val="11"/>
        <rFont val="Calibri"/>
        <family val="2"/>
        <scheme val="minor"/>
      </rPr>
      <t xml:space="preserve"> indicated a subgroup with the highest risk of recurrence (hazard ratio 3.15, 95% CI 1.25 - 7.92, P = 0.015). </t>
    </r>
    <r>
      <rPr>
        <b/>
        <sz val="11"/>
        <rFont val="Calibri"/>
        <family val="2"/>
        <scheme val="minor"/>
      </rPr>
      <t>6) L1-CAM</t>
    </r>
    <r>
      <rPr>
        <sz val="11"/>
        <rFont val="Calibri"/>
        <family val="2"/>
        <scheme val="minor"/>
      </rPr>
      <t xml:space="preserve"> expression in </t>
    </r>
    <r>
      <rPr>
        <b/>
        <sz val="11"/>
        <rFont val="Calibri"/>
        <family val="2"/>
        <scheme val="minor"/>
      </rPr>
      <t>ccRCC</t>
    </r>
    <r>
      <rPr>
        <sz val="11"/>
        <rFont val="Calibri"/>
        <family val="2"/>
        <scheme val="minor"/>
      </rPr>
      <t xml:space="preserve"> correlates with shorter patients survival times and confers chemoresistance in </t>
    </r>
    <r>
      <rPr>
        <b/>
        <sz val="11"/>
        <rFont val="Calibri"/>
        <family val="2"/>
        <scheme val="minor"/>
      </rPr>
      <t>renal</t>
    </r>
    <r>
      <rPr>
        <sz val="11"/>
        <rFont val="Calibri"/>
        <family val="2"/>
        <scheme val="minor"/>
      </rPr>
      <t xml:space="preserve"> cell carcinoma cells. </t>
    </r>
    <r>
      <rPr>
        <b/>
        <sz val="11"/>
        <rFont val="Calibri"/>
        <family val="2"/>
        <scheme val="minor"/>
      </rPr>
      <t>7) L1CAM</t>
    </r>
    <r>
      <rPr>
        <sz val="11"/>
        <rFont val="Calibri"/>
        <family val="2"/>
        <scheme val="minor"/>
      </rPr>
      <t xml:space="preserve"> promoted cell proliferation by mainly activating ERK signaling. </t>
    </r>
  </si>
  <si>
    <r>
      <rPr>
        <b/>
        <sz val="11"/>
        <rFont val="Calibri"/>
        <family val="2"/>
        <scheme val="minor"/>
      </rPr>
      <t xml:space="preserve">1) </t>
    </r>
    <r>
      <rPr>
        <sz val="11"/>
        <rFont val="Calibri"/>
        <family val="2"/>
        <scheme val="minor"/>
      </rPr>
      <t xml:space="preserve">hepatitis B X-interacting protein was highly expressed in </t>
    </r>
    <r>
      <rPr>
        <b/>
        <sz val="11"/>
        <rFont val="Calibri"/>
        <family val="2"/>
        <scheme val="minor"/>
      </rPr>
      <t>ovarian</t>
    </r>
    <r>
      <rPr>
        <sz val="11"/>
        <rFont val="Calibri"/>
        <family val="2"/>
        <scheme val="minor"/>
      </rPr>
      <t xml:space="preserve"> cancer of </t>
    </r>
    <r>
      <rPr>
        <b/>
        <sz val="11"/>
        <rFont val="Calibri"/>
        <family val="2"/>
        <scheme val="minor"/>
      </rPr>
      <t>cisplatin</t>
    </r>
    <r>
      <rPr>
        <sz val="11"/>
        <rFont val="Calibri"/>
        <family val="2"/>
        <scheme val="minor"/>
      </rPr>
      <t xml:space="preserve">-resistant tissues and cells. </t>
    </r>
    <r>
      <rPr>
        <b/>
        <sz val="11"/>
        <rFont val="Calibri"/>
        <family val="2"/>
        <scheme val="minor"/>
      </rPr>
      <t>2)</t>
    </r>
    <r>
      <rPr>
        <sz val="11"/>
        <rFont val="Calibri"/>
        <family val="2"/>
        <scheme val="minor"/>
      </rPr>
      <t xml:space="preserve"> knockdown of hepatitis B X-interacting protein significantly reduced cell viability in A2780/CP compared with cisplatin treatment alone. </t>
    </r>
    <r>
      <rPr>
        <b/>
        <sz val="11"/>
        <rFont val="Calibri"/>
        <family val="2"/>
        <scheme val="minor"/>
      </rPr>
      <t xml:space="preserve">3) </t>
    </r>
    <r>
      <rPr>
        <sz val="11"/>
        <rFont val="Calibri"/>
        <family val="2"/>
        <scheme val="minor"/>
      </rPr>
      <t xml:space="preserve">Hepatitis B X-interacting protein and cisplatin cooperated to induce apoptosis and increase the expression of c-caspase 3 as well as the Bax/Bcl-2 ratio. </t>
    </r>
    <r>
      <rPr>
        <b/>
        <sz val="11"/>
        <rFont val="Calibri"/>
        <family val="2"/>
        <scheme val="minor"/>
      </rPr>
      <t>4)</t>
    </r>
    <r>
      <rPr>
        <sz val="11"/>
        <rFont val="Calibri"/>
        <family val="2"/>
        <scheme val="minor"/>
      </rPr>
      <t xml:space="preserve"> In vivo, depletion of hepatitis B X-interacting protein decreased the tumor volume and weight induced by cisplatin. </t>
    </r>
  </si>
  <si>
    <r>
      <rPr>
        <b/>
        <sz val="11"/>
        <color rgb="FF333333"/>
        <rFont val="Calibri"/>
        <family val="2"/>
        <scheme val="minor"/>
      </rPr>
      <t>1)</t>
    </r>
    <r>
      <rPr>
        <sz val="11"/>
        <color rgb="FF333333"/>
        <rFont val="Calibri"/>
        <family val="2"/>
        <scheme val="minor"/>
      </rPr>
      <t xml:space="preserve"> </t>
    </r>
    <r>
      <rPr>
        <b/>
        <sz val="11"/>
        <color rgb="FF333333"/>
        <rFont val="Calibri"/>
        <family val="2"/>
        <scheme val="minor"/>
      </rPr>
      <t>Menin</t>
    </r>
    <r>
      <rPr>
        <sz val="11"/>
        <color rgb="FF333333"/>
        <rFont val="Calibri"/>
        <family val="2"/>
        <scheme val="minor"/>
      </rPr>
      <t xml:space="preserve"> inhibits AKT1 mediated cell proliferation and anti-apoptosis effects against </t>
    </r>
    <r>
      <rPr>
        <b/>
        <sz val="11"/>
        <color rgb="FF333333"/>
        <rFont val="Calibri"/>
        <family val="2"/>
        <scheme val="minor"/>
      </rPr>
      <t>cisplatin</t>
    </r>
    <r>
      <rPr>
        <sz val="11"/>
        <color rgb="FF333333"/>
        <rFont val="Calibri"/>
        <family val="2"/>
        <scheme val="minor"/>
      </rPr>
      <t xml:space="preserve">. </t>
    </r>
    <r>
      <rPr>
        <b/>
        <sz val="11"/>
        <color rgb="FF333333"/>
        <rFont val="Calibri"/>
        <family val="2"/>
        <scheme val="minor"/>
      </rPr>
      <t>2) M</t>
    </r>
    <r>
      <rPr>
        <sz val="11"/>
        <color rgb="FF333333"/>
        <rFont val="Calibri"/>
        <family val="2"/>
        <scheme val="minor"/>
      </rPr>
      <t xml:space="preserve">enin terminating AKT activity partially through blocking its translocation from the cytoplasm to the plasma membrane. </t>
    </r>
    <r>
      <rPr>
        <b/>
        <sz val="11"/>
        <color rgb="FF333333"/>
        <rFont val="Calibri"/>
        <family val="2"/>
        <scheme val="minor"/>
      </rPr>
      <t xml:space="preserve">3) </t>
    </r>
    <r>
      <rPr>
        <sz val="11"/>
        <color rgb="FF333333"/>
        <rFont val="Calibri"/>
        <family val="2"/>
        <scheme val="minor"/>
      </rPr>
      <t>expression of HA-</t>
    </r>
    <r>
      <rPr>
        <b/>
        <sz val="11"/>
        <color rgb="FF333333"/>
        <rFont val="Calibri"/>
        <family val="2"/>
        <scheme val="minor"/>
      </rPr>
      <t>AKT1</t>
    </r>
    <r>
      <rPr>
        <sz val="11"/>
        <color rgb="FF333333"/>
        <rFont val="Calibri"/>
        <family val="2"/>
        <scheme val="minor"/>
      </rPr>
      <t>, but not expression of menin or coexpression of HA-</t>
    </r>
    <r>
      <rPr>
        <b/>
        <sz val="11"/>
        <color rgb="FF333333"/>
        <rFont val="Calibri"/>
        <family val="2"/>
        <scheme val="minor"/>
      </rPr>
      <t>AKT1</t>
    </r>
    <r>
      <rPr>
        <sz val="11"/>
        <color rgb="FF333333"/>
        <rFont val="Calibri"/>
        <family val="2"/>
        <scheme val="minor"/>
      </rPr>
      <t xml:space="preserve"> and </t>
    </r>
    <r>
      <rPr>
        <b/>
        <sz val="11"/>
        <color rgb="FF333333"/>
        <rFont val="Calibri"/>
        <family val="2"/>
        <scheme val="minor"/>
      </rPr>
      <t>menin</t>
    </r>
    <r>
      <rPr>
        <sz val="11"/>
        <color rgb="FF333333"/>
        <rFont val="Calibri"/>
        <family val="2"/>
        <scheme val="minor"/>
      </rPr>
      <t xml:space="preserve">, suppressed </t>
    </r>
    <r>
      <rPr>
        <b/>
        <sz val="11"/>
        <color rgb="FF333333"/>
        <rFont val="Calibri"/>
        <family val="2"/>
        <scheme val="minor"/>
      </rPr>
      <t>cisplatin</t>
    </r>
    <r>
      <rPr>
        <sz val="11"/>
        <color rgb="FF333333"/>
        <rFont val="Calibri"/>
        <family val="2"/>
        <scheme val="minor"/>
      </rPr>
      <t xml:space="preserve">-induced release of free nucleosomal DNA: </t>
    </r>
    <r>
      <rPr>
        <b/>
        <sz val="11"/>
        <color rgb="FF333333"/>
        <rFont val="Calibri"/>
        <family val="2"/>
        <scheme val="minor"/>
      </rPr>
      <t>menin</t>
    </r>
    <r>
      <rPr>
        <sz val="11"/>
        <color rgb="FF333333"/>
        <rFont val="Calibri"/>
        <family val="2"/>
        <scheme val="minor"/>
      </rPr>
      <t xml:space="preserve"> can suppress AKT1-mediated cell proliferation and antiapoptotic effects.</t>
    </r>
  </si>
  <si>
    <r>
      <rPr>
        <b/>
        <sz val="11"/>
        <color rgb="FF333333"/>
        <rFont val="Calibri"/>
        <family val="2"/>
        <scheme val="minor"/>
      </rPr>
      <t xml:space="preserve">1) </t>
    </r>
    <r>
      <rPr>
        <sz val="11"/>
        <color rgb="FF333333"/>
        <rFont val="Calibri"/>
        <family val="2"/>
        <scheme val="minor"/>
      </rPr>
      <t>hepatocyte growth factor (</t>
    </r>
    <r>
      <rPr>
        <b/>
        <sz val="11"/>
        <color rgb="FF333333"/>
        <rFont val="Calibri"/>
        <family val="2"/>
        <scheme val="minor"/>
      </rPr>
      <t>HGF</t>
    </r>
    <r>
      <rPr>
        <sz val="11"/>
        <color rgb="FF333333"/>
        <rFont val="Calibri"/>
        <family val="2"/>
        <scheme val="minor"/>
      </rPr>
      <t xml:space="preserve">) </t>
    </r>
    <r>
      <rPr>
        <b/>
        <sz val="11"/>
        <color rgb="FF333333"/>
        <rFont val="Calibri"/>
        <family val="2"/>
        <scheme val="minor"/>
      </rPr>
      <t>enhances</t>
    </r>
    <r>
      <rPr>
        <sz val="11"/>
        <color rgb="FF333333"/>
        <rFont val="Calibri"/>
        <family val="2"/>
        <scheme val="minor"/>
      </rPr>
      <t xml:space="preserve"> death of human </t>
    </r>
    <r>
      <rPr>
        <b/>
        <sz val="11"/>
        <color rgb="FF333333"/>
        <rFont val="Calibri"/>
        <family val="2"/>
        <scheme val="minor"/>
      </rPr>
      <t>ovarian cancer cell lines</t>
    </r>
    <r>
      <rPr>
        <sz val="11"/>
        <color rgb="FF333333"/>
        <rFont val="Calibri"/>
        <family val="2"/>
        <scheme val="minor"/>
      </rPr>
      <t xml:space="preserve"> treated with cisplatin (CDDP) </t>
    </r>
    <r>
      <rPr>
        <b/>
        <sz val="11"/>
        <color rgb="FF333333"/>
        <rFont val="Calibri"/>
        <family val="2"/>
        <scheme val="minor"/>
      </rPr>
      <t xml:space="preserve">2) </t>
    </r>
    <r>
      <rPr>
        <sz val="11"/>
        <color rgb="FF333333"/>
        <rFont val="Calibri"/>
        <family val="2"/>
        <scheme val="minor"/>
      </rPr>
      <t xml:space="preserve">this effect is mediated by the </t>
    </r>
    <r>
      <rPr>
        <b/>
        <sz val="11"/>
        <color rgb="FF333333"/>
        <rFont val="Calibri"/>
        <family val="2"/>
        <scheme val="minor"/>
      </rPr>
      <t>p38</t>
    </r>
    <r>
      <rPr>
        <sz val="11"/>
        <color rgb="FF333333"/>
        <rFont val="Calibri"/>
        <family val="2"/>
        <scheme val="minor"/>
      </rPr>
      <t xml:space="preserve"> mitogen-activated protein kinase. </t>
    </r>
    <r>
      <rPr>
        <b/>
        <sz val="11"/>
        <color rgb="FF333333"/>
        <rFont val="Calibri"/>
        <family val="2"/>
        <scheme val="minor"/>
      </rPr>
      <t>3)</t>
    </r>
    <r>
      <rPr>
        <sz val="11"/>
        <color rgb="FF333333"/>
        <rFont val="Calibri"/>
        <family val="2"/>
        <scheme val="minor"/>
      </rPr>
      <t xml:space="preserve"> In </t>
    </r>
    <r>
      <rPr>
        <b/>
        <sz val="11"/>
        <color rgb="FF333333"/>
        <rFont val="Calibri"/>
        <family val="2"/>
        <scheme val="minor"/>
      </rPr>
      <t>nonovarian cancer cell</t>
    </r>
    <r>
      <rPr>
        <sz val="11"/>
        <color rgb="FF333333"/>
        <rFont val="Calibri"/>
        <family val="2"/>
        <scheme val="minor"/>
      </rPr>
      <t xml:space="preserve"> models, as expected, HGF provides </t>
    </r>
    <r>
      <rPr>
        <b/>
        <sz val="11"/>
        <color rgb="FF333333"/>
        <rFont val="Calibri"/>
        <family val="2"/>
        <scheme val="minor"/>
      </rPr>
      <t xml:space="preserve">protection </t>
    </r>
    <r>
      <rPr>
        <sz val="11"/>
        <color rgb="FF333333"/>
        <rFont val="Calibri"/>
        <family val="2"/>
        <scheme val="minor"/>
      </rPr>
      <t xml:space="preserve">from drug-induced apoptosis. </t>
    </r>
    <r>
      <rPr>
        <b/>
        <sz val="11"/>
        <color rgb="FF333333"/>
        <rFont val="Calibri"/>
        <family val="2"/>
        <scheme val="minor"/>
      </rPr>
      <t>4)</t>
    </r>
    <r>
      <rPr>
        <sz val="11"/>
        <color rgb="FF333333"/>
        <rFont val="Calibri"/>
        <family val="2"/>
        <scheme val="minor"/>
      </rPr>
      <t xml:space="preserve"> patients with </t>
    </r>
    <r>
      <rPr>
        <b/>
        <sz val="11"/>
        <color rgb="FF333333"/>
        <rFont val="Calibri"/>
        <family val="2"/>
        <scheme val="minor"/>
      </rPr>
      <t>c-Met</t>
    </r>
    <r>
      <rPr>
        <sz val="11"/>
        <color rgb="FF333333"/>
        <rFont val="Calibri"/>
        <family val="2"/>
        <scheme val="minor"/>
      </rPr>
      <t xml:space="preserve">-high </t>
    </r>
    <r>
      <rPr>
        <b/>
        <sz val="11"/>
        <color rgb="FF333333"/>
        <rFont val="Calibri"/>
        <family val="2"/>
        <scheme val="minor"/>
      </rPr>
      <t>EOC</t>
    </r>
    <r>
      <rPr>
        <sz val="11"/>
        <color rgb="FF333333"/>
        <rFont val="Calibri"/>
        <family val="2"/>
        <scheme val="minor"/>
      </rPr>
      <t xml:space="preserve"> showed significantly worse survival than those with c-Met-low tumor.</t>
    </r>
    <r>
      <rPr>
        <b/>
        <sz val="11"/>
        <color rgb="FF333333"/>
        <rFont val="Calibri"/>
        <family val="2"/>
        <scheme val="minor"/>
      </rPr>
      <t xml:space="preserve"> 5)</t>
    </r>
    <r>
      <rPr>
        <sz val="11"/>
        <color rgb="FF333333"/>
        <rFont val="Calibri"/>
        <family val="2"/>
        <scheme val="minor"/>
      </rPr>
      <t xml:space="preserve"> inhibition of </t>
    </r>
    <r>
      <rPr>
        <b/>
        <sz val="11"/>
        <color rgb="FF333333"/>
        <rFont val="Calibri"/>
        <family val="2"/>
        <scheme val="minor"/>
      </rPr>
      <t>c-Me</t>
    </r>
    <r>
      <rPr>
        <sz val="11"/>
        <color rgb="FF333333"/>
        <rFont val="Calibri"/>
        <family val="2"/>
        <scheme val="minor"/>
      </rPr>
      <t xml:space="preserve">t activity by PHA-665752 or blockade of the interaction of autocrined HGF with c-Met with neutralizing anti-HGF antibody promoted </t>
    </r>
    <r>
      <rPr>
        <b/>
        <sz val="11"/>
        <color rgb="FF333333"/>
        <rFont val="Calibri"/>
        <family val="2"/>
        <scheme val="minor"/>
      </rPr>
      <t>cisplatin</t>
    </r>
    <r>
      <rPr>
        <sz val="11"/>
        <color rgb="FF333333"/>
        <rFont val="Calibri"/>
        <family val="2"/>
        <scheme val="minor"/>
      </rPr>
      <t xml:space="preserve"> efficacy in </t>
    </r>
    <r>
      <rPr>
        <b/>
        <sz val="11"/>
        <color rgb="FF333333"/>
        <rFont val="Calibri"/>
        <family val="2"/>
        <scheme val="minor"/>
      </rPr>
      <t>osteosarcoma</t>
    </r>
    <r>
      <rPr>
        <sz val="11"/>
        <color rgb="FF333333"/>
        <rFont val="Calibri"/>
        <family val="2"/>
        <scheme val="minor"/>
      </rPr>
      <t xml:space="preserve"> cells, </t>
    </r>
    <r>
      <rPr>
        <b/>
        <sz val="11"/>
        <color rgb="FF333333"/>
        <rFont val="Calibri"/>
        <family val="2"/>
        <scheme val="minor"/>
      </rPr>
      <t xml:space="preserve">6) </t>
    </r>
    <r>
      <rPr>
        <sz val="11"/>
        <color rgb="FF333333"/>
        <rFont val="Calibri"/>
        <family val="2"/>
        <scheme val="minor"/>
      </rPr>
      <t xml:space="preserve">addition of recombinant human HGF (rh-HGF) counteracts </t>
    </r>
    <r>
      <rPr>
        <b/>
        <sz val="11"/>
        <color rgb="FF333333"/>
        <rFont val="Calibri"/>
        <family val="2"/>
        <scheme val="minor"/>
      </rPr>
      <t>cisplatin</t>
    </r>
    <r>
      <rPr>
        <sz val="11"/>
        <color rgb="FF333333"/>
        <rFont val="Calibri"/>
        <family val="2"/>
        <scheme val="minor"/>
      </rPr>
      <t xml:space="preserve"> cytotoxicity.</t>
    </r>
    <r>
      <rPr>
        <b/>
        <sz val="11"/>
        <color rgb="FF333333"/>
        <rFont val="Calibri"/>
        <family val="2"/>
        <scheme val="minor"/>
      </rPr>
      <t xml:space="preserve"> 7)</t>
    </r>
    <r>
      <rPr>
        <sz val="11"/>
        <color rgb="FF333333"/>
        <rFont val="Calibri"/>
        <family val="2"/>
        <scheme val="minor"/>
      </rPr>
      <t xml:space="preserve"> inhibition of </t>
    </r>
    <r>
      <rPr>
        <b/>
        <sz val="11"/>
        <color rgb="FF333333"/>
        <rFont val="Calibri"/>
        <family val="2"/>
        <scheme val="minor"/>
      </rPr>
      <t>c-Met</t>
    </r>
    <r>
      <rPr>
        <sz val="11"/>
        <color rgb="FF333333"/>
        <rFont val="Calibri"/>
        <family val="2"/>
        <scheme val="minor"/>
      </rPr>
      <t xml:space="preserve"> activity led to suppression of the </t>
    </r>
    <r>
      <rPr>
        <b/>
        <sz val="11"/>
        <color rgb="FF333333"/>
        <rFont val="Calibri"/>
        <family val="2"/>
        <scheme val="minor"/>
      </rPr>
      <t>PI3K-Akt</t>
    </r>
    <r>
      <rPr>
        <sz val="11"/>
        <color rgb="FF333333"/>
        <rFont val="Calibri"/>
        <family val="2"/>
        <scheme val="minor"/>
      </rPr>
      <t xml:space="preserve"> pathway, thus enhancing cisplatin chemosensitivity. </t>
    </r>
  </si>
  <si>
    <r>
      <rPr>
        <b/>
        <sz val="11"/>
        <color rgb="FF333333"/>
        <rFont val="Calibri"/>
        <family val="2"/>
        <scheme val="minor"/>
      </rPr>
      <t xml:space="preserve">1) </t>
    </r>
    <r>
      <rPr>
        <sz val="11"/>
        <color rgb="FF333333"/>
        <rFont val="Calibri"/>
        <family val="2"/>
        <scheme val="minor"/>
      </rPr>
      <t xml:space="preserve">MGMT-proficient cells were highly resistant to the cytotoxic effects of </t>
    </r>
    <r>
      <rPr>
        <b/>
        <sz val="11"/>
        <color rgb="FF333333"/>
        <rFont val="Calibri"/>
        <family val="2"/>
        <scheme val="minor"/>
      </rPr>
      <t>CDDP</t>
    </r>
    <r>
      <rPr>
        <sz val="11"/>
        <color rgb="FF333333"/>
        <rFont val="Calibri"/>
        <family val="2"/>
        <scheme val="minor"/>
      </rPr>
      <t xml:space="preserve"> as compared to MGMT-deficient cells. </t>
    </r>
    <r>
      <rPr>
        <b/>
        <sz val="11"/>
        <color rgb="FF333333"/>
        <rFont val="Calibri"/>
        <family val="2"/>
        <scheme val="minor"/>
      </rPr>
      <t>2)</t>
    </r>
    <r>
      <rPr>
        <sz val="11"/>
        <color rgb="FF333333"/>
        <rFont val="Calibri"/>
        <family val="2"/>
        <scheme val="minor"/>
      </rPr>
      <t xml:space="preserve"> the platinum level of DNA after CDDP exposure was significantly lower in MGMT-proficient cells than in MGMT-deficient cells. </t>
    </r>
    <r>
      <rPr>
        <b/>
        <sz val="11"/>
        <color rgb="FF333333"/>
        <rFont val="Calibri"/>
        <family val="2"/>
        <scheme val="minor"/>
      </rPr>
      <t xml:space="preserve">3) </t>
    </r>
    <r>
      <rPr>
        <sz val="11"/>
        <color rgb="FF333333"/>
        <rFont val="Calibri"/>
        <family val="2"/>
        <scheme val="minor"/>
      </rPr>
      <t xml:space="preserve">MGMT protected </t>
    </r>
    <r>
      <rPr>
        <b/>
        <sz val="11"/>
        <color rgb="FF333333"/>
        <rFont val="Calibri"/>
        <family val="2"/>
        <scheme val="minor"/>
      </rPr>
      <t>nasopharyngeal carcinoma (NPC)</t>
    </r>
    <r>
      <rPr>
        <sz val="11"/>
        <color rgb="FF333333"/>
        <rFont val="Calibri"/>
        <family val="2"/>
        <scheme val="minor"/>
      </rPr>
      <t xml:space="preserve"> cells from CDDP-induced DNA damage by enhancing DNA repair capacity. </t>
    </r>
    <r>
      <rPr>
        <b/>
        <sz val="11"/>
        <color rgb="FF333333"/>
        <rFont val="Calibri"/>
        <family val="2"/>
        <scheme val="minor"/>
      </rPr>
      <t xml:space="preserve">4) </t>
    </r>
    <r>
      <rPr>
        <sz val="11"/>
        <color rgb="FF333333"/>
        <rFont val="Calibri"/>
        <family val="2"/>
        <scheme val="minor"/>
      </rPr>
      <t xml:space="preserve">MGMT protein directly bound to CDDP-induced DNA damages. Subsequently, CDDP-bound MGMT protein became ubiquitinated and was degraded through ubiquitin-mediated proteasome system. </t>
    </r>
    <r>
      <rPr>
        <b/>
        <sz val="11"/>
        <color rgb="FF333333"/>
        <rFont val="Calibri"/>
        <family val="2"/>
        <scheme val="minor"/>
      </rPr>
      <t xml:space="preserve">5) </t>
    </r>
    <r>
      <rPr>
        <sz val="11"/>
        <color rgb="FF333333"/>
        <rFont val="Calibri"/>
        <family val="2"/>
        <scheme val="minor"/>
      </rPr>
      <t xml:space="preserve">in a cohort of 83 NPC patients. NPC patients who received </t>
    </r>
    <r>
      <rPr>
        <b/>
        <sz val="11"/>
        <color rgb="FF333333"/>
        <rFont val="Calibri"/>
        <family val="2"/>
        <scheme val="minor"/>
      </rPr>
      <t>CDDP</t>
    </r>
    <r>
      <rPr>
        <sz val="11"/>
        <color rgb="FF333333"/>
        <rFont val="Calibri"/>
        <family val="2"/>
        <scheme val="minor"/>
      </rPr>
      <t>-based concurrent chemoradiotherapy (CCRT), with high MGMT expression level, exhibited shorter progression-free survival (PFS; p = 0.022) and overall survival (OS; p = 0.015), than patients with low MGMT expression level. Furthermore, high MGMT expression level remained to be an independent prognostic factor for worse PFS (p = 0.01, hazard ratio 2.23) and OS (p = 0.018, hazard ratio 2.14). </t>
    </r>
  </si>
  <si>
    <r>
      <rPr>
        <b/>
        <sz val="11"/>
        <color rgb="FF333333"/>
        <rFont val="Calibri"/>
        <family val="2"/>
        <scheme val="minor"/>
      </rPr>
      <t>1)</t>
    </r>
    <r>
      <rPr>
        <sz val="11"/>
        <color rgb="FF333333"/>
        <rFont val="Calibri"/>
        <family val="2"/>
        <scheme val="minor"/>
      </rPr>
      <t xml:space="preserve"> </t>
    </r>
    <r>
      <rPr>
        <b/>
        <sz val="11"/>
        <color rgb="FF333333"/>
        <rFont val="Calibri"/>
        <family val="2"/>
        <scheme val="minor"/>
      </rPr>
      <t>MICU1/CBARA1</t>
    </r>
    <r>
      <rPr>
        <sz val="11"/>
        <color rgb="FF333333"/>
        <rFont val="Calibri"/>
        <family val="2"/>
        <scheme val="minor"/>
      </rPr>
      <t xml:space="preserve"> drives aerobic glycolysis in </t>
    </r>
    <r>
      <rPr>
        <b/>
        <sz val="11"/>
        <color rgb="FF333333"/>
        <rFont val="Calibri"/>
        <family val="2"/>
        <scheme val="minor"/>
      </rPr>
      <t>ovarian</t>
    </r>
    <r>
      <rPr>
        <sz val="11"/>
        <color rgb="FF333333"/>
        <rFont val="Calibri"/>
        <family val="2"/>
        <scheme val="minor"/>
      </rPr>
      <t xml:space="preserve"> cancer. </t>
    </r>
    <r>
      <rPr>
        <b/>
        <sz val="11"/>
        <color rgb="FF333333"/>
        <rFont val="Calibri"/>
        <family val="2"/>
        <scheme val="minor"/>
      </rPr>
      <t>2)</t>
    </r>
    <r>
      <rPr>
        <sz val="11"/>
        <color rgb="FF333333"/>
        <rFont val="Calibri"/>
        <family val="2"/>
        <scheme val="minor"/>
      </rPr>
      <t xml:space="preserve"> Among 126</t>
    </r>
    <r>
      <rPr>
        <b/>
        <sz val="11"/>
        <color rgb="FF333333"/>
        <rFont val="Calibri"/>
        <family val="2"/>
        <scheme val="minor"/>
      </rPr>
      <t xml:space="preserve"> drug-resistant</t>
    </r>
    <r>
      <rPr>
        <sz val="11"/>
        <color rgb="FF333333"/>
        <rFont val="Calibri"/>
        <family val="2"/>
        <scheme val="minor"/>
      </rPr>
      <t xml:space="preserve"> tumour tissues, almost three-quarters (n=92, 73%) of samples had a moderate to high expression of MICU1 with a 95% Clopper-Pears on exact confidence interval (64%, 81%). </t>
    </r>
    <r>
      <rPr>
        <b/>
        <sz val="11"/>
        <color rgb="FF333333"/>
        <rFont val="Calibri"/>
        <family val="2"/>
        <scheme val="minor"/>
      </rPr>
      <t>3)</t>
    </r>
    <r>
      <rPr>
        <sz val="11"/>
        <color rgb="FF333333"/>
        <rFont val="Calibri"/>
        <family val="2"/>
        <scheme val="minor"/>
      </rPr>
      <t xml:space="preserve"> MICU1 overexpression correlates with poor overall survival (OS). </t>
    </r>
    <r>
      <rPr>
        <b/>
        <sz val="11"/>
        <color rgb="FF333333"/>
        <rFont val="Calibri"/>
        <family val="2"/>
        <scheme val="minor"/>
      </rPr>
      <t>4)</t>
    </r>
    <r>
      <rPr>
        <sz val="11"/>
        <color rgb="FF333333"/>
        <rFont val="Calibri"/>
        <family val="2"/>
        <scheme val="minor"/>
      </rPr>
      <t xml:space="preserve"> Silencing MICU1 in vitro increases oxygen consumption, decreases lactate production, inhibits clonal growth, migration and invasion of ovarian cancer cells, </t>
    </r>
    <r>
      <rPr>
        <b/>
        <sz val="11"/>
        <color rgb="FF333333"/>
        <rFont val="Calibri"/>
        <family val="2"/>
        <scheme val="minor"/>
      </rPr>
      <t>5)</t>
    </r>
    <r>
      <rPr>
        <sz val="11"/>
        <color rgb="FF333333"/>
        <rFont val="Calibri"/>
        <family val="2"/>
        <scheme val="minor"/>
      </rPr>
      <t xml:space="preserve"> silencing in vivo inhibits tumour growth, increases </t>
    </r>
    <r>
      <rPr>
        <b/>
        <sz val="11"/>
        <color rgb="FF333333"/>
        <rFont val="Calibri"/>
        <family val="2"/>
        <scheme val="minor"/>
      </rPr>
      <t>cisplatin efficacy</t>
    </r>
    <r>
      <rPr>
        <sz val="11"/>
        <color rgb="FF333333"/>
        <rFont val="Calibri"/>
        <family val="2"/>
        <scheme val="minor"/>
      </rPr>
      <t xml:space="preserve"> and OS. </t>
    </r>
    <r>
      <rPr>
        <b/>
        <sz val="11"/>
        <color rgb="FF333333"/>
        <rFont val="Calibri"/>
        <family val="2"/>
        <scheme val="minor"/>
      </rPr>
      <t>6)</t>
    </r>
    <r>
      <rPr>
        <sz val="11"/>
        <color rgb="FF333333"/>
        <rFont val="Calibri"/>
        <family val="2"/>
        <scheme val="minor"/>
      </rPr>
      <t xml:space="preserve"> silencing MICU1 activates pyruvate dehydrogenase (PDH) by stimulating the PDPhosphatase-phosphoPDH-PDH axis; Forced-expression of MICU1 in normal cells phenocopies the metabolic aberrations of malignant cells. </t>
    </r>
    <r>
      <rPr>
        <b/>
        <sz val="11"/>
        <color rgb="FF333333"/>
        <rFont val="Calibri"/>
        <family val="2"/>
        <scheme val="minor"/>
      </rPr>
      <t xml:space="preserve">7) </t>
    </r>
    <r>
      <rPr>
        <sz val="11"/>
        <color rgb="FF333333"/>
        <rFont val="Calibri"/>
        <family val="2"/>
        <scheme val="minor"/>
      </rPr>
      <t xml:space="preserve">a significant correlation between MICU1 and pPDH (inactive form of PDH) expression with poor prognosis. </t>
    </r>
    <r>
      <rPr>
        <b/>
        <sz val="11"/>
        <color rgb="FF333333"/>
        <rFont val="Calibri"/>
        <family val="2"/>
        <scheme val="minor"/>
      </rPr>
      <t>8)</t>
    </r>
    <r>
      <rPr>
        <sz val="11"/>
        <color rgb="FF333333"/>
        <rFont val="Calibri"/>
        <family val="2"/>
        <scheme val="minor"/>
      </rPr>
      <t xml:space="preserve"> MICU1 is a negative regulator of mitochondrial Ca2+ uptake silencing of which causes mitochondrial Ca2+ overload.</t>
    </r>
    <r>
      <rPr>
        <b/>
        <sz val="11"/>
        <color rgb="FF333333"/>
        <rFont val="Calibri"/>
        <family val="2"/>
        <scheme val="minor"/>
      </rPr>
      <t xml:space="preserve"> 9)</t>
    </r>
    <r>
      <rPr>
        <sz val="11"/>
        <color rgb="FF333333"/>
        <rFont val="Calibri"/>
        <family val="2"/>
        <scheme val="minor"/>
      </rPr>
      <t xml:space="preserve"> PDH which is regulated by a Ca2+-dependent phosphatase, while α-ketoglutarate- and isocitrate-dehydrogenases are regulated by direct binding of Ca2+ to these enzymes</t>
    </r>
  </si>
  <si>
    <r>
      <rPr>
        <b/>
        <sz val="11"/>
        <color rgb="FF333333"/>
        <rFont val="Calibri"/>
        <family val="2"/>
        <scheme val="minor"/>
      </rPr>
      <t>1) C35</t>
    </r>
    <r>
      <rPr>
        <sz val="11"/>
        <color rgb="FF333333"/>
        <rFont val="Calibri"/>
        <family val="2"/>
        <scheme val="minor"/>
      </rPr>
      <t xml:space="preserve"> preferentially interacts with </t>
    </r>
    <r>
      <rPr>
        <b/>
        <sz val="11"/>
        <color rgb="FF333333"/>
        <rFont val="Calibri"/>
        <family val="2"/>
        <scheme val="minor"/>
      </rPr>
      <t>ΔNp73</t>
    </r>
    <r>
      <rPr>
        <sz val="11"/>
        <color rgb="FF333333"/>
        <rFont val="Calibri"/>
        <family val="2"/>
        <scheme val="minor"/>
      </rPr>
      <t xml:space="preserve">. </t>
    </r>
    <r>
      <rPr>
        <b/>
        <sz val="11"/>
        <color rgb="FF333333"/>
        <rFont val="Calibri"/>
        <family val="2"/>
        <scheme val="minor"/>
      </rPr>
      <t xml:space="preserve">2) </t>
    </r>
    <r>
      <rPr>
        <sz val="11"/>
        <color rgb="FF333333"/>
        <rFont val="Calibri"/>
        <family val="2"/>
        <scheme val="minor"/>
      </rPr>
      <t xml:space="preserve">When </t>
    </r>
    <r>
      <rPr>
        <b/>
        <sz val="11"/>
        <color rgb="FF333333"/>
        <rFont val="Calibri"/>
        <family val="2"/>
        <scheme val="minor"/>
      </rPr>
      <t>C35</t>
    </r>
    <r>
      <rPr>
        <sz val="11"/>
        <color rgb="FF333333"/>
        <rFont val="Calibri"/>
        <family val="2"/>
        <scheme val="minor"/>
      </rPr>
      <t xml:space="preserve"> was co-expressed with </t>
    </r>
    <r>
      <rPr>
        <b/>
        <sz val="11"/>
        <color rgb="FF333333"/>
        <rFont val="Calibri"/>
        <family val="2"/>
        <scheme val="minor"/>
      </rPr>
      <t>ΔNp73</t>
    </r>
    <r>
      <rPr>
        <sz val="11"/>
        <color rgb="FF333333"/>
        <rFont val="Calibri"/>
        <family val="2"/>
        <scheme val="minor"/>
      </rPr>
      <t xml:space="preserve">, the level of apoptosis of ovarian cancer cells in response to </t>
    </r>
    <r>
      <rPr>
        <b/>
        <sz val="11"/>
        <color rgb="FF333333"/>
        <rFont val="Calibri"/>
        <family val="2"/>
        <scheme val="minor"/>
      </rPr>
      <t>cisplatin</t>
    </r>
    <r>
      <rPr>
        <sz val="11"/>
        <color rgb="FF333333"/>
        <rFont val="Calibri"/>
        <family val="2"/>
        <scheme val="minor"/>
      </rPr>
      <t xml:space="preserve"> treatment was largely reduced. </t>
    </r>
    <r>
      <rPr>
        <b/>
        <sz val="11"/>
        <color rgb="FF333333"/>
        <rFont val="Calibri"/>
        <family val="2"/>
        <scheme val="minor"/>
      </rPr>
      <t xml:space="preserve">3) </t>
    </r>
    <r>
      <rPr>
        <sz val="11"/>
        <color rgb="FF333333"/>
        <rFont val="Calibri"/>
        <family val="2"/>
        <scheme val="minor"/>
      </rPr>
      <t xml:space="preserve">The reduction of this response was due to the activation of </t>
    </r>
    <r>
      <rPr>
        <b/>
        <sz val="11"/>
        <color rgb="FF333333"/>
        <rFont val="Calibri"/>
        <family val="2"/>
        <scheme val="minor"/>
      </rPr>
      <t>AKT</t>
    </r>
    <r>
      <rPr>
        <sz val="11"/>
        <color rgb="FF333333"/>
        <rFont val="Calibri"/>
        <family val="2"/>
        <scheme val="minor"/>
      </rPr>
      <t xml:space="preserve"> and an increase in </t>
    </r>
    <r>
      <rPr>
        <b/>
        <sz val="11"/>
        <color rgb="FF333333"/>
        <rFont val="Calibri"/>
        <family val="2"/>
        <scheme val="minor"/>
      </rPr>
      <t>NFκB</t>
    </r>
    <r>
      <rPr>
        <sz val="11"/>
        <color rgb="FF333333"/>
        <rFont val="Calibri"/>
        <family val="2"/>
        <scheme val="minor"/>
      </rPr>
      <t xml:space="preserve"> activity. </t>
    </r>
    <r>
      <rPr>
        <b/>
        <sz val="11"/>
        <color rgb="FF333333"/>
        <rFont val="Calibri"/>
        <family val="2"/>
        <scheme val="minor"/>
      </rPr>
      <t>4) ΔNp73</t>
    </r>
    <r>
      <rPr>
        <sz val="11"/>
        <color rgb="FF333333"/>
        <rFont val="Calibri"/>
        <family val="2"/>
        <scheme val="minor"/>
      </rPr>
      <t xml:space="preserve"> acts synergistically with </t>
    </r>
    <r>
      <rPr>
        <b/>
        <sz val="11"/>
        <color rgb="FF333333"/>
        <rFont val="Calibri"/>
        <family val="2"/>
        <scheme val="minor"/>
      </rPr>
      <t>C35</t>
    </r>
    <r>
      <rPr>
        <sz val="11"/>
        <color rgb="FF333333"/>
        <rFont val="Calibri"/>
        <family val="2"/>
        <scheme val="minor"/>
      </rPr>
      <t xml:space="preserve"> via their binding to induce tumour formation and to mediate chemotherapy resistance. </t>
    </r>
  </si>
  <si>
    <r>
      <rPr>
        <b/>
        <sz val="11"/>
        <color rgb="FF333333"/>
        <rFont val="Calibri"/>
        <family val="2"/>
        <scheme val="minor"/>
      </rPr>
      <t xml:space="preserve">1) </t>
    </r>
    <r>
      <rPr>
        <sz val="11"/>
        <color rgb="FF333333"/>
        <rFont val="Calibri"/>
        <family val="2"/>
        <scheme val="minor"/>
      </rPr>
      <t xml:space="preserve">SWI/SNF chromatin remodeling enzyme BRG1 interacts with </t>
    </r>
    <r>
      <rPr>
        <b/>
        <sz val="11"/>
        <color rgb="FF333333"/>
        <rFont val="Calibri"/>
        <family val="2"/>
        <scheme val="minor"/>
      </rPr>
      <t>MITF</t>
    </r>
    <r>
      <rPr>
        <sz val="11"/>
        <color rgb="FF333333"/>
        <rFont val="Calibri"/>
        <family val="2"/>
        <scheme val="minor"/>
      </rPr>
      <t xml:space="preserve"> to promote </t>
    </r>
    <r>
      <rPr>
        <b/>
        <sz val="11"/>
        <color rgb="FF333333"/>
        <rFont val="Calibri"/>
        <family val="2"/>
        <scheme val="minor"/>
      </rPr>
      <t>melanocyte</t>
    </r>
    <r>
      <rPr>
        <sz val="11"/>
        <color rgb="FF333333"/>
        <rFont val="Calibri"/>
        <family val="2"/>
        <scheme val="minor"/>
      </rPr>
      <t xml:space="preserve"> differentiation.</t>
    </r>
    <r>
      <rPr>
        <b/>
        <sz val="11"/>
        <color rgb="FF333333"/>
        <rFont val="Calibri"/>
        <family val="2"/>
        <scheme val="minor"/>
      </rPr>
      <t xml:space="preserve"> 2) </t>
    </r>
    <r>
      <rPr>
        <sz val="11"/>
        <color rgb="FF333333"/>
        <rFont val="Calibri"/>
        <family val="2"/>
        <scheme val="minor"/>
      </rPr>
      <t xml:space="preserve">Re-introduction of BRG1 in BRG1-deficient SK-MEL5 cells enhanced expression of differentiation-specific </t>
    </r>
    <r>
      <rPr>
        <b/>
        <sz val="11"/>
        <color rgb="FF333333"/>
        <rFont val="Calibri"/>
        <family val="2"/>
        <scheme val="minor"/>
      </rPr>
      <t>MITF target genes</t>
    </r>
    <r>
      <rPr>
        <sz val="11"/>
        <color rgb="FF333333"/>
        <rFont val="Calibri"/>
        <family val="2"/>
        <scheme val="minor"/>
      </rPr>
      <t xml:space="preserve"> and resistance to </t>
    </r>
    <r>
      <rPr>
        <b/>
        <sz val="11"/>
        <color rgb="FF333333"/>
        <rFont val="Calibri"/>
        <family val="2"/>
        <scheme val="minor"/>
      </rPr>
      <t>cisplatin</t>
    </r>
    <r>
      <rPr>
        <sz val="11"/>
        <color rgb="FF333333"/>
        <rFont val="Calibri"/>
        <family val="2"/>
        <scheme val="minor"/>
      </rPr>
      <t>. </t>
    </r>
    <r>
      <rPr>
        <b/>
        <sz val="11"/>
        <color rgb="FF333333"/>
        <rFont val="Calibri"/>
        <family val="2"/>
        <scheme val="minor"/>
      </rPr>
      <t xml:space="preserve">3) </t>
    </r>
    <r>
      <rPr>
        <sz val="11"/>
        <color rgb="FF333333"/>
        <rFont val="Calibri"/>
        <family val="2"/>
        <scheme val="minor"/>
      </rPr>
      <t xml:space="preserve">Downregulation of the single ATPase, BRM, in SK-MEL5 cells inhibited expression of both differentiation-specific and pro-proliferative MITF target genes and inhibited tumorigenicity in vitro. </t>
    </r>
  </si>
  <si>
    <r>
      <t xml:space="preserve">PARPi resistance (D'Andrea) AACR presentation. </t>
    </r>
    <r>
      <rPr>
        <b/>
        <sz val="11"/>
        <color rgb="FF333333"/>
        <rFont val="Calibri"/>
        <family val="2"/>
        <scheme val="minor"/>
      </rPr>
      <t>1)</t>
    </r>
    <r>
      <rPr>
        <sz val="11"/>
        <color rgb="FF333333"/>
        <rFont val="Calibri"/>
        <family val="2"/>
        <scheme val="minor"/>
      </rPr>
      <t xml:space="preserve"> The expression of MRN complex was significantly associated with clinical factors including poorer prognosis and negatively associated with the expression of DNA damage marker phosphorylated H2A histone family, member X (γH2AX) in the nucleus. </t>
    </r>
    <r>
      <rPr>
        <b/>
        <sz val="11"/>
        <color rgb="FF333333"/>
        <rFont val="Calibri"/>
        <family val="2"/>
        <scheme val="minor"/>
      </rPr>
      <t xml:space="preserve">2) </t>
    </r>
    <r>
      <rPr>
        <sz val="11"/>
        <color rgb="FF333333"/>
        <rFont val="Calibri"/>
        <family val="2"/>
        <scheme val="minor"/>
      </rPr>
      <t xml:space="preserve">In the biopsy specimens, low expression of MRE11 correlated with good response to chemotherapy and surgical resection after down-staging by </t>
    </r>
    <r>
      <rPr>
        <b/>
        <sz val="11"/>
        <color rgb="FF333333"/>
        <rFont val="Calibri"/>
        <family val="2"/>
        <scheme val="minor"/>
      </rPr>
      <t>chemotherapy</t>
    </r>
    <r>
      <rPr>
        <sz val="11"/>
        <color rgb="FF333333"/>
        <rFont val="Calibri"/>
        <family val="2"/>
        <scheme val="minor"/>
      </rPr>
      <t xml:space="preserve">. </t>
    </r>
    <r>
      <rPr>
        <b/>
        <sz val="11"/>
        <color rgb="FF333333"/>
        <rFont val="Calibri"/>
        <family val="2"/>
        <scheme val="minor"/>
      </rPr>
      <t xml:space="preserve">3) </t>
    </r>
    <r>
      <rPr>
        <sz val="11"/>
        <color rgb="FF333333"/>
        <rFont val="Calibri"/>
        <family val="2"/>
        <scheme val="minor"/>
      </rPr>
      <t xml:space="preserve">the expression levels of MRE11 and RAD50 were independent predictors of surgical resection after chemotherapy. </t>
    </r>
    <r>
      <rPr>
        <b/>
        <sz val="11"/>
        <color rgb="FF333333"/>
        <rFont val="Calibri"/>
        <family val="2"/>
        <scheme val="minor"/>
      </rPr>
      <t>4) CRC</t>
    </r>
    <r>
      <rPr>
        <sz val="11"/>
        <color rgb="FF333333"/>
        <rFont val="Calibri"/>
        <family val="2"/>
        <scheme val="minor"/>
      </rPr>
      <t xml:space="preserve"> cells harboring biallelic MRE11 mutations were more sensitive to LT-626 and stable overexpression or knock-down of MRE11 in cell lines correlated with sensitivity. Synergism was evident between LT-626 and </t>
    </r>
    <r>
      <rPr>
        <b/>
        <sz val="11"/>
        <color rgb="FF333333"/>
        <rFont val="Calibri"/>
        <family val="2"/>
        <scheme val="minor"/>
      </rPr>
      <t>cisplatin</t>
    </r>
    <r>
      <rPr>
        <sz val="11"/>
        <color rgb="FF333333"/>
        <rFont val="Calibri"/>
        <family val="2"/>
        <scheme val="minor"/>
      </rPr>
      <t xml:space="preserve">. </t>
    </r>
    <r>
      <rPr>
        <b/>
        <sz val="11"/>
        <color rgb="FF333333"/>
        <rFont val="Calibri"/>
        <family val="2"/>
        <scheme val="minor"/>
      </rPr>
      <t>5)</t>
    </r>
    <r>
      <rPr>
        <sz val="11"/>
        <color rgb="FF333333"/>
        <rFont val="Calibri"/>
        <family val="2"/>
        <scheme val="minor"/>
      </rPr>
      <t xml:space="preserve"> Sensitivity to </t>
    </r>
    <r>
      <rPr>
        <b/>
        <sz val="11"/>
        <color rgb="FF333333"/>
        <rFont val="Calibri"/>
        <family val="2"/>
        <scheme val="minor"/>
      </rPr>
      <t>cisplatin</t>
    </r>
    <r>
      <rPr>
        <sz val="11"/>
        <color rgb="FF333333"/>
        <rFont val="Calibri"/>
        <family val="2"/>
        <scheme val="minor"/>
      </rPr>
      <t xml:space="preserve"> and the PARP inhibitor BMN-673 was correlated with HR status. BRCA1, BRCA2, MRE11 and PTEN loss of expression was investigated as a potential determinant of BMN-673 sensitivity.</t>
    </r>
  </si>
  <si>
    <r>
      <rPr>
        <b/>
        <sz val="11"/>
        <rFont val="Calibri"/>
        <family val="2"/>
        <scheme val="minor"/>
      </rPr>
      <t>1)</t>
    </r>
    <r>
      <rPr>
        <sz val="11"/>
        <rFont val="Calibri"/>
        <family val="2"/>
        <scheme val="minor"/>
      </rPr>
      <t xml:space="preserve"> </t>
    </r>
    <r>
      <rPr>
        <b/>
        <sz val="11"/>
        <rFont val="Calibri"/>
        <family val="2"/>
        <scheme val="minor"/>
      </rPr>
      <t>MSH6</t>
    </r>
    <r>
      <rPr>
        <sz val="11"/>
        <rFont val="Calibri"/>
        <family val="2"/>
        <scheme val="minor"/>
      </rPr>
      <t xml:space="preserve">-deficient cells were more tolerant of </t>
    </r>
    <r>
      <rPr>
        <b/>
        <sz val="11"/>
        <rFont val="Calibri"/>
        <family val="2"/>
        <scheme val="minor"/>
      </rPr>
      <t>CDDP</t>
    </r>
    <r>
      <rPr>
        <sz val="11"/>
        <rFont val="Calibri"/>
        <family val="2"/>
        <scheme val="minor"/>
      </rPr>
      <t xml:space="preserve"> than MSH6-proficient cells (IC50 9.8 ± 2.4 versus 6.1 ± 0.4, p &lt; 0.05). </t>
    </r>
    <r>
      <rPr>
        <b/>
        <sz val="11"/>
        <rFont val="Calibri"/>
        <family val="2"/>
        <scheme val="minor"/>
      </rPr>
      <t xml:space="preserve">2) </t>
    </r>
    <r>
      <rPr>
        <sz val="11"/>
        <rFont val="Calibri"/>
        <family val="2"/>
        <scheme val="minor"/>
      </rPr>
      <t>the MutSα (MSH2-</t>
    </r>
    <r>
      <rPr>
        <b/>
        <sz val="11"/>
        <rFont val="Calibri"/>
        <family val="2"/>
        <scheme val="minor"/>
      </rPr>
      <t>MSH6</t>
    </r>
    <r>
      <rPr>
        <sz val="11"/>
        <rFont val="Calibri"/>
        <family val="2"/>
        <scheme val="minor"/>
      </rPr>
      <t xml:space="preserve">) heterocomplex is required to maintain cisplatin sensitivity, whereas the Mutsβ complex has no effect. </t>
    </r>
    <r>
      <rPr>
        <b/>
        <sz val="11"/>
        <rFont val="Calibri"/>
        <family val="2"/>
        <scheme val="minor"/>
      </rPr>
      <t xml:space="preserve">3) </t>
    </r>
    <r>
      <rPr>
        <sz val="11"/>
        <rFont val="Calibri"/>
        <family val="2"/>
        <scheme val="minor"/>
      </rPr>
      <t xml:space="preserve">These results can be correlated with the increased repair of cisplatin ICLs and ICL induced DNA double strand breaks (DSBs) in the resistant cells. </t>
    </r>
    <r>
      <rPr>
        <b/>
        <sz val="11"/>
        <rFont val="Calibri"/>
        <family val="2"/>
        <scheme val="minor"/>
      </rPr>
      <t xml:space="preserve">4) </t>
    </r>
    <r>
      <rPr>
        <sz val="11"/>
        <rFont val="Calibri"/>
        <family val="2"/>
        <scheme val="minor"/>
      </rPr>
      <t xml:space="preserve">Among seven MMR genes, high mRNA levels of </t>
    </r>
    <r>
      <rPr>
        <b/>
        <sz val="11"/>
        <rFont val="Calibri"/>
        <family val="2"/>
        <scheme val="minor"/>
      </rPr>
      <t>MSH6</t>
    </r>
    <r>
      <rPr>
        <sz val="11"/>
        <rFont val="Calibri"/>
        <family val="2"/>
        <scheme val="minor"/>
      </rPr>
      <t xml:space="preserve">, </t>
    </r>
    <r>
      <rPr>
        <b/>
        <sz val="11"/>
        <rFont val="Calibri"/>
        <family val="2"/>
        <scheme val="minor"/>
      </rPr>
      <t>MLH1</t>
    </r>
    <r>
      <rPr>
        <sz val="11"/>
        <rFont val="Calibri"/>
        <family val="2"/>
        <scheme val="minor"/>
      </rPr>
      <t xml:space="preserve"> and </t>
    </r>
    <r>
      <rPr>
        <b/>
        <sz val="11"/>
        <rFont val="Calibri"/>
        <family val="2"/>
        <scheme val="minor"/>
      </rPr>
      <t>PMS2</t>
    </r>
    <r>
      <rPr>
        <sz val="11"/>
        <rFont val="Calibri"/>
        <family val="2"/>
        <scheme val="minor"/>
      </rPr>
      <t xml:space="preserve"> were significantly associated with a better overall survival for all ovarian cancer patients treated with </t>
    </r>
    <r>
      <rPr>
        <b/>
        <sz val="11"/>
        <rFont val="Calibri"/>
        <family val="2"/>
        <scheme val="minor"/>
      </rPr>
      <t>platinum</t>
    </r>
    <r>
      <rPr>
        <sz val="11"/>
        <rFont val="Calibri"/>
        <family val="2"/>
        <scheme val="minor"/>
      </rPr>
      <t xml:space="preserve">-based chemotherapy, especially in late-stage and poor-differentiated </t>
    </r>
    <r>
      <rPr>
        <b/>
        <sz val="11"/>
        <rFont val="Calibri"/>
        <family val="2"/>
        <scheme val="minor"/>
      </rPr>
      <t>ovarian</t>
    </r>
    <r>
      <rPr>
        <sz val="11"/>
        <rFont val="Calibri"/>
        <family val="2"/>
        <scheme val="minor"/>
      </rPr>
      <t xml:space="preserve"> cancer patients. Increased </t>
    </r>
    <r>
      <rPr>
        <b/>
        <sz val="11"/>
        <rFont val="Calibri"/>
        <family val="2"/>
        <scheme val="minor"/>
      </rPr>
      <t>MSH6</t>
    </r>
    <r>
      <rPr>
        <sz val="11"/>
        <rFont val="Calibri"/>
        <family val="2"/>
        <scheme val="minor"/>
      </rPr>
      <t xml:space="preserve"> and </t>
    </r>
    <r>
      <rPr>
        <b/>
        <sz val="11"/>
        <rFont val="Calibri"/>
        <family val="2"/>
        <scheme val="minor"/>
      </rPr>
      <t>PMS2</t>
    </r>
    <r>
      <rPr>
        <sz val="11"/>
        <rFont val="Calibri"/>
        <family val="2"/>
        <scheme val="minor"/>
      </rPr>
      <t xml:space="preserve"> mRNA expression was correlated with a favorable overall survival in serous </t>
    </r>
    <r>
      <rPr>
        <b/>
        <sz val="11"/>
        <rFont val="Calibri"/>
        <family val="2"/>
        <scheme val="minor"/>
      </rPr>
      <t>ovarian</t>
    </r>
    <r>
      <rPr>
        <sz val="11"/>
        <rFont val="Calibri"/>
        <family val="2"/>
        <scheme val="minor"/>
      </rPr>
      <t xml:space="preserve"> cancer patients.</t>
    </r>
  </si>
  <si>
    <r>
      <rPr>
        <b/>
        <sz val="11"/>
        <rFont val="Calibri"/>
        <family val="2"/>
        <scheme val="minor"/>
      </rPr>
      <t>1) MSLN</t>
    </r>
    <r>
      <rPr>
        <sz val="11"/>
        <rFont val="Calibri"/>
        <family val="2"/>
        <scheme val="minor"/>
      </rPr>
      <t xml:space="preserve">-siRNA combined with </t>
    </r>
    <r>
      <rPr>
        <b/>
        <sz val="11"/>
        <rFont val="Calibri"/>
        <family val="2"/>
        <scheme val="minor"/>
      </rPr>
      <t>cisplatin</t>
    </r>
    <r>
      <rPr>
        <sz val="11"/>
        <rFont val="Calibri"/>
        <family val="2"/>
        <scheme val="minor"/>
      </rPr>
      <t xml:space="preserve">, triggered a marked increase in apoptosis and a decrease in proliferation as compared to cells treated with each agent alone, thereby suggesting a sensitizing effect of siRNA towards cisplatin in malignant pleural </t>
    </r>
    <r>
      <rPr>
        <b/>
        <sz val="11"/>
        <rFont val="Calibri"/>
        <family val="2"/>
        <scheme val="minor"/>
      </rPr>
      <t>mesothelioma</t>
    </r>
    <r>
      <rPr>
        <sz val="11"/>
        <rFont val="Calibri"/>
        <family val="2"/>
        <scheme val="minor"/>
      </rPr>
      <t>. </t>
    </r>
  </si>
  <si>
    <r>
      <rPr>
        <b/>
        <sz val="11"/>
        <color rgb="FF333333"/>
        <rFont val="Calibri"/>
        <family val="2"/>
        <scheme val="minor"/>
      </rPr>
      <t xml:space="preserve">1) </t>
    </r>
    <r>
      <rPr>
        <sz val="11"/>
        <color rgb="FF333333"/>
        <rFont val="Calibri"/>
        <family val="2"/>
        <scheme val="minor"/>
      </rPr>
      <t>downregulation of FoxM1 sensitized NPC cells to cisplatin and reduced the repair of </t>
    </r>
    <r>
      <rPr>
        <b/>
        <sz val="11"/>
        <color rgb="FF333333"/>
        <rFont val="Calibri"/>
        <family val="2"/>
        <scheme val="minor"/>
      </rPr>
      <t>cisplatin</t>
    </r>
    <r>
      <rPr>
        <sz val="11"/>
        <color rgb="FF333333"/>
        <rFont val="Calibri"/>
        <family val="2"/>
        <scheme val="minor"/>
      </rPr>
      <t xml:space="preserve">-induced DNA double-strand breaks via inhibition of the MRN (MRE11-RAD50-NBS1)-ATM axis, which might be related to the ability of FoxM1 to regulate </t>
    </r>
    <r>
      <rPr>
        <b/>
        <sz val="11"/>
        <color rgb="FF333333"/>
        <rFont val="Calibri"/>
        <family val="2"/>
        <scheme val="minor"/>
      </rPr>
      <t>NBS1</t>
    </r>
    <r>
      <rPr>
        <sz val="11"/>
        <color rgb="FF333333"/>
        <rFont val="Calibri"/>
        <family val="2"/>
        <scheme val="minor"/>
      </rPr>
      <t xml:space="preserve">. </t>
    </r>
    <r>
      <rPr>
        <b/>
        <sz val="11"/>
        <color rgb="FF333333"/>
        <rFont val="Calibri"/>
        <family val="2"/>
        <scheme val="minor"/>
      </rPr>
      <t xml:space="preserve">2) </t>
    </r>
    <r>
      <rPr>
        <sz val="11"/>
        <color rgb="FF333333"/>
        <rFont val="Calibri"/>
        <family val="2"/>
        <scheme val="minor"/>
      </rPr>
      <t>enhanced sensitivity of FoxM1 knockdown cells could be reduced by overexpression of NBS1. </t>
    </r>
  </si>
  <si>
    <r>
      <rPr>
        <b/>
        <sz val="11"/>
        <color rgb="FF333333"/>
        <rFont val="Calibri"/>
        <family val="2"/>
        <scheme val="minor"/>
      </rPr>
      <t>1)</t>
    </r>
    <r>
      <rPr>
        <sz val="11"/>
        <color rgb="FF333333"/>
        <rFont val="Calibri"/>
        <family val="2"/>
        <scheme val="minor"/>
      </rPr>
      <t xml:space="preserve"> CD133 and </t>
    </r>
    <r>
      <rPr>
        <b/>
        <sz val="11"/>
        <color rgb="FF333333"/>
        <rFont val="Calibri"/>
        <family val="2"/>
        <scheme val="minor"/>
      </rPr>
      <t>nestin</t>
    </r>
    <r>
      <rPr>
        <sz val="11"/>
        <color rgb="FF333333"/>
        <rFont val="Calibri"/>
        <family val="2"/>
        <scheme val="minor"/>
      </rPr>
      <t xml:space="preserve"> were defined to be positive in 35.0% and 32.5% of the serous </t>
    </r>
    <r>
      <rPr>
        <b/>
        <sz val="11"/>
        <color rgb="FF333333"/>
        <rFont val="Calibri"/>
        <family val="2"/>
        <scheme val="minor"/>
      </rPr>
      <t>ovarian</t>
    </r>
    <r>
      <rPr>
        <sz val="11"/>
        <color rgb="FF333333"/>
        <rFont val="Calibri"/>
        <family val="2"/>
        <scheme val="minor"/>
      </rPr>
      <t xml:space="preserve"> carcinoma tissues, respectively. It was observed that overexpression of </t>
    </r>
    <r>
      <rPr>
        <b/>
        <sz val="11"/>
        <color rgb="FF333333"/>
        <rFont val="Calibri"/>
        <family val="2"/>
        <scheme val="minor"/>
      </rPr>
      <t>nestin</t>
    </r>
    <r>
      <rPr>
        <sz val="11"/>
        <color rgb="FF333333"/>
        <rFont val="Calibri"/>
        <family val="2"/>
        <scheme val="minor"/>
      </rPr>
      <t xml:space="preserve"> but not CD133 was associated with the </t>
    </r>
    <r>
      <rPr>
        <b/>
        <sz val="11"/>
        <color rgb="FF333333"/>
        <rFont val="Calibri"/>
        <family val="2"/>
        <scheme val="minor"/>
      </rPr>
      <t>cisplatin</t>
    </r>
    <r>
      <rPr>
        <sz val="11"/>
        <color rgb="FF333333"/>
        <rFont val="Calibri"/>
        <family val="2"/>
        <scheme val="minor"/>
      </rPr>
      <t xml:space="preserve">-based chemotherapy resistance and shorter overall survival of the patients, and nestin was found to be an independent prognostic factor. </t>
    </r>
    <r>
      <rPr>
        <b/>
        <sz val="11"/>
        <color rgb="FF333333"/>
        <rFont val="Calibri"/>
        <family val="2"/>
        <scheme val="minor"/>
      </rPr>
      <t xml:space="preserve">2) </t>
    </r>
    <r>
      <rPr>
        <sz val="11"/>
        <color rgb="FF333333"/>
        <rFont val="Calibri"/>
        <family val="2"/>
        <scheme val="minor"/>
      </rPr>
      <t xml:space="preserve">positive nestin expression also correlated to increased expression of EGFR and VEGF, and elevated MVD in tumors. </t>
    </r>
  </si>
  <si>
    <r>
      <rPr>
        <b/>
        <sz val="11"/>
        <color rgb="FF333333"/>
        <rFont val="Calibri"/>
        <family val="2"/>
        <scheme val="minor"/>
      </rPr>
      <t>1) Brca1, Pten</t>
    </r>
    <r>
      <rPr>
        <sz val="11"/>
        <color rgb="FF333333"/>
        <rFont val="Calibri"/>
        <family val="2"/>
        <scheme val="minor"/>
      </rPr>
      <t xml:space="preserve"> and </t>
    </r>
    <r>
      <rPr>
        <b/>
        <sz val="11"/>
        <color rgb="FF333333"/>
        <rFont val="Calibri"/>
        <family val="2"/>
        <scheme val="minor"/>
      </rPr>
      <t>Nf1</t>
    </r>
    <r>
      <rPr>
        <sz val="11"/>
        <color rgb="FF333333"/>
        <rFont val="Calibri"/>
        <family val="2"/>
        <scheme val="minor"/>
      </rPr>
      <t xml:space="preserve">, all of which are frequently mutated or deleted in </t>
    </r>
    <r>
      <rPr>
        <b/>
        <sz val="11"/>
        <color rgb="FF333333"/>
        <rFont val="Calibri"/>
        <family val="2"/>
        <scheme val="minor"/>
      </rPr>
      <t>HGSOC</t>
    </r>
    <r>
      <rPr>
        <sz val="11"/>
        <color rgb="FF333333"/>
        <rFont val="Calibri"/>
        <family val="2"/>
        <scheme val="minor"/>
      </rPr>
      <t xml:space="preserve">. </t>
    </r>
    <r>
      <rPr>
        <b/>
        <sz val="11"/>
        <color rgb="FF333333"/>
        <rFont val="Calibri"/>
        <family val="2"/>
        <scheme val="minor"/>
      </rPr>
      <t xml:space="preserve">2) </t>
    </r>
    <r>
      <rPr>
        <sz val="11"/>
        <color rgb="FF333333"/>
        <rFont val="Calibri"/>
        <family val="2"/>
        <scheme val="minor"/>
      </rPr>
      <t xml:space="preserve">deletion of either </t>
    </r>
    <r>
      <rPr>
        <b/>
        <sz val="11"/>
        <color rgb="FF333333"/>
        <rFont val="Calibri"/>
        <family val="2"/>
        <scheme val="minor"/>
      </rPr>
      <t>Pten</t>
    </r>
    <r>
      <rPr>
        <sz val="11"/>
        <color rgb="FF333333"/>
        <rFont val="Calibri"/>
        <family val="2"/>
        <scheme val="minor"/>
      </rPr>
      <t xml:space="preserve"> or </t>
    </r>
    <r>
      <rPr>
        <b/>
        <sz val="11"/>
        <color rgb="FF333333"/>
        <rFont val="Calibri"/>
        <family val="2"/>
        <scheme val="minor"/>
      </rPr>
      <t>Nf1</t>
    </r>
    <r>
      <rPr>
        <sz val="11"/>
        <color rgb="FF333333"/>
        <rFont val="Calibri"/>
        <family val="2"/>
        <scheme val="minor"/>
      </rPr>
      <t xml:space="preserve"> expression significantly accelerated tumor growth compared to </t>
    </r>
    <r>
      <rPr>
        <b/>
        <sz val="11"/>
        <color rgb="FF333333"/>
        <rFont val="Calibri"/>
        <family val="2"/>
        <scheme val="minor"/>
      </rPr>
      <t>p53</t>
    </r>
    <r>
      <rPr>
        <sz val="11"/>
        <color rgb="FF333333"/>
        <rFont val="Calibri"/>
        <family val="2"/>
        <scheme val="minor"/>
      </rPr>
      <t xml:space="preserve"> loss alone. </t>
    </r>
    <r>
      <rPr>
        <b/>
        <sz val="11"/>
        <color rgb="FF333333"/>
        <rFont val="Calibri"/>
        <family val="2"/>
        <scheme val="minor"/>
      </rPr>
      <t xml:space="preserve">3) </t>
    </r>
    <r>
      <rPr>
        <sz val="11"/>
        <color rgb="FF333333"/>
        <rFont val="Calibri"/>
        <family val="2"/>
        <scheme val="minor"/>
      </rPr>
      <t xml:space="preserve">NF1-knockdown ovarian cells showed resistance to </t>
    </r>
    <r>
      <rPr>
        <b/>
        <sz val="11"/>
        <color rgb="FF333333"/>
        <rFont val="Calibri"/>
        <family val="2"/>
        <scheme val="minor"/>
      </rPr>
      <t>cisplatin</t>
    </r>
    <r>
      <rPr>
        <sz val="11"/>
        <color rgb="FF333333"/>
        <rFont val="Calibri"/>
        <family val="2"/>
        <scheme val="minor"/>
      </rPr>
      <t xml:space="preserve">-induced apoptosis. </t>
    </r>
    <r>
      <rPr>
        <b/>
        <sz val="11"/>
        <color rgb="FF333333"/>
        <rFont val="Calibri"/>
        <family val="2"/>
        <scheme val="minor"/>
      </rPr>
      <t>4) NF1</t>
    </r>
    <r>
      <rPr>
        <sz val="11"/>
        <color rgb="FF333333"/>
        <rFont val="Calibri"/>
        <family val="2"/>
        <scheme val="minor"/>
      </rPr>
      <t xml:space="preserve"> regulated </t>
    </r>
    <r>
      <rPr>
        <b/>
        <sz val="11"/>
        <color rgb="FF333333"/>
        <rFont val="Calibri"/>
        <family val="2"/>
        <scheme val="minor"/>
      </rPr>
      <t>MCL1</t>
    </r>
    <r>
      <rPr>
        <sz val="11"/>
        <color rgb="FF333333"/>
        <rFont val="Calibri"/>
        <family val="2"/>
        <scheme val="minor"/>
      </rPr>
      <t xml:space="preserve"> expression at protein level. </t>
    </r>
    <r>
      <rPr>
        <b/>
        <sz val="11"/>
        <color rgb="FF333333"/>
        <rFont val="Calibri"/>
        <family val="2"/>
        <scheme val="minor"/>
      </rPr>
      <t>5)</t>
    </r>
    <r>
      <rPr>
        <sz val="11"/>
        <color rgb="FF333333"/>
        <rFont val="Calibri"/>
        <family val="2"/>
        <scheme val="minor"/>
      </rPr>
      <t xml:space="preserve"> miR-142-5p was regulated by NF1 via its promoter and targeted </t>
    </r>
    <r>
      <rPr>
        <b/>
        <sz val="11"/>
        <color rgb="FF333333"/>
        <rFont val="Calibri"/>
        <family val="2"/>
        <scheme val="minor"/>
      </rPr>
      <t>MCL1</t>
    </r>
    <r>
      <rPr>
        <sz val="11"/>
        <color rgb="FF333333"/>
        <rFont val="Calibri"/>
        <family val="2"/>
        <scheme val="minor"/>
      </rPr>
      <t>. Consistently, miR-142-5p mimic and si-MCL1 can attenuate the antiapoptotic effect of NF1 knockdown.</t>
    </r>
  </si>
  <si>
    <r>
      <rPr>
        <b/>
        <sz val="11"/>
        <color rgb="FF333333"/>
        <rFont val="Calibri"/>
        <family val="2"/>
        <scheme val="minor"/>
      </rPr>
      <t>1) YB-1</t>
    </r>
    <r>
      <rPr>
        <sz val="11"/>
        <color rgb="FF333333"/>
        <rFont val="Calibri"/>
        <family val="2"/>
        <scheme val="minor"/>
      </rPr>
      <t xml:space="preserve"> binds specifically to the auto-inhibitory domain of </t>
    </r>
    <r>
      <rPr>
        <b/>
        <sz val="11"/>
        <color rgb="FF333333"/>
        <rFont val="Calibri"/>
        <family val="2"/>
        <scheme val="minor"/>
      </rPr>
      <t>hNTH1</t>
    </r>
    <r>
      <rPr>
        <sz val="11"/>
        <color rgb="FF333333"/>
        <rFont val="Calibri"/>
        <family val="2"/>
        <scheme val="minor"/>
      </rPr>
      <t xml:space="preserve">, providing a mechanism by which YB-1 stimulates hNTH1 activity. </t>
    </r>
    <r>
      <rPr>
        <b/>
        <sz val="11"/>
        <color rgb="FF333333"/>
        <rFont val="Calibri"/>
        <family val="2"/>
        <scheme val="minor"/>
      </rPr>
      <t>2) YB-1</t>
    </r>
    <r>
      <rPr>
        <sz val="11"/>
        <color rgb="FF333333"/>
        <rFont val="Calibri"/>
        <family val="2"/>
        <scheme val="minor"/>
      </rPr>
      <t xml:space="preserve"> strongly stimulates in vitro the activity of hNTH1 toward DNA duplex probes containing oxidized bases, lesions prone to be present in </t>
    </r>
    <r>
      <rPr>
        <b/>
        <sz val="11"/>
        <color rgb="FF333333"/>
        <rFont val="Calibri"/>
        <family val="2"/>
        <scheme val="minor"/>
      </rPr>
      <t>cisplatin</t>
    </r>
    <r>
      <rPr>
        <sz val="11"/>
        <color rgb="FF333333"/>
        <rFont val="Calibri"/>
        <family val="2"/>
        <scheme val="minor"/>
      </rPr>
      <t xml:space="preserve"> treated cells. </t>
    </r>
    <r>
      <rPr>
        <b/>
        <sz val="11"/>
        <color rgb="FF333333"/>
        <rFont val="Calibri"/>
        <family val="2"/>
        <scheme val="minor"/>
      </rPr>
      <t>3)</t>
    </r>
    <r>
      <rPr>
        <sz val="11"/>
        <color rgb="FF333333"/>
        <rFont val="Calibri"/>
        <family val="2"/>
        <scheme val="minor"/>
      </rPr>
      <t xml:space="preserve"> an increase in YB-1/hNTH1 complex formation in the mammary adenocarcinoma MCF7 cell line treated with UV light and </t>
    </r>
    <r>
      <rPr>
        <b/>
        <sz val="11"/>
        <color rgb="FF333333"/>
        <rFont val="Calibri"/>
        <family val="2"/>
        <scheme val="minor"/>
      </rPr>
      <t>cisplatin</t>
    </r>
    <r>
      <rPr>
        <sz val="11"/>
        <color rgb="FF333333"/>
        <rFont val="Calibri"/>
        <family val="2"/>
        <scheme val="minor"/>
      </rPr>
      <t xml:space="preserve">. </t>
    </r>
    <r>
      <rPr>
        <b/>
        <sz val="11"/>
        <color rgb="FF333333"/>
        <rFont val="Calibri"/>
        <family val="2"/>
        <scheme val="minor"/>
      </rPr>
      <t xml:space="preserve">4) </t>
    </r>
    <r>
      <rPr>
        <sz val="11"/>
        <color rgb="FF333333"/>
        <rFont val="Calibri"/>
        <family val="2"/>
        <scheme val="minor"/>
      </rPr>
      <t xml:space="preserve">antisense RNAs against either YB-1 or hNTH1 increased cellular sensitivity to UV and </t>
    </r>
    <r>
      <rPr>
        <b/>
        <sz val="11"/>
        <color rgb="FF333333"/>
        <rFont val="Calibri"/>
        <family val="2"/>
        <scheme val="minor"/>
      </rPr>
      <t>cisplatin.</t>
    </r>
    <r>
      <rPr>
        <sz val="11"/>
        <color rgb="FF333333"/>
        <rFont val="Calibri"/>
        <family val="2"/>
        <scheme val="minor"/>
      </rPr>
      <t xml:space="preserve"> </t>
    </r>
    <r>
      <rPr>
        <b/>
        <sz val="11"/>
        <color rgb="FF333333"/>
        <rFont val="Calibri"/>
        <family val="2"/>
        <scheme val="minor"/>
      </rPr>
      <t xml:space="preserve">5) </t>
    </r>
    <r>
      <rPr>
        <sz val="11"/>
        <color rgb="FF333333"/>
        <rFont val="Calibri"/>
        <family val="2"/>
        <scheme val="minor"/>
      </rPr>
      <t>siRNA against hNTH1 re-established cytotoxicity in otherwise cisplatin-resistant YB-1 overexpressing MCF7 cells. </t>
    </r>
    <r>
      <rPr>
        <b/>
        <sz val="11"/>
        <color rgb="FF333333"/>
        <rFont val="Calibri"/>
        <family val="2"/>
        <scheme val="minor"/>
      </rPr>
      <t>6)</t>
    </r>
    <r>
      <rPr>
        <sz val="11"/>
        <color rgb="FF333333"/>
        <rFont val="Calibri"/>
        <family val="2"/>
        <scheme val="minor"/>
      </rPr>
      <t xml:space="preserve"> the </t>
    </r>
    <r>
      <rPr>
        <b/>
        <sz val="11"/>
        <color rgb="FF333333"/>
        <rFont val="Calibri"/>
        <family val="2"/>
        <scheme val="minor"/>
      </rPr>
      <t>hNTH1-YB1</t>
    </r>
    <r>
      <rPr>
        <sz val="11"/>
        <color rgb="FF333333"/>
        <rFont val="Calibri"/>
        <family val="2"/>
        <scheme val="minor"/>
      </rPr>
      <t xml:space="preserve"> interface is a druggable target for the development of new therapeutic strategies for the treatment of cisplatin-resistant tumors. </t>
    </r>
  </si>
  <si>
    <r>
      <rPr>
        <b/>
        <sz val="11"/>
        <color rgb="FF333333"/>
        <rFont val="Calibri"/>
        <family val="2"/>
        <scheme val="minor"/>
      </rPr>
      <t xml:space="preserve">1) </t>
    </r>
    <r>
      <rPr>
        <sz val="11"/>
        <color rgb="FF333333"/>
        <rFont val="Calibri"/>
        <family val="2"/>
        <scheme val="minor"/>
      </rPr>
      <t xml:space="preserve">Among the 158 </t>
    </r>
    <r>
      <rPr>
        <b/>
        <sz val="11"/>
        <color rgb="FF333333"/>
        <rFont val="Calibri"/>
        <family val="2"/>
        <scheme val="minor"/>
      </rPr>
      <t>NSCLC</t>
    </r>
    <r>
      <rPr>
        <sz val="11"/>
        <color rgb="FF333333"/>
        <rFont val="Calibri"/>
        <family val="2"/>
        <scheme val="minor"/>
      </rPr>
      <t xml:space="preserve"> patients evaluable for response, high PALB2 mRNA expression was predictive of response to </t>
    </r>
    <r>
      <rPr>
        <b/>
        <sz val="11"/>
        <color rgb="FF333333"/>
        <rFont val="Calibri"/>
        <family val="2"/>
        <scheme val="minor"/>
      </rPr>
      <t>cisplatin</t>
    </r>
    <r>
      <rPr>
        <sz val="11"/>
        <color rgb="FF333333"/>
        <rFont val="Calibri"/>
        <family val="2"/>
        <scheme val="minor"/>
      </rPr>
      <t xml:space="preserve">-docetaxel. </t>
    </r>
    <r>
      <rPr>
        <b/>
        <sz val="11"/>
        <color rgb="FF333333"/>
        <rFont val="Calibri"/>
        <family val="2"/>
        <scheme val="minor"/>
      </rPr>
      <t xml:space="preserve">2) </t>
    </r>
    <r>
      <rPr>
        <sz val="11"/>
        <color rgb="FF333333"/>
        <rFont val="Calibri"/>
        <family val="2"/>
        <scheme val="minor"/>
      </rPr>
      <t xml:space="preserve">Specifically, an objective response rate of 77% to cisplatin-docetaxel was observed for patients with high PALB2 mRNA expression compared with a rate of only 23 % for those with low PALB2 mRNA expression (p = 0.0448). </t>
    </r>
    <r>
      <rPr>
        <b/>
        <sz val="11"/>
        <color rgb="FF333333"/>
        <rFont val="Calibri"/>
        <family val="2"/>
        <scheme val="minor"/>
      </rPr>
      <t>3)</t>
    </r>
    <r>
      <rPr>
        <sz val="11"/>
        <color rgb="FF333333"/>
        <rFont val="Calibri"/>
        <family val="2"/>
        <scheme val="minor"/>
      </rPr>
      <t xml:space="preserve"> PALB2 mRNA expression negatively associated to xenografts response to a </t>
    </r>
    <r>
      <rPr>
        <b/>
        <sz val="11"/>
        <color rgb="FF333333"/>
        <rFont val="Calibri"/>
        <family val="2"/>
        <scheme val="minor"/>
      </rPr>
      <t>platinum</t>
    </r>
    <r>
      <rPr>
        <sz val="11"/>
        <color rgb="FF333333"/>
        <rFont val="Calibri"/>
        <family val="2"/>
        <scheme val="minor"/>
      </rPr>
      <t xml:space="preserve"> based therapy. </t>
    </r>
  </si>
  <si>
    <r>
      <rPr>
        <b/>
        <sz val="11"/>
        <color rgb="FF333333"/>
        <rFont val="Calibri"/>
        <family val="2"/>
        <scheme val="minor"/>
      </rPr>
      <t xml:space="preserve">1) </t>
    </r>
    <r>
      <rPr>
        <sz val="11"/>
        <color rgb="FF333333"/>
        <rFont val="Calibri"/>
        <family val="2"/>
        <scheme val="minor"/>
      </rPr>
      <t xml:space="preserve">Sunitinib synergizes the antitumor effect of cisplatin. </t>
    </r>
    <r>
      <rPr>
        <b/>
        <sz val="11"/>
        <color rgb="FF333333"/>
        <rFont val="Calibri"/>
        <family val="2"/>
        <scheme val="minor"/>
      </rPr>
      <t xml:space="preserve">2) </t>
    </r>
    <r>
      <rPr>
        <sz val="11"/>
        <color rgb="FF333333"/>
        <rFont val="Calibri"/>
        <family val="2"/>
        <scheme val="minor"/>
      </rPr>
      <t>sunitinib treatment resulted in the down-regulation of ERCC1 expression via the modulation of PDGFRA expression in gastric cancer cells. </t>
    </r>
  </si>
  <si>
    <r>
      <rPr>
        <b/>
        <sz val="11"/>
        <color rgb="FF333333"/>
        <rFont val="Calibri"/>
        <family val="2"/>
        <scheme val="minor"/>
      </rPr>
      <t xml:space="preserve">1) </t>
    </r>
    <r>
      <rPr>
        <sz val="11"/>
        <color rgb="FF333333"/>
        <rFont val="Calibri"/>
        <family val="2"/>
        <scheme val="minor"/>
      </rPr>
      <t xml:space="preserve">717 splicing events affected by cisplatin, including 245 events involving cassette exons. </t>
    </r>
    <r>
      <rPr>
        <b/>
        <sz val="11"/>
        <color rgb="FF333333"/>
        <rFont val="Calibri"/>
        <family val="2"/>
        <scheme val="minor"/>
      </rPr>
      <t>2)</t>
    </r>
    <r>
      <rPr>
        <sz val="11"/>
        <color rgb="FF333333"/>
        <rFont val="Calibri"/>
        <family val="2"/>
        <scheme val="minor"/>
      </rPr>
      <t xml:space="preserve"> the cisplatin-induced splicing alterations required class I PI3Ks </t>
    </r>
    <r>
      <rPr>
        <b/>
        <sz val="11"/>
        <color rgb="FF333333"/>
        <rFont val="Calibri"/>
        <family val="2"/>
        <scheme val="minor"/>
      </rPr>
      <t>P110β</t>
    </r>
    <r>
      <rPr>
        <sz val="11"/>
        <color rgb="FF333333"/>
        <rFont val="Calibri"/>
        <family val="2"/>
        <scheme val="minor"/>
      </rPr>
      <t xml:space="preserve"> but not components such as ATM, ATR and p53 that are involved in the DNA damage response. </t>
    </r>
    <r>
      <rPr>
        <b/>
        <sz val="11"/>
        <color rgb="FF333333"/>
        <rFont val="Calibri"/>
        <family val="2"/>
        <scheme val="minor"/>
      </rPr>
      <t xml:space="preserve">3) </t>
    </r>
    <r>
      <rPr>
        <sz val="11"/>
        <color rgb="FF333333"/>
        <rFont val="Calibri"/>
        <family val="2"/>
        <scheme val="minor"/>
      </rPr>
      <t>The siRNA-mediated depletion of the splicing regulator SRSF4, but not SRSF6, expression abrogated many of the splicing alterations as well as cell death induced by cisplatin.</t>
    </r>
  </si>
  <si>
    <r>
      <rPr>
        <b/>
        <sz val="11"/>
        <color rgb="FF333333"/>
        <rFont val="Calibri"/>
        <family val="2"/>
        <scheme val="minor"/>
      </rPr>
      <t>1)</t>
    </r>
    <r>
      <rPr>
        <sz val="11"/>
        <color rgb="FF333333"/>
        <rFont val="Calibri"/>
        <family val="2"/>
        <scheme val="minor"/>
      </rPr>
      <t xml:space="preserve"> The analysis of cell proliferation, in the presence or absence of a low dose of </t>
    </r>
    <r>
      <rPr>
        <b/>
        <sz val="11"/>
        <color rgb="FF333333"/>
        <rFont val="Calibri"/>
        <family val="2"/>
        <scheme val="minor"/>
      </rPr>
      <t>cisplatin</t>
    </r>
    <r>
      <rPr>
        <sz val="11"/>
        <color rgb="FF333333"/>
        <rFont val="Calibri"/>
        <family val="2"/>
        <scheme val="minor"/>
      </rPr>
      <t xml:space="preserve"> after siRNA transfection, identified new protein and lipid kinases involved in </t>
    </r>
    <r>
      <rPr>
        <b/>
        <sz val="11"/>
        <color rgb="FF333333"/>
        <rFont val="Calibri"/>
        <family val="2"/>
        <scheme val="minor"/>
      </rPr>
      <t>medulloblastoma</t>
    </r>
    <r>
      <rPr>
        <sz val="11"/>
        <color rgb="FF333333"/>
        <rFont val="Calibri"/>
        <family val="2"/>
        <scheme val="minor"/>
      </rPr>
      <t xml:space="preserve"> chemoresistance. </t>
    </r>
    <r>
      <rPr>
        <b/>
        <sz val="11"/>
        <color rgb="FF333333"/>
        <rFont val="Calibri"/>
        <family val="2"/>
        <scheme val="minor"/>
      </rPr>
      <t>2)</t>
    </r>
    <r>
      <rPr>
        <sz val="11"/>
        <color rgb="FF333333"/>
        <rFont val="Calibri"/>
        <family val="2"/>
        <scheme val="minor"/>
      </rPr>
      <t xml:space="preserve"> a set of 6 genes comprising </t>
    </r>
    <r>
      <rPr>
        <b/>
        <sz val="11"/>
        <color rgb="FF333333"/>
        <rFont val="Calibri"/>
        <family val="2"/>
        <scheme val="minor"/>
      </rPr>
      <t>ATR, LYK5, MPP2, PIK3CG, PIK4CA, and WNK4</t>
    </r>
    <r>
      <rPr>
        <sz val="11"/>
        <color rgb="FF333333"/>
        <rFont val="Calibri"/>
        <family val="2"/>
        <scheme val="minor"/>
      </rPr>
      <t xml:space="preserve"> were identified as contributing to both cell proliferation and </t>
    </r>
    <r>
      <rPr>
        <u/>
        <sz val="11"/>
        <color rgb="FF333333"/>
        <rFont val="Calibri"/>
        <family val="2"/>
        <scheme val="minor"/>
      </rPr>
      <t>resistance to cisplatin</t>
    </r>
    <r>
      <rPr>
        <sz val="11"/>
        <color rgb="FF333333"/>
        <rFont val="Calibri"/>
        <family val="2"/>
        <scheme val="minor"/>
      </rPr>
      <t xml:space="preserve"> treatment in medulloblastoma cells. </t>
    </r>
    <r>
      <rPr>
        <b/>
        <sz val="11"/>
        <color rgb="FF333333"/>
        <rFont val="Calibri"/>
        <family val="2"/>
        <scheme val="minor"/>
      </rPr>
      <t xml:space="preserve">3) </t>
    </r>
    <r>
      <rPr>
        <sz val="11"/>
        <color rgb="FF333333"/>
        <rFont val="Calibri"/>
        <family val="2"/>
        <scheme val="minor"/>
      </rPr>
      <t xml:space="preserve">overexpression of </t>
    </r>
    <r>
      <rPr>
        <b/>
        <sz val="11"/>
        <color rgb="FF333333"/>
        <rFont val="Calibri"/>
        <family val="2"/>
        <scheme val="minor"/>
      </rPr>
      <t>LYK5</t>
    </r>
    <r>
      <rPr>
        <sz val="11"/>
        <color rgb="FF333333"/>
        <rFont val="Calibri"/>
        <family val="2"/>
        <scheme val="minor"/>
      </rPr>
      <t xml:space="preserve"> and </t>
    </r>
    <r>
      <rPr>
        <b/>
        <sz val="11"/>
        <color rgb="FF333333"/>
        <rFont val="Calibri"/>
        <family val="2"/>
        <scheme val="minor"/>
      </rPr>
      <t>PIK3CG</t>
    </r>
    <r>
      <rPr>
        <sz val="11"/>
        <color rgb="FF333333"/>
        <rFont val="Calibri"/>
        <family val="2"/>
        <scheme val="minor"/>
      </rPr>
      <t xml:space="preserve"> in tumor samples. </t>
    </r>
    <r>
      <rPr>
        <b/>
        <sz val="11"/>
        <color rgb="FF333333"/>
        <rFont val="Calibri"/>
        <family val="2"/>
        <scheme val="minor"/>
      </rPr>
      <t xml:space="preserve">4) </t>
    </r>
    <r>
      <rPr>
        <sz val="11"/>
        <color rgb="FF333333"/>
        <rFont val="Calibri"/>
        <family val="2"/>
        <scheme val="minor"/>
      </rPr>
      <t xml:space="preserve">A pharmacological inhibitor of p110γ (encoded by </t>
    </r>
    <r>
      <rPr>
        <b/>
        <sz val="11"/>
        <color rgb="FF333333"/>
        <rFont val="Calibri"/>
        <family val="2"/>
        <scheme val="minor"/>
      </rPr>
      <t>PIK3CG</t>
    </r>
    <r>
      <rPr>
        <sz val="11"/>
        <color rgb="FF333333"/>
        <rFont val="Calibri"/>
        <family val="2"/>
        <scheme val="minor"/>
      </rPr>
      <t xml:space="preserve">) impaired cell proliferation in medulloblastoma cell lines and sensitized the cells to </t>
    </r>
    <r>
      <rPr>
        <b/>
        <sz val="11"/>
        <color rgb="FF333333"/>
        <rFont val="Calibri"/>
        <family val="2"/>
        <scheme val="minor"/>
      </rPr>
      <t xml:space="preserve">cisplatin </t>
    </r>
    <r>
      <rPr>
        <sz val="11"/>
        <color rgb="FF333333"/>
        <rFont val="Calibri"/>
        <family val="2"/>
        <scheme val="minor"/>
      </rPr>
      <t>treatment. </t>
    </r>
  </si>
  <si>
    <r>
      <rPr>
        <b/>
        <sz val="11"/>
        <color rgb="FF333333"/>
        <rFont val="Calibri"/>
        <family val="2"/>
        <scheme val="minor"/>
      </rPr>
      <t>1) Cisplatin</t>
    </r>
    <r>
      <rPr>
        <sz val="11"/>
        <color rgb="FF333333"/>
        <rFont val="Calibri"/>
        <family val="2"/>
        <scheme val="minor"/>
      </rPr>
      <t xml:space="preserve"> treatment elicited apoptosis, ATM phosphorylation, upregulation of p53, </t>
    </r>
    <r>
      <rPr>
        <b/>
        <sz val="11"/>
        <color rgb="FF333333"/>
        <rFont val="Calibri"/>
        <family val="2"/>
        <scheme val="minor"/>
      </rPr>
      <t>Noxa (PMAIP1)</t>
    </r>
    <r>
      <rPr>
        <sz val="11"/>
        <color rgb="FF333333"/>
        <rFont val="Calibri"/>
        <family val="2"/>
        <scheme val="minor"/>
      </rPr>
      <t>, and PUMA (BBC3), and cleavage of caspase-9, -7, fodrin, and PARP-1 in MCF-7 cells.</t>
    </r>
    <r>
      <rPr>
        <b/>
        <sz val="11"/>
        <color rgb="FF333333"/>
        <rFont val="Calibri"/>
        <family val="2"/>
        <scheme val="minor"/>
      </rPr>
      <t xml:space="preserve"> 2) </t>
    </r>
    <r>
      <rPr>
        <sz val="11"/>
        <color rgb="FF333333"/>
        <rFont val="Calibri"/>
        <family val="2"/>
        <scheme val="minor"/>
      </rPr>
      <t xml:space="preserve">High constitutive NOXA levels are central for hypersensitivity of embryonal carcinoma cells to </t>
    </r>
    <r>
      <rPr>
        <b/>
        <sz val="11"/>
        <color rgb="FF333333"/>
        <rFont val="Calibri"/>
        <family val="2"/>
        <scheme val="minor"/>
      </rPr>
      <t>cisplatin</t>
    </r>
    <r>
      <rPr>
        <sz val="11"/>
        <color rgb="FF333333"/>
        <rFont val="Calibri"/>
        <family val="2"/>
        <scheme val="minor"/>
      </rPr>
      <t xml:space="preserve">. </t>
    </r>
    <r>
      <rPr>
        <b/>
        <sz val="11"/>
        <color rgb="FF333333"/>
        <rFont val="Calibri"/>
        <family val="2"/>
        <scheme val="minor"/>
      </rPr>
      <t>3)</t>
    </r>
    <r>
      <rPr>
        <sz val="11"/>
        <color rgb="FF333333"/>
        <rFont val="Calibri"/>
        <family val="2"/>
        <scheme val="minor"/>
      </rPr>
      <t xml:space="preserve"> miR-155 binding sites in the 3' UTRs of the targets, Tspan14, Lpin1, and </t>
    </r>
    <r>
      <rPr>
        <b/>
        <sz val="11"/>
        <color rgb="FF333333"/>
        <rFont val="Calibri"/>
        <family val="2"/>
        <scheme val="minor"/>
      </rPr>
      <t>Pmaip1</t>
    </r>
    <r>
      <rPr>
        <sz val="11"/>
        <color rgb="FF333333"/>
        <rFont val="Calibri"/>
        <family val="2"/>
        <scheme val="minor"/>
      </rPr>
      <t xml:space="preserve">. </t>
    </r>
    <r>
      <rPr>
        <b/>
        <sz val="11"/>
        <color rgb="FF333333"/>
        <rFont val="Calibri"/>
        <family val="2"/>
        <scheme val="minor"/>
      </rPr>
      <t xml:space="preserve">4) </t>
    </r>
    <r>
      <rPr>
        <sz val="11"/>
        <color rgb="FF333333"/>
        <rFont val="Calibri"/>
        <family val="2"/>
        <scheme val="minor"/>
      </rPr>
      <t xml:space="preserve">H. pylori-infected miR-155(-/-) BMMs were significantly more susceptible to </t>
    </r>
    <r>
      <rPr>
        <b/>
        <sz val="11"/>
        <color rgb="FF333333"/>
        <rFont val="Calibri"/>
        <family val="2"/>
        <scheme val="minor"/>
      </rPr>
      <t>cisplatin</t>
    </r>
    <r>
      <rPr>
        <sz val="11"/>
        <color rgb="FF333333"/>
        <rFont val="Calibri"/>
        <family val="2"/>
        <scheme val="minor"/>
      </rPr>
      <t xml:space="preserve"> DNA damage-induced apoptosis than were wild-type BMMs. </t>
    </r>
  </si>
  <si>
    <r>
      <rPr>
        <b/>
        <sz val="11"/>
        <color rgb="FF333333"/>
        <rFont val="Calibri"/>
        <family val="2"/>
        <scheme val="minor"/>
      </rPr>
      <t xml:space="preserve">1) </t>
    </r>
    <r>
      <rPr>
        <sz val="11"/>
        <color rgb="FF333333"/>
        <rFont val="Calibri"/>
        <family val="2"/>
        <scheme val="minor"/>
      </rPr>
      <t>knockdown of gp100/PMEL sensitized the cells to both paclitaxel and </t>
    </r>
    <r>
      <rPr>
        <b/>
        <sz val="11"/>
        <color rgb="FF333333"/>
        <rFont val="Calibri"/>
        <family val="2"/>
        <scheme val="minor"/>
      </rPr>
      <t>cisplatin</t>
    </r>
    <r>
      <rPr>
        <sz val="11"/>
        <color rgb="FF333333"/>
        <rFont val="Calibri"/>
        <family val="2"/>
        <scheme val="minor"/>
      </rPr>
      <t xml:space="preserve"> in the MNT-1 melanoma cell line. </t>
    </r>
    <r>
      <rPr>
        <b/>
        <sz val="11"/>
        <color rgb="FF333333"/>
        <rFont val="Calibri"/>
        <family val="2"/>
        <scheme val="minor"/>
      </rPr>
      <t>2) Cisplatin</t>
    </r>
    <r>
      <rPr>
        <sz val="11"/>
        <color rgb="FF333333"/>
        <rFont val="Calibri"/>
        <family val="2"/>
        <scheme val="minor"/>
      </rPr>
      <t xml:space="preserve"> exposure triggers ligand-independent EGF receptor (EGFR) endocytosis; Stress-internalized EGFR co-segregates with exogenously expressed pre-melanosomal markers OA1 and fibrillar </t>
    </r>
    <r>
      <rPr>
        <b/>
        <sz val="11"/>
        <color rgb="FF333333"/>
        <rFont val="Calibri"/>
        <family val="2"/>
        <scheme val="minor"/>
      </rPr>
      <t>PMEL</t>
    </r>
    <r>
      <rPr>
        <sz val="11"/>
        <color rgb="FF333333"/>
        <rFont val="Calibri"/>
        <family val="2"/>
        <scheme val="minor"/>
      </rPr>
      <t xml:space="preserve">, following early endosomal sorting by the actin polymerization-promoting WASH complex; </t>
    </r>
    <r>
      <rPr>
        <b/>
        <sz val="11"/>
        <color rgb="FF333333"/>
        <rFont val="Calibri"/>
        <family val="2"/>
        <scheme val="minor"/>
      </rPr>
      <t>3)</t>
    </r>
    <r>
      <rPr>
        <sz val="11"/>
        <color rgb="FF333333"/>
        <rFont val="Calibri"/>
        <family val="2"/>
        <scheme val="minor"/>
      </rPr>
      <t xml:space="preserve"> knockdown of gp100/PMEL sensitized the cells to both paclitaxel and cisplatin</t>
    </r>
  </si>
  <si>
    <r>
      <rPr>
        <b/>
        <sz val="11"/>
        <color rgb="FF333333"/>
        <rFont val="Calibri"/>
        <family val="2"/>
        <scheme val="minor"/>
      </rPr>
      <t>1) cisplatin</t>
    </r>
    <r>
      <rPr>
        <sz val="11"/>
        <color rgb="FF333333"/>
        <rFont val="Calibri"/>
        <family val="2"/>
        <scheme val="minor"/>
      </rPr>
      <t xml:space="preserve"> at 6 micrograms/ml caused more than 5-10 fold increases in </t>
    </r>
    <r>
      <rPr>
        <b/>
        <sz val="11"/>
        <color rgb="FF333333"/>
        <rFont val="Calibri"/>
        <family val="2"/>
        <scheme val="minor"/>
      </rPr>
      <t>PML</t>
    </r>
    <r>
      <rPr>
        <sz val="11"/>
        <color rgb="FF333333"/>
        <rFont val="Calibri"/>
        <family val="2"/>
        <scheme val="minor"/>
      </rPr>
      <t xml:space="preserve"> protein in hela cells; the induction is a </t>
    </r>
    <r>
      <rPr>
        <u/>
        <sz val="11"/>
        <color rgb="FF333333"/>
        <rFont val="Calibri"/>
        <family val="2"/>
        <scheme val="minor"/>
      </rPr>
      <t>post-transcriptional</t>
    </r>
    <r>
      <rPr>
        <sz val="11"/>
        <color rgb="FF333333"/>
        <rFont val="Calibri"/>
        <family val="2"/>
        <scheme val="minor"/>
      </rPr>
      <t xml:space="preserve"> event. </t>
    </r>
    <r>
      <rPr>
        <b/>
        <sz val="11"/>
        <color rgb="FF333333"/>
        <rFont val="Calibri"/>
        <family val="2"/>
        <scheme val="minor"/>
      </rPr>
      <t>2)</t>
    </r>
    <r>
      <rPr>
        <sz val="11"/>
        <color rgb="FF333333"/>
        <rFont val="Calibri"/>
        <family val="2"/>
        <scheme val="minor"/>
      </rPr>
      <t xml:space="preserve"> </t>
    </r>
    <r>
      <rPr>
        <b/>
        <sz val="11"/>
        <color rgb="FF333333"/>
        <rFont val="Calibri"/>
        <family val="2"/>
        <scheme val="minor"/>
      </rPr>
      <t>PML</t>
    </r>
    <r>
      <rPr>
        <sz val="11"/>
        <color rgb="FF333333"/>
        <rFont val="Calibri"/>
        <family val="2"/>
        <scheme val="minor"/>
      </rPr>
      <t xml:space="preserve"> expression in </t>
    </r>
    <r>
      <rPr>
        <b/>
        <sz val="11"/>
        <color rgb="FF333333"/>
        <rFont val="Calibri"/>
        <family val="2"/>
        <scheme val="minor"/>
      </rPr>
      <t>p53</t>
    </r>
    <r>
      <rPr>
        <sz val="11"/>
        <color rgb="FF333333"/>
        <rFont val="Calibri"/>
        <family val="2"/>
        <scheme val="minor"/>
      </rPr>
      <t xml:space="preserve"> transduced cells were 5-10 fold higher than the control, indicating that the enhanced expression of PML is apparently dependent on the p53 pathway. </t>
    </r>
    <r>
      <rPr>
        <b/>
        <sz val="11"/>
        <color rgb="FF333333"/>
        <rFont val="Calibri"/>
        <family val="2"/>
        <scheme val="minor"/>
      </rPr>
      <t xml:space="preserve">3) </t>
    </r>
    <r>
      <rPr>
        <sz val="11"/>
        <color rgb="FF333333"/>
        <rFont val="Calibri"/>
        <family val="2"/>
        <scheme val="minor"/>
      </rPr>
      <t xml:space="preserve">combining use of CDDP with CK2 siRNA or inhibitor is more efficient in suppressing </t>
    </r>
    <r>
      <rPr>
        <b/>
        <sz val="11"/>
        <color rgb="FF333333"/>
        <rFont val="Calibri"/>
        <family val="2"/>
        <scheme val="minor"/>
      </rPr>
      <t>NSCLC</t>
    </r>
    <r>
      <rPr>
        <sz val="11"/>
        <color rgb="FF333333"/>
        <rFont val="Calibri"/>
        <family val="2"/>
        <scheme val="minor"/>
      </rPr>
      <t xml:space="preserve"> cancer cell growth and promoting apoptosis than use of </t>
    </r>
    <r>
      <rPr>
        <b/>
        <sz val="11"/>
        <color rgb="FF333333"/>
        <rFont val="Calibri"/>
        <family val="2"/>
        <scheme val="minor"/>
      </rPr>
      <t>CDDP</t>
    </r>
    <r>
      <rPr>
        <sz val="11"/>
        <color rgb="FF333333"/>
        <rFont val="Calibri"/>
        <family val="2"/>
        <scheme val="minor"/>
      </rPr>
      <t xml:space="preserve"> alone; CK2 suppresses proapoptosis gene </t>
    </r>
    <r>
      <rPr>
        <b/>
        <sz val="11"/>
        <color rgb="FF333333"/>
        <rFont val="Calibri"/>
        <family val="2"/>
        <scheme val="minor"/>
      </rPr>
      <t>PML</t>
    </r>
    <r>
      <rPr>
        <sz val="11"/>
        <color rgb="FF333333"/>
        <rFont val="Calibri"/>
        <family val="2"/>
        <scheme val="minor"/>
      </rPr>
      <t xml:space="preserve">. </t>
    </r>
    <r>
      <rPr>
        <b/>
        <sz val="11"/>
        <color rgb="FF333333"/>
        <rFont val="Calibri"/>
        <family val="2"/>
        <scheme val="minor"/>
      </rPr>
      <t>4)</t>
    </r>
    <r>
      <rPr>
        <sz val="11"/>
        <color rgb="FF333333"/>
        <rFont val="Calibri"/>
        <family val="2"/>
        <scheme val="minor"/>
      </rPr>
      <t xml:space="preserve"> High-OXPHOS HGSOCs showed a stronger PML histologic score. </t>
    </r>
    <r>
      <rPr>
        <b/>
        <sz val="11"/>
        <color rgb="FF333333"/>
        <rFont val="Calibri"/>
        <family val="2"/>
        <scheme val="minor"/>
      </rPr>
      <t xml:space="preserve">5) </t>
    </r>
    <r>
      <rPr>
        <sz val="11"/>
        <color rgb="FF333333"/>
        <rFont val="Calibri"/>
        <family val="2"/>
        <scheme val="minor"/>
      </rPr>
      <t xml:space="preserve">High-PML HScores were associated with better patient prognosis in </t>
    </r>
    <r>
      <rPr>
        <b/>
        <sz val="11"/>
        <color rgb="FF333333"/>
        <rFont val="Calibri"/>
        <family val="2"/>
        <scheme val="minor"/>
      </rPr>
      <t>HGSOC</t>
    </r>
    <r>
      <rPr>
        <sz val="11"/>
        <color rgb="FF333333"/>
        <rFont val="Calibri"/>
        <family val="2"/>
        <scheme val="minor"/>
      </rPr>
      <t xml:space="preserve"> patients. </t>
    </r>
    <r>
      <rPr>
        <b/>
        <sz val="11"/>
        <color rgb="FF333333"/>
        <rFont val="Calibri"/>
        <family val="2"/>
        <scheme val="minor"/>
      </rPr>
      <t xml:space="preserve">6) </t>
    </r>
    <r>
      <rPr>
        <sz val="11"/>
        <color rgb="FF333333"/>
        <rFont val="Calibri"/>
        <family val="2"/>
        <scheme val="minor"/>
      </rPr>
      <t xml:space="preserve">PML and PGC-1a silencing significantly reduced the chemosensitivity (toward </t>
    </r>
    <r>
      <rPr>
        <b/>
        <sz val="11"/>
        <color rgb="FF333333"/>
        <rFont val="Calibri"/>
        <family val="2"/>
        <scheme val="minor"/>
      </rPr>
      <t>Platinum</t>
    </r>
    <r>
      <rPr>
        <sz val="11"/>
        <color rgb="FF333333"/>
        <rFont val="Calibri"/>
        <family val="2"/>
        <scheme val="minor"/>
      </rPr>
      <t xml:space="preserve">) of high-OXPHOS OCCLs. </t>
    </r>
    <r>
      <rPr>
        <b/>
        <sz val="11"/>
        <color rgb="FF333333"/>
        <rFont val="Calibri"/>
        <family val="2"/>
        <scheme val="minor"/>
      </rPr>
      <t xml:space="preserve">7) </t>
    </r>
    <r>
      <rPr>
        <sz val="11"/>
        <color rgb="FF333333"/>
        <rFont val="Calibri"/>
        <family val="2"/>
        <scheme val="minor"/>
      </rPr>
      <t xml:space="preserve">PML silencing in mouse models also significantly reduced chemosensitivity in vivo. </t>
    </r>
  </si>
  <si>
    <r>
      <rPr>
        <b/>
        <sz val="11"/>
        <color rgb="FF333333"/>
        <rFont val="Calibri"/>
        <family val="2"/>
        <scheme val="minor"/>
      </rPr>
      <t>1)</t>
    </r>
    <r>
      <rPr>
        <sz val="11"/>
        <color rgb="FF333333"/>
        <rFont val="Calibri"/>
        <family val="2"/>
        <scheme val="minor"/>
      </rPr>
      <t xml:space="preserve"> The expression of PMS2 is inversely correlated with Akt activity in human ovarian cancer in</t>
    </r>
    <r>
      <rPr>
        <b/>
        <sz val="11"/>
        <color rgb="FF333333"/>
        <rFont val="Calibri"/>
        <family val="2"/>
        <scheme val="minor"/>
      </rPr>
      <t xml:space="preserve"> EOC</t>
    </r>
    <r>
      <rPr>
        <sz val="11"/>
        <color rgb="FF333333"/>
        <rFont val="Calibri"/>
        <family val="2"/>
        <scheme val="minor"/>
      </rPr>
      <t xml:space="preserve"> cell lines and tissues; the PMS2 expression was negatively correlated with primary tumor stage in human EOC tissues </t>
    </r>
    <r>
      <rPr>
        <b/>
        <sz val="11"/>
        <color rgb="FF333333"/>
        <rFont val="Calibri"/>
        <family val="2"/>
        <scheme val="minor"/>
      </rPr>
      <t xml:space="preserve">2) </t>
    </r>
    <r>
      <rPr>
        <sz val="11"/>
        <color rgb="FF333333"/>
        <rFont val="Calibri"/>
        <family val="2"/>
        <scheme val="minor"/>
      </rPr>
      <t xml:space="preserve">Akt could directly bind to PMS2 and cause degradation of PMS2 in EOC cells. </t>
    </r>
    <r>
      <rPr>
        <b/>
        <sz val="11"/>
        <color rgb="FF333333"/>
        <rFont val="Calibri"/>
        <family val="2"/>
        <scheme val="minor"/>
      </rPr>
      <t>3) </t>
    </r>
    <r>
      <rPr>
        <sz val="11"/>
        <color rgb="FF333333"/>
        <rFont val="Calibri"/>
        <family val="2"/>
        <scheme val="minor"/>
      </rPr>
      <t>PMS2 promotes cisplatin-induced apoptosis; and was required for </t>
    </r>
    <r>
      <rPr>
        <b/>
        <sz val="11"/>
        <color rgb="FF333333"/>
        <rFont val="Calibri"/>
        <family val="2"/>
        <scheme val="minor"/>
      </rPr>
      <t>cisplatin</t>
    </r>
    <r>
      <rPr>
        <sz val="11"/>
        <color rgb="FF333333"/>
        <rFont val="Calibri"/>
        <family val="2"/>
        <scheme val="minor"/>
      </rPr>
      <t>-induced apoptosis and cell cycle arrest in G2/M phase. </t>
    </r>
    <r>
      <rPr>
        <b/>
        <sz val="11"/>
        <color rgb="FF333333"/>
        <rFont val="Calibri"/>
        <family val="2"/>
        <scheme val="minor"/>
      </rPr>
      <t>4)</t>
    </r>
    <r>
      <rPr>
        <sz val="11"/>
        <color rgb="FF333333"/>
        <rFont val="Calibri"/>
        <family val="2"/>
        <scheme val="minor"/>
      </rPr>
      <t xml:space="preserve"> simple recognition of the cisplatin adduct by the MSH2/MSH6 heterodimer is not sufficient for full detector function, but that PMS2 is also required for the pro-apoptotic signal to be generated from this detector. </t>
    </r>
    <r>
      <rPr>
        <b/>
        <sz val="11"/>
        <color rgb="FF333333"/>
        <rFont val="Calibri"/>
        <family val="2"/>
        <scheme val="minor"/>
      </rPr>
      <t>5)</t>
    </r>
    <r>
      <rPr>
        <sz val="11"/>
        <color rgb="FF333333"/>
        <rFont val="Calibri"/>
        <family val="2"/>
        <scheme val="minor"/>
      </rPr>
      <t xml:space="preserve"> Interaction of mismatch repair protein PMS2 and the p53-related transcription factor p73 in apoptosis response to cisplatin. </t>
    </r>
  </si>
  <si>
    <r>
      <rPr>
        <b/>
        <sz val="11"/>
        <color rgb="FF333333"/>
        <rFont val="Calibri"/>
        <family val="2"/>
        <scheme val="minor"/>
      </rPr>
      <t xml:space="preserve">1) </t>
    </r>
    <r>
      <rPr>
        <sz val="11"/>
        <color rgb="FF333333"/>
        <rFont val="Calibri"/>
        <family val="2"/>
        <scheme val="minor"/>
      </rPr>
      <t xml:space="preserve">the prognostic complementarity between de novo pyrimidine synthesis and nucleotide excision repair expression in a total of 570 bladder urothelial carcinoma patients. </t>
    </r>
    <r>
      <rPr>
        <b/>
        <sz val="11"/>
        <color rgb="FF333333"/>
        <rFont val="Calibri"/>
        <family val="2"/>
        <scheme val="minor"/>
      </rPr>
      <t xml:space="preserve">2) </t>
    </r>
    <r>
      <rPr>
        <sz val="11"/>
        <color rgb="FF333333"/>
        <rFont val="Calibri"/>
        <family val="2"/>
        <scheme val="minor"/>
      </rPr>
      <t xml:space="preserve">the de novo pyrimidine synthesis gene CAD is associated with poor survival (P = 0.008) and is co-altered with the nucleotide excision repair gene </t>
    </r>
    <r>
      <rPr>
        <b/>
        <sz val="11"/>
        <color rgb="FF333333"/>
        <rFont val="Calibri"/>
        <family val="2"/>
        <scheme val="minor"/>
      </rPr>
      <t>POLD2</t>
    </r>
    <r>
      <rPr>
        <sz val="11"/>
        <color rgb="FF333333"/>
        <rFont val="Calibri"/>
        <family val="2"/>
        <scheme val="minor"/>
      </rPr>
      <t>. </t>
    </r>
    <r>
      <rPr>
        <b/>
        <sz val="11"/>
        <color rgb="FF333333"/>
        <rFont val="Calibri"/>
        <family val="2"/>
        <scheme val="minor"/>
      </rPr>
      <t>3)</t>
    </r>
    <r>
      <rPr>
        <sz val="11"/>
        <color rgb="FF333333"/>
        <rFont val="Calibri"/>
        <family val="2"/>
        <scheme val="minor"/>
      </rPr>
      <t xml:space="preserve"> Expression of each gene was associated with cisplatin-based therapy resistance, and accordingly, CADhighPOLD2high patients were associated with worse survival than CADhighPOLD2low and CADlowPOLD2high patients. </t>
    </r>
    <r>
      <rPr>
        <b/>
        <sz val="11"/>
        <color rgb="FF333333"/>
        <rFont val="Calibri"/>
        <family val="2"/>
        <scheme val="minor"/>
      </rPr>
      <t xml:space="preserve">4) </t>
    </r>
    <r>
      <rPr>
        <sz val="11"/>
        <color rgb="FF333333"/>
        <rFont val="Calibri"/>
        <family val="2"/>
        <scheme val="minor"/>
      </rPr>
      <t>The purified four-subunit Pol ζ4 (Rev3-Rev7-</t>
    </r>
    <r>
      <rPr>
        <b/>
        <sz val="11"/>
        <color rgb="FF333333"/>
        <rFont val="Calibri"/>
        <family val="2"/>
        <scheme val="minor"/>
      </rPr>
      <t>PolD2</t>
    </r>
    <r>
      <rPr>
        <sz val="11"/>
        <color rgb="FF333333"/>
        <rFont val="Calibri"/>
        <family val="2"/>
        <scheme val="minor"/>
      </rPr>
      <t xml:space="preserve">-PolD3) is much more efficient and more processive at bypassing a 1,2-intrastrand d(GpG)-cisplatin cross-link than the two-subunit Pol ζ2 (Rev3-Rev7). </t>
    </r>
  </si>
  <si>
    <r>
      <rPr>
        <b/>
        <sz val="11"/>
        <color rgb="FF333333"/>
        <rFont val="Calibri"/>
        <family val="2"/>
        <scheme val="minor"/>
      </rPr>
      <t xml:space="preserve">1) </t>
    </r>
    <r>
      <rPr>
        <sz val="11"/>
        <color rgb="FF333333"/>
        <rFont val="Calibri"/>
        <family val="2"/>
        <scheme val="minor"/>
      </rPr>
      <t xml:space="preserve">Overexpression of </t>
    </r>
    <r>
      <rPr>
        <b/>
        <sz val="11"/>
        <color rgb="FF333333"/>
        <rFont val="Calibri"/>
        <family val="2"/>
        <scheme val="minor"/>
      </rPr>
      <t>OCT4</t>
    </r>
    <r>
      <rPr>
        <sz val="11"/>
        <color rgb="FF333333"/>
        <rFont val="Calibri"/>
        <family val="2"/>
        <scheme val="minor"/>
      </rPr>
      <t xml:space="preserve"> enhanced the resistance of</t>
    </r>
    <r>
      <rPr>
        <b/>
        <sz val="11"/>
        <color rgb="FF333333"/>
        <rFont val="Calibri"/>
        <family val="2"/>
        <scheme val="minor"/>
      </rPr>
      <t xml:space="preserve"> HCC</t>
    </r>
    <r>
      <rPr>
        <sz val="11"/>
        <color rgb="FF333333"/>
        <rFont val="Calibri"/>
        <family val="2"/>
        <scheme val="minor"/>
      </rPr>
      <t xml:space="preserve"> cells to chemotherapeutic drugs by activating AKT signaling pathways. </t>
    </r>
    <r>
      <rPr>
        <b/>
        <sz val="11"/>
        <color rgb="FF333333"/>
        <rFont val="Calibri"/>
        <family val="2"/>
        <scheme val="minor"/>
      </rPr>
      <t>2)</t>
    </r>
    <r>
      <rPr>
        <sz val="11"/>
        <color rgb="FF333333"/>
        <rFont val="Calibri"/>
        <family val="2"/>
        <scheme val="minor"/>
      </rPr>
      <t xml:space="preserve"> Elevated OCT4 expression was observed in oxaliplatin‐resistant </t>
    </r>
    <r>
      <rPr>
        <b/>
        <sz val="11"/>
        <color rgb="FF333333"/>
        <rFont val="Calibri"/>
        <family val="2"/>
        <scheme val="minor"/>
      </rPr>
      <t>colorectal</t>
    </r>
    <r>
      <rPr>
        <sz val="11"/>
        <color rgb="FF333333"/>
        <rFont val="Calibri"/>
        <family val="2"/>
        <scheme val="minor"/>
      </rPr>
      <t xml:space="preserve"> cancer (CRC) cell lines with CSC properties </t>
    </r>
    <r>
      <rPr>
        <b/>
        <sz val="11"/>
        <color rgb="FF333333"/>
        <rFont val="Calibri"/>
        <family val="2"/>
        <scheme val="minor"/>
      </rPr>
      <t xml:space="preserve">3) </t>
    </r>
    <r>
      <rPr>
        <sz val="11"/>
        <color rgb="FF333333"/>
        <rFont val="Calibri"/>
        <family val="2"/>
        <scheme val="minor"/>
      </rPr>
      <t xml:space="preserve">OCT4 could activate Signal Transducer and Activator of Transcription 3 (STAT3) pathway, leading to an increase in antiapoptotic property of chemoresistant CRC cells. In </t>
    </r>
    <r>
      <rPr>
        <b/>
        <sz val="11"/>
        <color rgb="FF333333"/>
        <rFont val="Calibri"/>
        <family val="2"/>
        <scheme val="minor"/>
      </rPr>
      <t>head and neck</t>
    </r>
    <r>
      <rPr>
        <sz val="11"/>
        <color rgb="FF333333"/>
        <rFont val="Calibri"/>
        <family val="2"/>
        <scheme val="minor"/>
      </rPr>
      <t xml:space="preserve"> cancer, forced </t>
    </r>
    <r>
      <rPr>
        <b/>
        <sz val="11"/>
        <color rgb="FF333333"/>
        <rFont val="Calibri"/>
        <family val="2"/>
        <scheme val="minor"/>
      </rPr>
      <t>OCT4</t>
    </r>
    <r>
      <rPr>
        <sz val="11"/>
        <color rgb="FF333333"/>
        <rFont val="Calibri"/>
        <family val="2"/>
        <scheme val="minor"/>
      </rPr>
      <t xml:space="preserve"> expression promoted the conversion of differentiated cells into CSC and conferred resistance to </t>
    </r>
    <r>
      <rPr>
        <b/>
        <sz val="11"/>
        <color rgb="FF333333"/>
        <rFont val="Calibri"/>
        <family val="2"/>
        <scheme val="minor"/>
      </rPr>
      <t>cisplatin</t>
    </r>
    <r>
      <rPr>
        <sz val="11"/>
        <color rgb="FF333333"/>
        <rFont val="Calibri"/>
        <family val="2"/>
        <scheme val="minor"/>
      </rPr>
      <t xml:space="preserve">. </t>
    </r>
    <r>
      <rPr>
        <b/>
        <sz val="11"/>
        <color rgb="FF333333"/>
        <rFont val="Calibri"/>
        <family val="2"/>
        <scheme val="minor"/>
      </rPr>
      <t>4)</t>
    </r>
    <r>
      <rPr>
        <sz val="11"/>
        <color rgb="FF333333"/>
        <rFont val="Calibri"/>
        <family val="2"/>
        <scheme val="minor"/>
      </rPr>
      <t xml:space="preserve"> Sphere-forming/self-renewal capability was increased in </t>
    </r>
    <r>
      <rPr>
        <b/>
        <sz val="11"/>
        <color rgb="FF333333"/>
        <rFont val="Calibri"/>
        <family val="2"/>
        <scheme val="minor"/>
      </rPr>
      <t>cisplatin</t>
    </r>
    <r>
      <rPr>
        <sz val="11"/>
        <color rgb="FF333333"/>
        <rFont val="Calibri"/>
        <family val="2"/>
        <scheme val="minor"/>
      </rPr>
      <t xml:space="preserve">-resistant </t>
    </r>
    <r>
      <rPr>
        <b/>
        <sz val="11"/>
        <color rgb="FF333333"/>
        <rFont val="Calibri"/>
        <family val="2"/>
        <scheme val="minor"/>
      </rPr>
      <t>oral</t>
    </r>
    <r>
      <rPr>
        <sz val="11"/>
        <color rgb="FF333333"/>
        <rFont val="Calibri"/>
        <family val="2"/>
        <scheme val="minor"/>
      </rPr>
      <t xml:space="preserve"> squamous cell carcinoma OC2 cells. </t>
    </r>
    <r>
      <rPr>
        <b/>
        <sz val="11"/>
        <color rgb="FF333333"/>
        <rFont val="Calibri"/>
        <family val="2"/>
        <scheme val="minor"/>
      </rPr>
      <t>5)</t>
    </r>
    <r>
      <rPr>
        <sz val="11"/>
        <color rgb="FF333333"/>
        <rFont val="Calibri"/>
        <family val="2"/>
        <scheme val="minor"/>
      </rPr>
      <t xml:space="preserve"> </t>
    </r>
    <r>
      <rPr>
        <b/>
        <sz val="11"/>
        <color rgb="FF333333"/>
        <rFont val="Calibri"/>
        <family val="2"/>
        <scheme val="minor"/>
      </rPr>
      <t>Cisplatin</t>
    </r>
    <r>
      <rPr>
        <sz val="11"/>
        <color rgb="FF333333"/>
        <rFont val="Calibri"/>
        <family val="2"/>
        <scheme val="minor"/>
      </rPr>
      <t xml:space="preserve">-resistant OC2 cells highly expressed the stemness markers (Nanog, </t>
    </r>
    <r>
      <rPr>
        <b/>
        <sz val="11"/>
        <color rgb="FF333333"/>
        <rFont val="Calibri"/>
        <family val="2"/>
        <scheme val="minor"/>
      </rPr>
      <t>Oct4</t>
    </r>
    <r>
      <rPr>
        <sz val="11"/>
        <color rgb="FF333333"/>
        <rFont val="Calibri"/>
        <family val="2"/>
        <scheme val="minor"/>
      </rPr>
      <t xml:space="preserve">, Bmi1, CD117, CD133, and ABCG2). </t>
    </r>
    <r>
      <rPr>
        <b/>
        <sz val="11"/>
        <color rgb="FF333333"/>
        <rFont val="Calibri"/>
        <family val="2"/>
        <scheme val="minor"/>
      </rPr>
      <t>6)</t>
    </r>
    <r>
      <rPr>
        <sz val="11"/>
        <color rgb="FF333333"/>
        <rFont val="Calibri"/>
        <family val="2"/>
        <scheme val="minor"/>
      </rPr>
      <t xml:space="preserve"> cisplatin-resistant OC2 cells increased migration/invasion/clonogenicity ability. </t>
    </r>
    <r>
      <rPr>
        <b/>
        <sz val="11"/>
        <color rgb="FF333333"/>
        <rFont val="Calibri"/>
        <family val="2"/>
        <scheme val="minor"/>
      </rPr>
      <t xml:space="preserve">6) </t>
    </r>
    <r>
      <rPr>
        <sz val="11"/>
        <color rgb="FF333333"/>
        <rFont val="Calibri"/>
        <family val="2"/>
        <scheme val="minor"/>
      </rPr>
      <t xml:space="preserve">up-regulation of </t>
    </r>
    <r>
      <rPr>
        <b/>
        <sz val="11"/>
        <color rgb="FF333333"/>
        <rFont val="Calibri"/>
        <family val="2"/>
        <scheme val="minor"/>
      </rPr>
      <t>Oct4</t>
    </r>
    <r>
      <rPr>
        <sz val="11"/>
        <color rgb="FF333333"/>
        <rFont val="Calibri"/>
        <family val="2"/>
        <scheme val="minor"/>
      </rPr>
      <t xml:space="preserve"> and Nanog expression was significantly observed in cisplatin-resistant patients with OSCC (**P &lt; 0.01).</t>
    </r>
  </si>
  <si>
    <r>
      <rPr>
        <b/>
        <sz val="11"/>
        <color rgb="FF333333"/>
        <rFont val="Calibri"/>
        <family val="2"/>
        <scheme val="minor"/>
      </rPr>
      <t xml:space="preserve">1) </t>
    </r>
    <r>
      <rPr>
        <sz val="11"/>
        <color rgb="FF333333"/>
        <rFont val="Calibri"/>
        <family val="2"/>
        <scheme val="minor"/>
      </rPr>
      <t xml:space="preserve">the expression of </t>
    </r>
    <r>
      <rPr>
        <b/>
        <sz val="11"/>
        <color rgb="FF333333"/>
        <rFont val="Calibri"/>
        <family val="2"/>
        <scheme val="minor"/>
      </rPr>
      <t>PGC1α</t>
    </r>
    <r>
      <rPr>
        <sz val="11"/>
        <color rgb="FF333333"/>
        <rFont val="Calibri"/>
        <family val="2"/>
        <scheme val="minor"/>
      </rPr>
      <t xml:space="preserve"> and level of mitochondrial biogenesis were higher in cisplatin-resistant </t>
    </r>
    <r>
      <rPr>
        <b/>
        <sz val="11"/>
        <color rgb="FF333333"/>
        <rFont val="Calibri"/>
        <family val="2"/>
        <scheme val="minor"/>
      </rPr>
      <t>OC</t>
    </r>
    <r>
      <rPr>
        <sz val="11"/>
        <color rgb="FF333333"/>
        <rFont val="Calibri"/>
        <family val="2"/>
        <scheme val="minor"/>
      </rPr>
      <t xml:space="preserve"> cell line SKOV3/DDP compared with </t>
    </r>
    <r>
      <rPr>
        <b/>
        <sz val="11"/>
        <color rgb="FF333333"/>
        <rFont val="Calibri"/>
        <family val="2"/>
        <scheme val="minor"/>
      </rPr>
      <t>cisplatin</t>
    </r>
    <r>
      <rPr>
        <sz val="11"/>
        <color rgb="FF333333"/>
        <rFont val="Calibri"/>
        <family val="2"/>
        <scheme val="minor"/>
      </rPr>
      <t xml:space="preserve">-sensitive SKOV3 cells. </t>
    </r>
    <r>
      <rPr>
        <b/>
        <sz val="11"/>
        <color rgb="FF333333"/>
        <rFont val="Calibri"/>
        <family val="2"/>
        <scheme val="minor"/>
      </rPr>
      <t xml:space="preserve">2) </t>
    </r>
    <r>
      <rPr>
        <sz val="11"/>
        <color rgb="FF333333"/>
        <rFont val="Calibri"/>
        <family val="2"/>
        <scheme val="minor"/>
      </rPr>
      <t xml:space="preserve">SKOV3/DDP cells upregulated the expression of PGC1α and maintained mitochondrial structural and functional integrity through mitochondrial biogenesis under cisplatin stress. </t>
    </r>
    <r>
      <rPr>
        <b/>
        <sz val="11"/>
        <color rgb="FF333333"/>
        <rFont val="Calibri"/>
        <family val="2"/>
        <scheme val="minor"/>
      </rPr>
      <t>3)</t>
    </r>
    <r>
      <rPr>
        <sz val="11"/>
        <color rgb="FF333333"/>
        <rFont val="Calibri"/>
        <family val="2"/>
        <scheme val="minor"/>
      </rPr>
      <t xml:space="preserve"> Inhibiting the expression of PGC1α using short hairpin RNA led to the downregulation of mitochondrial biogenesis and high levels of apoptosis in the SKOV3/DDP cells, and cisplatin resistance was reversed in the PGC1α-deficient SKOV3/DDP cells. </t>
    </r>
    <r>
      <rPr>
        <b/>
        <sz val="11"/>
        <color rgb="FF333333"/>
        <rFont val="Calibri"/>
        <family val="2"/>
        <scheme val="minor"/>
      </rPr>
      <t>4)</t>
    </r>
    <r>
      <rPr>
        <sz val="11"/>
        <color rgb="FF333333"/>
        <rFont val="Calibri"/>
        <family val="2"/>
        <scheme val="minor"/>
      </rPr>
      <t xml:space="preserve"> ZLN005 increases their PGC-1α mRNA levels and reduces CDDP sensitivity in a  dose-
dependent manner. </t>
    </r>
    <r>
      <rPr>
        <b/>
        <sz val="11"/>
        <color rgb="FF333333"/>
        <rFont val="Calibri"/>
        <family val="2"/>
        <scheme val="minor"/>
      </rPr>
      <t>5)</t>
    </r>
    <r>
      <rPr>
        <sz val="11"/>
        <color rgb="FF333333"/>
        <rFont val="Calibri"/>
        <family val="2"/>
        <scheme val="minor"/>
      </rPr>
      <t xml:space="preserve"> In biopsy material of 3 patients, an increase in mitochondrial mass levels and a decrease in the GAPDH/MT-CO1 ratio after </t>
    </r>
    <r>
      <rPr>
        <b/>
        <sz val="11"/>
        <color rgb="FF333333"/>
        <rFont val="Calibri"/>
        <family val="2"/>
        <scheme val="minor"/>
      </rPr>
      <t>platinum-based</t>
    </r>
    <r>
      <rPr>
        <sz val="11"/>
        <color rgb="FF333333"/>
        <rFont val="Calibri"/>
        <family val="2"/>
        <scheme val="minor"/>
      </rPr>
      <t xml:space="preserve"> treatment was observed, strongly suggesting a metabolic reprograming towards a more oxidative metabolism. </t>
    </r>
  </si>
  <si>
    <r>
      <rPr>
        <b/>
        <sz val="11"/>
        <color rgb="FF333333"/>
        <rFont val="Calibri"/>
        <family val="2"/>
        <scheme val="minor"/>
      </rPr>
      <t>1)</t>
    </r>
    <r>
      <rPr>
        <sz val="11"/>
        <color rgb="FF333333"/>
        <rFont val="Calibri"/>
        <family val="2"/>
        <scheme val="minor"/>
      </rPr>
      <t xml:space="preserve"> the development of adaptive chemoresistance in the A549 non-small-cell </t>
    </r>
    <r>
      <rPr>
        <b/>
        <sz val="11"/>
        <color rgb="FF333333"/>
        <rFont val="Calibri"/>
        <family val="2"/>
        <scheme val="minor"/>
      </rPr>
      <t>lung</t>
    </r>
    <r>
      <rPr>
        <sz val="11"/>
        <color rgb="FF333333"/>
        <rFont val="Calibri"/>
        <family val="2"/>
        <scheme val="minor"/>
      </rPr>
      <t xml:space="preserve"> cancer cell line to </t>
    </r>
    <r>
      <rPr>
        <b/>
        <sz val="11"/>
        <color rgb="FF333333"/>
        <rFont val="Calibri"/>
        <family val="2"/>
        <scheme val="minor"/>
      </rPr>
      <t>CDDP</t>
    </r>
    <r>
      <rPr>
        <sz val="11"/>
        <color rgb="FF333333"/>
        <rFont val="Calibri"/>
        <family val="2"/>
        <scheme val="minor"/>
      </rPr>
      <t xml:space="preserve"> is associated with the hetero- to homoplasmic shift of a nonsynonymous mutation in </t>
    </r>
    <r>
      <rPr>
        <b/>
        <sz val="11"/>
        <color rgb="FF333333"/>
        <rFont val="Calibri"/>
        <family val="2"/>
        <scheme val="minor"/>
      </rPr>
      <t>MT-ND2</t>
    </r>
    <r>
      <rPr>
        <sz val="11"/>
        <color rgb="FF333333"/>
        <rFont val="Calibri"/>
        <family val="2"/>
        <scheme val="minor"/>
      </rPr>
      <t xml:space="preserve">, encoding the mitochondrial Complex-I subunit ND2. </t>
    </r>
    <r>
      <rPr>
        <b/>
        <sz val="11"/>
        <color rgb="FF333333"/>
        <rFont val="Calibri"/>
        <family val="2"/>
        <scheme val="minor"/>
      </rPr>
      <t xml:space="preserve">2) </t>
    </r>
    <r>
      <rPr>
        <sz val="11"/>
        <color rgb="FF333333"/>
        <rFont val="Calibri"/>
        <family val="2"/>
        <scheme val="minor"/>
      </rPr>
      <t xml:space="preserve">The mutation resulted in a 50% reduction of the NADH:ubiquinone oxidoreductase activity of the complex, which was compensated by increased biogenesis of respiratory chain complexes. </t>
    </r>
    <r>
      <rPr>
        <b/>
        <sz val="11"/>
        <color rgb="FF333333"/>
        <rFont val="Calibri"/>
        <family val="2"/>
        <scheme val="minor"/>
      </rPr>
      <t xml:space="preserve">3) </t>
    </r>
    <r>
      <rPr>
        <sz val="11"/>
        <color rgb="FF333333"/>
        <rFont val="Calibri"/>
        <family val="2"/>
        <scheme val="minor"/>
      </rPr>
      <t xml:space="preserve">The compensatory mitochondrial biogenesis was most likely mediated by the nuclear co-activators peroxisome proliferator-activated receptor gamma co-activator-1α </t>
    </r>
    <r>
      <rPr>
        <b/>
        <sz val="11"/>
        <color rgb="FF333333"/>
        <rFont val="Calibri"/>
        <family val="2"/>
        <scheme val="minor"/>
      </rPr>
      <t>(PGC-1α</t>
    </r>
    <r>
      <rPr>
        <sz val="11"/>
        <color rgb="FF333333"/>
        <rFont val="Calibri"/>
        <family val="2"/>
        <scheme val="minor"/>
      </rPr>
      <t xml:space="preserve">) and </t>
    </r>
    <r>
      <rPr>
        <b/>
        <sz val="11"/>
        <color rgb="FF333333"/>
        <rFont val="Calibri"/>
        <family val="2"/>
        <scheme val="minor"/>
      </rPr>
      <t>PGC-1β</t>
    </r>
    <r>
      <rPr>
        <sz val="11"/>
        <color rgb="FF333333"/>
        <rFont val="Calibri"/>
        <family val="2"/>
        <scheme val="minor"/>
      </rPr>
      <t>, both of which were significantly upregulated in the CDDP-resistant cells.</t>
    </r>
    <r>
      <rPr>
        <b/>
        <sz val="11"/>
        <color rgb="FF333333"/>
        <rFont val="Calibri"/>
        <family val="2"/>
        <scheme val="minor"/>
      </rPr>
      <t xml:space="preserve"> 4)</t>
    </r>
    <r>
      <rPr>
        <sz val="11"/>
        <color rgb="FF333333"/>
        <rFont val="Calibri"/>
        <family val="2"/>
        <scheme val="minor"/>
      </rPr>
      <t xml:space="preserve"> both transient and stable silencing of </t>
    </r>
    <r>
      <rPr>
        <b/>
        <sz val="11"/>
        <color rgb="FF333333"/>
        <rFont val="Calibri"/>
        <family val="2"/>
        <scheme val="minor"/>
      </rPr>
      <t>PGC-1β</t>
    </r>
    <r>
      <rPr>
        <sz val="11"/>
        <color rgb="FF333333"/>
        <rFont val="Calibri"/>
        <family val="2"/>
        <scheme val="minor"/>
      </rPr>
      <t xml:space="preserve"> re-established the sensitivity of these cells to CDDP-induced apoptosis. </t>
    </r>
    <r>
      <rPr>
        <b/>
        <sz val="11"/>
        <color rgb="FF333333"/>
        <rFont val="Calibri"/>
        <family val="2"/>
        <scheme val="minor"/>
      </rPr>
      <t>5)</t>
    </r>
    <r>
      <rPr>
        <sz val="11"/>
        <color rgb="FF333333"/>
        <rFont val="Calibri"/>
        <family val="2"/>
        <scheme val="minor"/>
      </rPr>
      <t xml:space="preserve"> the PGC-1β-mediated CDDP resistance was independent of the mitochondrial effects of the co-activator. </t>
    </r>
  </si>
  <si>
    <r>
      <rPr>
        <b/>
        <sz val="11"/>
        <color rgb="FF333333"/>
        <rFont val="Calibri"/>
        <family val="2"/>
        <scheme val="minor"/>
      </rPr>
      <t xml:space="preserve">1) </t>
    </r>
    <r>
      <rPr>
        <sz val="11"/>
        <color rgb="FF333333"/>
        <rFont val="Calibri"/>
        <family val="2"/>
        <scheme val="minor"/>
      </rPr>
      <t xml:space="preserve">overexpression of cyclin A2 is an indicator of a poor prognosis of various malignancies including </t>
    </r>
    <r>
      <rPr>
        <b/>
        <sz val="11"/>
        <color rgb="FF333333"/>
        <rFont val="Calibri"/>
        <family val="2"/>
        <scheme val="minor"/>
      </rPr>
      <t>endometrial</t>
    </r>
    <r>
      <rPr>
        <sz val="11"/>
        <color rgb="FF333333"/>
        <rFont val="Calibri"/>
        <family val="2"/>
        <scheme val="minor"/>
      </rPr>
      <t xml:space="preserve"> carcinoma. </t>
    </r>
    <r>
      <rPr>
        <b/>
        <sz val="11"/>
        <color rgb="FF333333"/>
        <rFont val="Calibri"/>
        <family val="2"/>
        <scheme val="minor"/>
      </rPr>
      <t>2)</t>
    </r>
    <r>
      <rPr>
        <sz val="11"/>
        <color rgb="FF333333"/>
        <rFont val="Calibri"/>
        <family val="2"/>
        <scheme val="minor"/>
      </rPr>
      <t xml:space="preserve"> The expression of cyclin A2 protein was increased in advanced-stage and </t>
    </r>
    <r>
      <rPr>
        <b/>
        <sz val="11"/>
        <color rgb="FF333333"/>
        <rFont val="Calibri"/>
        <family val="2"/>
        <scheme val="minor"/>
      </rPr>
      <t>chemotherapy-refractory</t>
    </r>
    <r>
      <rPr>
        <sz val="11"/>
        <color rgb="FF333333"/>
        <rFont val="Calibri"/>
        <family val="2"/>
        <scheme val="minor"/>
      </rPr>
      <t xml:space="preserve"> stage</t>
    </r>
    <r>
      <rPr>
        <b/>
        <sz val="11"/>
        <color rgb="FF333333"/>
        <rFont val="Calibri"/>
        <family val="2"/>
        <scheme val="minor"/>
      </rPr>
      <t xml:space="preserve"> endometrial</t>
    </r>
    <r>
      <rPr>
        <sz val="11"/>
        <color rgb="FF333333"/>
        <rFont val="Calibri"/>
        <family val="2"/>
        <scheme val="minor"/>
      </rPr>
      <t xml:space="preserve"> carcinomas compared with that in early-stage tumours. </t>
    </r>
    <r>
      <rPr>
        <b/>
        <sz val="11"/>
        <color rgb="FF333333"/>
        <rFont val="Calibri"/>
        <family val="2"/>
        <scheme val="minor"/>
      </rPr>
      <t>3)</t>
    </r>
    <r>
      <rPr>
        <sz val="11"/>
        <color rgb="FF333333"/>
        <rFont val="Calibri"/>
        <family val="2"/>
        <scheme val="minor"/>
      </rPr>
      <t xml:space="preserve"> The expression levels of cyclin A2 in endometrial carcinoma cell lines correlated positively with the IC(50) for </t>
    </r>
    <r>
      <rPr>
        <b/>
        <sz val="11"/>
        <color rgb="FF333333"/>
        <rFont val="Calibri"/>
        <family val="2"/>
        <scheme val="minor"/>
      </rPr>
      <t>cisplatin</t>
    </r>
    <r>
      <rPr>
        <sz val="11"/>
        <color rgb="FF333333"/>
        <rFont val="Calibri"/>
        <family val="2"/>
        <scheme val="minor"/>
      </rPr>
      <t xml:space="preserve">. Endometrial carcinoma HHUA cells that overexpressed cyclin A2 showed increased resistance to </t>
    </r>
    <r>
      <rPr>
        <b/>
        <sz val="11"/>
        <color rgb="FF333333"/>
        <rFont val="Calibri"/>
        <family val="2"/>
        <scheme val="minor"/>
      </rPr>
      <t>cisplatin</t>
    </r>
    <r>
      <rPr>
        <sz val="11"/>
        <color rgb="FF333333"/>
        <rFont val="Calibri"/>
        <family val="2"/>
        <scheme val="minor"/>
      </rPr>
      <t xml:space="preserve"> in vitro and in vivo,</t>
    </r>
    <r>
      <rPr>
        <b/>
        <sz val="11"/>
        <color rgb="FF333333"/>
        <rFont val="Calibri"/>
        <family val="2"/>
        <scheme val="minor"/>
      </rPr>
      <t xml:space="preserve"> 4) </t>
    </r>
    <r>
      <rPr>
        <sz val="11"/>
        <color rgb="FF333333"/>
        <rFont val="Calibri"/>
        <family val="2"/>
        <scheme val="minor"/>
      </rPr>
      <t xml:space="preserve">via the activation of a survival pathway, the inositol-3 phosphate kinase (PI3K) cascade. </t>
    </r>
    <r>
      <rPr>
        <b/>
        <sz val="11"/>
        <color rgb="FF333333"/>
        <rFont val="Calibri"/>
        <family val="2"/>
        <scheme val="minor"/>
      </rPr>
      <t xml:space="preserve">5) </t>
    </r>
    <r>
      <rPr>
        <sz val="11"/>
        <color rgb="FF333333"/>
        <rFont val="Calibri"/>
        <family val="2"/>
        <scheme val="minor"/>
      </rPr>
      <t xml:space="preserve">An Akt-binding protein, </t>
    </r>
    <r>
      <rPr>
        <b/>
        <sz val="11"/>
        <color rgb="FF333333"/>
        <rFont val="Calibri"/>
        <family val="2"/>
        <scheme val="minor"/>
      </rPr>
      <t>periplakin</t>
    </r>
    <r>
      <rPr>
        <sz val="11"/>
        <color rgb="FF333333"/>
        <rFont val="Calibri"/>
        <family val="2"/>
        <scheme val="minor"/>
      </rPr>
      <t xml:space="preserve">, is a novel target of cyclin A2. </t>
    </r>
    <r>
      <rPr>
        <b/>
        <sz val="11"/>
        <color rgb="FF333333"/>
        <rFont val="Calibri"/>
        <family val="2"/>
        <scheme val="minor"/>
      </rPr>
      <t xml:space="preserve">6) </t>
    </r>
    <r>
      <rPr>
        <sz val="11"/>
        <color rgb="FF333333"/>
        <rFont val="Calibri"/>
        <family val="2"/>
        <scheme val="minor"/>
      </rPr>
      <t xml:space="preserve">The cyclin A2-induced up-regulation of </t>
    </r>
    <r>
      <rPr>
        <b/>
        <sz val="11"/>
        <color rgb="FF333333"/>
        <rFont val="Calibri"/>
        <family val="2"/>
        <scheme val="minor"/>
      </rPr>
      <t>periplakin</t>
    </r>
    <r>
      <rPr>
        <sz val="11"/>
        <color rgb="FF333333"/>
        <rFont val="Calibri"/>
        <family val="2"/>
        <scheme val="minor"/>
      </rPr>
      <t xml:space="preserve"> was mediated via direct binding of Sp1 to the promoter that was activated by cyclin A2 along with chromatin remodelling involving CBP/p300, </t>
    </r>
    <r>
      <rPr>
        <b/>
        <sz val="11"/>
        <color rgb="FF333333"/>
        <rFont val="Calibri"/>
        <family val="2"/>
        <scheme val="minor"/>
      </rPr>
      <t xml:space="preserve">7) </t>
    </r>
    <r>
      <rPr>
        <sz val="11"/>
        <color rgb="FF333333"/>
        <rFont val="Calibri"/>
        <family val="2"/>
        <scheme val="minor"/>
      </rPr>
      <t>the siRNA-mediated silencing of periplakin suppressed the PI3K pathway. </t>
    </r>
  </si>
  <si>
    <r>
      <rPr>
        <b/>
        <sz val="11"/>
        <color rgb="FF333333"/>
        <rFont val="Calibri"/>
        <family val="2"/>
        <scheme val="minor"/>
      </rPr>
      <t>1)</t>
    </r>
    <r>
      <rPr>
        <sz val="11"/>
        <color rgb="FF333333"/>
        <rFont val="Calibri"/>
        <family val="2"/>
        <scheme val="minor"/>
      </rPr>
      <t xml:space="preserve"> Protein kinase C β inhibits autophagy and sensitizes cervical cancer Hela cells to cisplatin. </t>
    </r>
    <r>
      <rPr>
        <b/>
        <sz val="11"/>
        <color rgb="FF333333"/>
        <rFont val="Calibri"/>
        <family val="2"/>
        <scheme val="minor"/>
      </rPr>
      <t xml:space="preserve">2) </t>
    </r>
    <r>
      <rPr>
        <sz val="11"/>
        <color rgb="FF333333"/>
        <rFont val="Calibri"/>
        <family val="2"/>
        <scheme val="minor"/>
      </rPr>
      <t xml:space="preserve">RNA interference (RNAi) and in vitro phosphorylation studies revealed that PKC isoforms alpha, </t>
    </r>
    <r>
      <rPr>
        <b/>
        <sz val="11"/>
        <color rgb="FF333333"/>
        <rFont val="Calibri"/>
        <family val="2"/>
        <scheme val="minor"/>
      </rPr>
      <t>beta</t>
    </r>
    <r>
      <rPr>
        <sz val="11"/>
        <color rgb="FF333333"/>
        <rFont val="Calibri"/>
        <family val="2"/>
        <scheme val="minor"/>
      </rPr>
      <t>, delta, epsilon, zeta specifically involved in</t>
    </r>
    <r>
      <rPr>
        <b/>
        <sz val="11"/>
        <color rgb="FF333333"/>
        <rFont val="Calibri"/>
        <family val="2"/>
        <scheme val="minor"/>
      </rPr>
      <t xml:space="preserve"> telomerase</t>
    </r>
    <r>
      <rPr>
        <sz val="11"/>
        <color rgb="FF333333"/>
        <rFont val="Calibri"/>
        <family val="2"/>
        <scheme val="minor"/>
      </rPr>
      <t xml:space="preserve"> regulation, and the phosphorylation target was on hTERT. </t>
    </r>
    <r>
      <rPr>
        <b/>
        <sz val="11"/>
        <color rgb="FF333333"/>
        <rFont val="Calibri"/>
        <family val="2"/>
        <scheme val="minor"/>
      </rPr>
      <t>3)</t>
    </r>
    <r>
      <rPr>
        <sz val="11"/>
        <color rgb="FF333333"/>
        <rFont val="Calibri"/>
        <family val="2"/>
        <scheme val="minor"/>
      </rPr>
      <t xml:space="preserve"> A decrease in cPKC alpha and-beta and an increase in nPKC delta were associated with the cDDP-resistant phenotype. </t>
    </r>
    <r>
      <rPr>
        <b/>
        <sz val="11"/>
        <color rgb="FF333333"/>
        <rFont val="Calibri"/>
        <family val="2"/>
        <scheme val="minor"/>
      </rPr>
      <t xml:space="preserve">4) </t>
    </r>
    <r>
      <rPr>
        <sz val="11"/>
        <color rgb="FF333333"/>
        <rFont val="Calibri"/>
        <family val="2"/>
        <scheme val="minor"/>
      </rPr>
      <t xml:space="preserve">There was a trend toward lower overall survival among malignant pleural mesothelioma patients expressing above-median </t>
    </r>
    <r>
      <rPr>
        <b/>
        <sz val="11"/>
        <color rgb="FF333333"/>
        <rFont val="Calibri"/>
        <family val="2"/>
        <scheme val="minor"/>
      </rPr>
      <t>PKCbeta1</t>
    </r>
    <r>
      <rPr>
        <sz val="11"/>
        <color rgb="FF333333"/>
        <rFont val="Calibri"/>
        <family val="2"/>
        <scheme val="minor"/>
      </rPr>
      <t xml:space="preserve"> (P=0.064), but not PKCbeta2. </t>
    </r>
    <r>
      <rPr>
        <b/>
        <sz val="11"/>
        <color rgb="FF333333"/>
        <rFont val="Calibri"/>
        <family val="2"/>
        <scheme val="minor"/>
      </rPr>
      <t xml:space="preserve">5) </t>
    </r>
    <r>
      <rPr>
        <sz val="11"/>
        <color rgb="FF333333"/>
        <rFont val="Calibri"/>
        <family val="2"/>
        <scheme val="minor"/>
      </rPr>
      <t xml:space="preserve">Treatment of MPM cell lines with PKC beta inhibitor enzastaurin revealed an IC50 of 5 micromol/l, and strong synergism was observed when combined with </t>
    </r>
    <r>
      <rPr>
        <b/>
        <sz val="11"/>
        <color rgb="FF333333"/>
        <rFont val="Calibri"/>
        <family val="2"/>
        <scheme val="minor"/>
      </rPr>
      <t>cisplatin</t>
    </r>
    <r>
      <rPr>
        <sz val="11"/>
        <color rgb="FF333333"/>
        <rFont val="Calibri"/>
        <family val="2"/>
        <scheme val="minor"/>
      </rPr>
      <t xml:space="preserve">. </t>
    </r>
  </si>
  <si>
    <r>
      <rPr>
        <b/>
        <sz val="11"/>
        <color rgb="FF333333"/>
        <rFont val="Calibri"/>
        <family val="2"/>
        <scheme val="minor"/>
      </rPr>
      <t>1)</t>
    </r>
    <r>
      <rPr>
        <sz val="11"/>
        <color rgb="FF333333"/>
        <rFont val="Calibri"/>
        <family val="2"/>
        <scheme val="minor"/>
      </rPr>
      <t xml:space="preserve"> The 24-hour treatment of </t>
    </r>
    <r>
      <rPr>
        <b/>
        <sz val="11"/>
        <color rgb="FF333333"/>
        <rFont val="Calibri"/>
        <family val="2"/>
        <scheme val="minor"/>
      </rPr>
      <t>trypsin</t>
    </r>
    <r>
      <rPr>
        <sz val="11"/>
        <color rgb="FF333333"/>
        <rFont val="Calibri"/>
        <family val="2"/>
        <scheme val="minor"/>
      </rPr>
      <t xml:space="preserve"> inhibitor MsTI in the cell culture medium decreased the clonogenic survival of MCF7 and HeLa cells in a dose-dependent manner and enhanced </t>
    </r>
    <r>
      <rPr>
        <b/>
        <sz val="11"/>
        <color rgb="FF333333"/>
        <rFont val="Calibri"/>
        <family val="2"/>
        <scheme val="minor"/>
      </rPr>
      <t>cisplatin</t>
    </r>
    <r>
      <rPr>
        <sz val="11"/>
        <color rgb="FF333333"/>
        <rFont val="Calibri"/>
        <family val="2"/>
        <scheme val="minor"/>
      </rPr>
      <t xml:space="preserve">-induced cytotoxicity. </t>
    </r>
    <r>
      <rPr>
        <b/>
        <sz val="11"/>
        <color rgb="FF333333"/>
        <rFont val="Calibri"/>
        <family val="2"/>
        <scheme val="minor"/>
      </rPr>
      <t xml:space="preserve">2) </t>
    </r>
    <r>
      <rPr>
        <sz val="11"/>
        <color rgb="FF333333"/>
        <rFont val="Calibri"/>
        <family val="2"/>
        <scheme val="minor"/>
      </rPr>
      <t xml:space="preserve">The presence of MsTI during the entire incubation period reduced the D37 of cisplatin by 40% in both the cell lines. </t>
    </r>
    <r>
      <rPr>
        <b/>
        <sz val="11"/>
        <color rgb="FF333333"/>
        <rFont val="Calibri"/>
        <family val="2"/>
        <scheme val="minor"/>
      </rPr>
      <t>3)</t>
    </r>
    <r>
      <rPr>
        <sz val="11"/>
        <color rgb="FF333333"/>
        <rFont val="Calibri"/>
        <family val="2"/>
        <scheme val="minor"/>
      </rPr>
      <t xml:space="preserve"> </t>
    </r>
    <r>
      <rPr>
        <b/>
        <sz val="11"/>
        <color rgb="FF333333"/>
        <rFont val="Calibri"/>
        <family val="2"/>
        <scheme val="minor"/>
      </rPr>
      <t>PRSS1</t>
    </r>
    <r>
      <rPr>
        <sz val="11"/>
        <color rgb="FF333333"/>
        <rFont val="Calibri"/>
        <family val="2"/>
        <scheme val="minor"/>
      </rPr>
      <t xml:space="preserve"> expression levels in platinum-resistant samples (tissue/cell) were significantly higher than in samples sensitive to </t>
    </r>
    <r>
      <rPr>
        <b/>
        <sz val="11"/>
        <color rgb="FF333333"/>
        <rFont val="Calibri"/>
        <family val="2"/>
        <scheme val="minor"/>
      </rPr>
      <t>platinum</t>
    </r>
    <r>
      <rPr>
        <sz val="11"/>
        <color rgb="FF333333"/>
        <rFont val="Calibri"/>
        <family val="2"/>
        <scheme val="minor"/>
      </rPr>
      <t xml:space="preserve">. </t>
    </r>
    <r>
      <rPr>
        <b/>
        <sz val="11"/>
        <color rgb="FF333333"/>
        <rFont val="Calibri"/>
        <family val="2"/>
        <scheme val="minor"/>
      </rPr>
      <t xml:space="preserve">4) </t>
    </r>
    <r>
      <rPr>
        <sz val="11"/>
        <color rgb="FF333333"/>
        <rFont val="Calibri"/>
        <family val="2"/>
        <scheme val="minor"/>
      </rPr>
      <t xml:space="preserve">knockdown of PRSS1 reduced the resistance of </t>
    </r>
    <r>
      <rPr>
        <b/>
        <sz val="11"/>
        <color rgb="FF333333"/>
        <rFont val="Calibri"/>
        <family val="2"/>
        <scheme val="minor"/>
      </rPr>
      <t>ovarian</t>
    </r>
    <r>
      <rPr>
        <sz val="11"/>
        <color rgb="FF333333"/>
        <rFont val="Calibri"/>
        <family val="2"/>
        <scheme val="minor"/>
      </rPr>
      <t xml:space="preserve"> cancer cells to </t>
    </r>
    <r>
      <rPr>
        <b/>
        <sz val="11"/>
        <color rgb="FF333333"/>
        <rFont val="Calibri"/>
        <family val="2"/>
        <scheme val="minor"/>
      </rPr>
      <t>cisplatin</t>
    </r>
    <r>
      <rPr>
        <sz val="11"/>
        <color rgb="FF333333"/>
        <rFont val="Calibri"/>
        <family val="2"/>
        <scheme val="minor"/>
      </rPr>
      <t xml:space="preserve">. </t>
    </r>
    <r>
      <rPr>
        <b/>
        <sz val="11"/>
        <color rgb="FF333333"/>
        <rFont val="Calibri"/>
        <family val="2"/>
        <scheme val="minor"/>
      </rPr>
      <t xml:space="preserve">5) </t>
    </r>
    <r>
      <rPr>
        <sz val="11"/>
        <color rgb="FF333333"/>
        <rFont val="Calibri"/>
        <family val="2"/>
        <scheme val="minor"/>
      </rPr>
      <t xml:space="preserve">overexpression of PRSS1 increased the resistance to cisplatin. </t>
    </r>
  </si>
  <si>
    <r>
      <rPr>
        <b/>
        <sz val="11"/>
        <color rgb="FF333333"/>
        <rFont val="Calibri"/>
        <family val="2"/>
        <scheme val="minor"/>
      </rPr>
      <t xml:space="preserve">1) </t>
    </r>
    <r>
      <rPr>
        <sz val="11"/>
        <color rgb="FF333333"/>
        <rFont val="Calibri"/>
        <family val="2"/>
        <scheme val="minor"/>
      </rPr>
      <t xml:space="preserve">The resistant cells also showed an enhancement in proteolytic activity of proteasome accompanied by overexpression of its catalytic subunits (PSMβ9 and PSMβ10). </t>
    </r>
    <r>
      <rPr>
        <b/>
        <sz val="11"/>
        <color rgb="FF333333"/>
        <rFont val="Calibri"/>
        <family val="2"/>
        <scheme val="minor"/>
      </rPr>
      <t xml:space="preserve">2) </t>
    </r>
    <r>
      <rPr>
        <sz val="11"/>
        <color rgb="FF333333"/>
        <rFont val="Calibri"/>
        <family val="2"/>
        <scheme val="minor"/>
      </rPr>
      <t>Pretreatment of the resistant cells with a potent proteasome inhibitor Z-Leu-Leu-Leu-al augmented the CDDP sensitization elicited by the AKR inhibitors. (human colon HCT15 cells)</t>
    </r>
  </si>
  <si>
    <r>
      <rPr>
        <b/>
        <sz val="11"/>
        <color rgb="FF333333"/>
        <rFont val="Calibri"/>
        <family val="2"/>
        <scheme val="minor"/>
      </rPr>
      <t>1)</t>
    </r>
    <r>
      <rPr>
        <sz val="11"/>
        <color rgb="FF333333"/>
        <rFont val="Calibri"/>
        <family val="2"/>
        <scheme val="minor"/>
      </rPr>
      <t xml:space="preserve"> As PSMB10</t>
    </r>
  </si>
  <si>
    <r>
      <rPr>
        <b/>
        <sz val="11"/>
        <color rgb="FF333333"/>
        <rFont val="Calibri"/>
        <family val="2"/>
        <scheme val="minor"/>
      </rPr>
      <t>1)</t>
    </r>
    <r>
      <rPr>
        <sz val="11"/>
        <color rgb="FF333333"/>
        <rFont val="Calibri"/>
        <family val="2"/>
        <scheme val="minor"/>
      </rPr>
      <t xml:space="preserve"> the Hedgehog receptor Ptch1, which is over-expressed in many recurrent and metastatic cancers, is a multidrug transporter and</t>
    </r>
    <r>
      <rPr>
        <b/>
        <sz val="11"/>
        <color rgb="FF333333"/>
        <rFont val="Calibri"/>
        <family val="2"/>
        <scheme val="minor"/>
      </rPr>
      <t xml:space="preserve"> 2)</t>
    </r>
    <r>
      <rPr>
        <sz val="11"/>
        <color rgb="FF333333"/>
        <rFont val="Calibri"/>
        <family val="2"/>
        <scheme val="minor"/>
      </rPr>
      <t xml:space="preserve"> it contributes to the efflux of chemotherapeutic agents. </t>
    </r>
    <r>
      <rPr>
        <b/>
        <sz val="11"/>
        <color rgb="FF333333"/>
        <rFont val="Calibri"/>
        <family val="2"/>
        <scheme val="minor"/>
      </rPr>
      <t>3)</t>
    </r>
    <r>
      <rPr>
        <sz val="11"/>
        <color rgb="FF333333"/>
        <rFont val="Calibri"/>
        <family val="2"/>
        <scheme val="minor"/>
      </rPr>
      <t xml:space="preserve"> Ptch1 uses the proton motive force to efflux drugs, in contrast to ABC transporters, which use ATP hydrolysis. </t>
    </r>
    <r>
      <rPr>
        <b/>
        <sz val="11"/>
        <color rgb="FF333333"/>
        <rFont val="Calibri"/>
        <family val="2"/>
        <scheme val="minor"/>
      </rPr>
      <t xml:space="preserve">4) </t>
    </r>
    <r>
      <rPr>
        <sz val="11"/>
        <color rgb="FF333333"/>
        <rFont val="Calibri"/>
        <family val="2"/>
        <scheme val="minor"/>
      </rPr>
      <t xml:space="preserve">the “reversed pH gradient” that characterizes cancer cells, allows Ptch1 to function as an efflux pump specifically in cancer cells.  </t>
    </r>
    <r>
      <rPr>
        <b/>
        <sz val="11"/>
        <color rgb="FF333333"/>
        <rFont val="Calibri"/>
        <family val="2"/>
        <scheme val="minor"/>
      </rPr>
      <t xml:space="preserve">5) </t>
    </r>
    <r>
      <rPr>
        <sz val="11"/>
        <color rgb="FF333333"/>
        <rFont val="Calibri"/>
        <family val="2"/>
        <scheme val="minor"/>
      </rPr>
      <t xml:space="preserve">in mice where combining Ptch1 inhibitors with </t>
    </r>
    <r>
      <rPr>
        <b/>
        <sz val="11"/>
        <color rgb="FF333333"/>
        <rFont val="Calibri"/>
        <family val="2"/>
        <scheme val="minor"/>
      </rPr>
      <t>doxorubicin</t>
    </r>
    <r>
      <rPr>
        <sz val="11"/>
        <color rgb="FF333333"/>
        <rFont val="Calibri"/>
        <family val="2"/>
        <scheme val="minor"/>
      </rPr>
      <t xml:space="preserve"> prevented the development of xenografted </t>
    </r>
    <r>
      <rPr>
        <b/>
        <sz val="11"/>
        <color rgb="FF333333"/>
        <rFont val="Calibri"/>
        <family val="2"/>
        <scheme val="minor"/>
      </rPr>
      <t>adrenocortical</t>
    </r>
    <r>
      <rPr>
        <sz val="11"/>
        <color rgb="FF333333"/>
        <rFont val="Calibri"/>
        <family val="2"/>
        <scheme val="minor"/>
      </rPr>
      <t xml:space="preserve"> carcinoma tumors more efficiently than doxorubicin alone, and without obvious undesirable side effects. </t>
    </r>
  </si>
  <si>
    <r>
      <rPr>
        <b/>
        <sz val="11"/>
        <color rgb="FF333333"/>
        <rFont val="Calibri"/>
        <family val="2"/>
        <scheme val="minor"/>
      </rPr>
      <t>1)</t>
    </r>
    <r>
      <rPr>
        <sz val="11"/>
        <color rgb="FF333333"/>
        <rFont val="Calibri"/>
        <family val="2"/>
        <scheme val="minor"/>
      </rPr>
      <t xml:space="preserve"> Overexpression of PTEN reverses </t>
    </r>
    <r>
      <rPr>
        <b/>
        <sz val="11"/>
        <color rgb="FF333333"/>
        <rFont val="Calibri"/>
        <family val="2"/>
        <scheme val="minor"/>
      </rPr>
      <t>cisplatin</t>
    </r>
    <r>
      <rPr>
        <sz val="11"/>
        <color rgb="FF333333"/>
        <rFont val="Calibri"/>
        <family val="2"/>
        <scheme val="minor"/>
      </rPr>
      <t xml:space="preserve">-resistance in ovarian cancer cell line C13K. </t>
    </r>
    <r>
      <rPr>
        <b/>
        <sz val="11"/>
        <color rgb="FF333333"/>
        <rFont val="Calibri"/>
        <family val="2"/>
        <scheme val="minor"/>
      </rPr>
      <t xml:space="preserve">2) </t>
    </r>
    <r>
      <rPr>
        <sz val="11"/>
        <color rgb="FF333333"/>
        <rFont val="Calibri"/>
        <family val="2"/>
        <scheme val="minor"/>
      </rPr>
      <t xml:space="preserve">there was a directly interaction between KRT10 and PTEN. </t>
    </r>
    <r>
      <rPr>
        <b/>
        <sz val="11"/>
        <color rgb="FF333333"/>
        <rFont val="Calibri"/>
        <family val="2"/>
        <scheme val="minor"/>
      </rPr>
      <t xml:space="preserve">3) </t>
    </r>
    <r>
      <rPr>
        <sz val="11"/>
        <color rgb="FF333333"/>
        <rFont val="Calibri"/>
        <family val="2"/>
        <scheme val="minor"/>
      </rPr>
      <t xml:space="preserve">KRT10 is a downstream molecule of PTEN which improves cisplatin-resistance of </t>
    </r>
    <r>
      <rPr>
        <b/>
        <sz val="11"/>
        <color rgb="FF333333"/>
        <rFont val="Calibri"/>
        <family val="2"/>
        <scheme val="minor"/>
      </rPr>
      <t>ovarian</t>
    </r>
    <r>
      <rPr>
        <sz val="11"/>
        <color rgb="FF333333"/>
        <rFont val="Calibri"/>
        <family val="2"/>
        <scheme val="minor"/>
      </rPr>
      <t xml:space="preserve"> cancer.</t>
    </r>
    <r>
      <rPr>
        <b/>
        <sz val="11"/>
        <color rgb="FF333333"/>
        <rFont val="Calibri"/>
        <family val="2"/>
        <scheme val="minor"/>
      </rPr>
      <t xml:space="preserve"> 4) </t>
    </r>
    <r>
      <rPr>
        <sz val="11"/>
        <color rgb="FF333333"/>
        <rFont val="Calibri"/>
        <family val="2"/>
        <scheme val="minor"/>
      </rPr>
      <t xml:space="preserve">the conditioned media from </t>
    </r>
    <r>
      <rPr>
        <b/>
        <sz val="11"/>
        <color rgb="FF333333"/>
        <rFont val="Calibri"/>
        <family val="2"/>
        <scheme val="minor"/>
      </rPr>
      <t>cisplatin-resistant</t>
    </r>
    <r>
      <rPr>
        <sz val="11"/>
        <color rgb="FF333333"/>
        <rFont val="Calibri"/>
        <family val="2"/>
        <scheme val="minor"/>
      </rPr>
      <t xml:space="preserve"> OSCC cells enhanced the </t>
    </r>
    <r>
      <rPr>
        <b/>
        <sz val="11"/>
        <color rgb="FF333333"/>
        <rFont val="Calibri"/>
        <family val="2"/>
        <scheme val="minor"/>
      </rPr>
      <t>chemoresistance</t>
    </r>
    <r>
      <rPr>
        <sz val="11"/>
        <color rgb="FF333333"/>
        <rFont val="Calibri"/>
        <family val="2"/>
        <scheme val="minor"/>
      </rPr>
      <t xml:space="preserve"> of parental </t>
    </r>
    <r>
      <rPr>
        <b/>
        <sz val="11"/>
        <color rgb="FF333333"/>
        <rFont val="Calibri"/>
        <family val="2"/>
        <scheme val="minor"/>
      </rPr>
      <t xml:space="preserve">OSCC </t>
    </r>
    <r>
      <rPr>
        <sz val="11"/>
        <color rgb="FF333333"/>
        <rFont val="Calibri"/>
        <family val="2"/>
        <scheme val="minor"/>
      </rPr>
      <t xml:space="preserve">cell. </t>
    </r>
    <r>
      <rPr>
        <b/>
        <sz val="11"/>
        <color rgb="FF333333"/>
        <rFont val="Calibri"/>
        <family val="2"/>
        <scheme val="minor"/>
      </rPr>
      <t>5)</t>
    </r>
    <r>
      <rPr>
        <sz val="11"/>
        <color rgb="FF333333"/>
        <rFont val="Calibri"/>
        <family val="2"/>
        <scheme val="minor"/>
      </rPr>
      <t xml:space="preserve"> </t>
    </r>
    <r>
      <rPr>
        <b/>
        <sz val="11"/>
        <color rgb="FF333333"/>
        <rFont val="Calibri"/>
        <family val="2"/>
        <scheme val="minor"/>
      </rPr>
      <t xml:space="preserve">Exosomes </t>
    </r>
    <r>
      <rPr>
        <sz val="11"/>
        <color rgb="FF333333"/>
        <rFont val="Calibri"/>
        <family val="2"/>
        <scheme val="minor"/>
      </rPr>
      <t xml:space="preserve">derived from cisplatin-resistant OSCC cells transferred miR-21 to OSCC parental cells and induced cisplatin resistance by targeting PTEN and PDCD4 and decrease the DNA damage signaling in response to cisplatin. </t>
    </r>
    <r>
      <rPr>
        <b/>
        <sz val="11"/>
        <color rgb="FF333333"/>
        <rFont val="Calibri"/>
        <family val="2"/>
        <scheme val="minor"/>
      </rPr>
      <t xml:space="preserve">6) </t>
    </r>
    <r>
      <rPr>
        <sz val="11"/>
        <color rgb="FF333333"/>
        <rFont val="Calibri"/>
        <family val="2"/>
        <scheme val="minor"/>
      </rPr>
      <t xml:space="preserve">the roles of cisplatin-resistant OSCC cells-derived exosomes in vivo were confirmed by subcutaneous xenograft mouse model. </t>
    </r>
    <r>
      <rPr>
        <b/>
        <sz val="11"/>
        <color rgb="FF333333"/>
        <rFont val="Calibri"/>
        <family val="2"/>
        <scheme val="minor"/>
      </rPr>
      <t xml:space="preserve">7) </t>
    </r>
    <r>
      <rPr>
        <sz val="11"/>
        <color rgb="FF333333"/>
        <rFont val="Calibri"/>
        <family val="2"/>
        <scheme val="minor"/>
      </rPr>
      <t xml:space="preserve">Retrospectively collected paraffin blocks from 151 epithelial </t>
    </r>
    <r>
      <rPr>
        <b/>
        <sz val="11"/>
        <color rgb="FF333333"/>
        <rFont val="Calibri"/>
        <family val="2"/>
        <scheme val="minor"/>
      </rPr>
      <t xml:space="preserve">ovarian </t>
    </r>
    <r>
      <rPr>
        <sz val="11"/>
        <color rgb="FF333333"/>
        <rFont val="Calibri"/>
        <family val="2"/>
        <scheme val="minor"/>
      </rPr>
      <t xml:space="preserve">cancer patients treated with debulking surgery followed by taxane and </t>
    </r>
    <r>
      <rPr>
        <b/>
        <sz val="11"/>
        <color rgb="FF333333"/>
        <rFont val="Calibri"/>
        <family val="2"/>
        <scheme val="minor"/>
      </rPr>
      <t>platinum</t>
    </r>
    <r>
      <rPr>
        <sz val="11"/>
        <color rgb="FF333333"/>
        <rFont val="Calibri"/>
        <family val="2"/>
        <scheme val="minor"/>
      </rPr>
      <t xml:space="preserve"> chemotherapy were analyzed: Reduced expression of PTEN was found in 104 of the 151 cases (68.9%), and PTEN expression (p=0.009) were significant predictors for disease-free survival (DFS). The median DFS of patients with reduced PTEN expression was 20 months (range, 3-71 months), whereas that of patients with normal PTEN expression was 53 months (range, 2-81 months). </t>
    </r>
  </si>
  <si>
    <r>
      <rPr>
        <b/>
        <sz val="11"/>
        <color rgb="FF333333"/>
        <rFont val="Calibri"/>
        <family val="2"/>
        <scheme val="minor"/>
      </rPr>
      <t>1)</t>
    </r>
    <r>
      <rPr>
        <sz val="11"/>
        <color rgb="FF333333"/>
        <rFont val="Calibri"/>
        <family val="2"/>
        <scheme val="minor"/>
      </rPr>
      <t xml:space="preserve"> An association between higher tumoral expression of </t>
    </r>
    <r>
      <rPr>
        <b/>
        <sz val="11"/>
        <color rgb="FF333333"/>
        <rFont val="Calibri"/>
        <family val="2"/>
        <scheme val="minor"/>
      </rPr>
      <t>PTGER3</t>
    </r>
    <r>
      <rPr>
        <sz val="11"/>
        <color rgb="FF333333"/>
        <rFont val="Calibri"/>
        <family val="2"/>
        <scheme val="minor"/>
      </rPr>
      <t xml:space="preserve"> and shorter patient survival in the </t>
    </r>
    <r>
      <rPr>
        <b/>
        <sz val="11"/>
        <color rgb="FF333333"/>
        <rFont val="Calibri"/>
        <family val="2"/>
        <scheme val="minor"/>
      </rPr>
      <t>ovarian</t>
    </r>
    <r>
      <rPr>
        <sz val="11"/>
        <color rgb="FF333333"/>
        <rFont val="Calibri"/>
        <family val="2"/>
        <scheme val="minor"/>
      </rPr>
      <t xml:space="preserve"> cancer dataset of TCGA. </t>
    </r>
    <r>
      <rPr>
        <b/>
        <sz val="11"/>
        <color rgb="FF333333"/>
        <rFont val="Calibri"/>
        <family val="2"/>
        <scheme val="minor"/>
      </rPr>
      <t xml:space="preserve">2) </t>
    </r>
    <r>
      <rPr>
        <sz val="11"/>
        <color rgb="FF333333"/>
        <rFont val="Calibri"/>
        <family val="2"/>
        <scheme val="minor"/>
      </rPr>
      <t xml:space="preserve">PTGER3 mRNA and protein levels were higher in </t>
    </r>
    <r>
      <rPr>
        <b/>
        <sz val="11"/>
        <color rgb="FF333333"/>
        <rFont val="Calibri"/>
        <family val="2"/>
        <scheme val="minor"/>
      </rPr>
      <t>cisplatin</t>
    </r>
    <r>
      <rPr>
        <sz val="11"/>
        <color rgb="FF333333"/>
        <rFont val="Calibri"/>
        <family val="2"/>
        <scheme val="minor"/>
      </rPr>
      <t xml:space="preserve">-resistant ovarian cancer cells than in their cisplatin-sensitive counterparts. </t>
    </r>
    <r>
      <rPr>
        <b/>
        <sz val="11"/>
        <color rgb="FF333333"/>
        <rFont val="Calibri"/>
        <family val="2"/>
        <scheme val="minor"/>
      </rPr>
      <t>3)</t>
    </r>
    <r>
      <rPr>
        <sz val="11"/>
        <color rgb="FF333333"/>
        <rFont val="Calibri"/>
        <family val="2"/>
        <scheme val="minor"/>
      </rPr>
      <t xml:space="preserve"> Silencing of PTGER3 via siRNA in cancer cells was associated with decreased cell growth and less invasiveness, as well as cell-cycle arrest and increased apoptosis, mediated through the Ras-MAPK/Erk-ETS1-ELK1/CFTR1 axis. </t>
    </r>
    <r>
      <rPr>
        <b/>
        <sz val="11"/>
        <color rgb="FF333333"/>
        <rFont val="Calibri"/>
        <family val="2"/>
        <scheme val="minor"/>
      </rPr>
      <t>4</t>
    </r>
    <r>
      <rPr>
        <sz val="11"/>
        <color rgb="FF333333"/>
        <rFont val="Calibri"/>
        <family val="2"/>
        <scheme val="minor"/>
      </rPr>
      <t xml:space="preserve">) siRNA-mediated silencing of PTGER3 combined with </t>
    </r>
    <r>
      <rPr>
        <b/>
        <sz val="11"/>
        <color rgb="FF333333"/>
        <rFont val="Calibri"/>
        <family val="2"/>
        <scheme val="minor"/>
      </rPr>
      <t>cisplatin</t>
    </r>
    <r>
      <rPr>
        <sz val="11"/>
        <color rgb="FF333333"/>
        <rFont val="Calibri"/>
        <family val="2"/>
        <scheme val="minor"/>
      </rPr>
      <t xml:space="preserve"> resulted in robust antitumor effects in cisplatin-resistant ovarian cancer models. </t>
    </r>
    <r>
      <rPr>
        <b/>
        <sz val="11"/>
        <color rgb="FF333333"/>
        <rFont val="Calibri"/>
        <family val="2"/>
        <scheme val="minor"/>
      </rPr>
      <t>5)</t>
    </r>
    <r>
      <rPr>
        <sz val="11"/>
        <color rgb="FF333333"/>
        <rFont val="Calibri"/>
        <family val="2"/>
        <scheme val="minor"/>
      </rPr>
      <t xml:space="preserve"> Long-lasting PTGER3 silencing restores OC sensitivity to cisplatin in vivo. </t>
    </r>
  </si>
  <si>
    <r>
      <rPr>
        <b/>
        <sz val="11"/>
        <color rgb="FF000000"/>
        <rFont val="Calibri"/>
        <family val="2"/>
        <scheme val="minor"/>
      </rPr>
      <t xml:space="preserve">1) </t>
    </r>
    <r>
      <rPr>
        <sz val="11"/>
        <color indexed="8"/>
        <rFont val="Calibri"/>
        <family val="2"/>
        <scheme val="minor"/>
      </rPr>
      <t>XPC-</t>
    </r>
    <r>
      <rPr>
        <b/>
        <sz val="11"/>
        <color rgb="FF000000"/>
        <rFont val="Calibri"/>
        <family val="2"/>
        <scheme val="minor"/>
      </rPr>
      <t>Rad23B</t>
    </r>
    <r>
      <rPr>
        <sz val="11"/>
        <color indexed="8"/>
        <rFont val="Calibri"/>
        <family val="2"/>
        <scheme val="minor"/>
      </rPr>
      <t xml:space="preserve"> binds </t>
    </r>
    <r>
      <rPr>
        <b/>
        <sz val="11"/>
        <color rgb="FF000000"/>
        <rFont val="Calibri"/>
        <family val="2"/>
        <scheme val="minor"/>
      </rPr>
      <t>cisplatin</t>
    </r>
    <r>
      <rPr>
        <sz val="11"/>
        <color indexed="8"/>
        <rFont val="Calibri"/>
        <family val="2"/>
        <scheme val="minor"/>
      </rPr>
      <t xml:space="preserve">-damaged DNA; contacts with both strands of the DNA duplex and spans the DNA adduct. </t>
    </r>
    <r>
      <rPr>
        <b/>
        <sz val="11"/>
        <color rgb="FF000000"/>
        <rFont val="Calibri"/>
        <family val="2"/>
        <scheme val="minor"/>
      </rPr>
      <t xml:space="preserve">2) </t>
    </r>
    <r>
      <rPr>
        <sz val="11"/>
        <color indexed="8"/>
        <rFont val="Calibri"/>
        <family val="2"/>
        <scheme val="minor"/>
      </rPr>
      <t xml:space="preserve">Subcellular distribution of RAD23B controls XPC degradation and DNA damage repair in response to chemotherapy drugs. </t>
    </r>
  </si>
  <si>
    <r>
      <rPr>
        <b/>
        <sz val="11"/>
        <color rgb="FF333333"/>
        <rFont val="Calibri"/>
        <family val="2"/>
        <scheme val="minor"/>
      </rPr>
      <t xml:space="preserve">1) </t>
    </r>
    <r>
      <rPr>
        <sz val="11"/>
        <color rgb="FF333333"/>
        <rFont val="Calibri"/>
        <family val="2"/>
        <scheme val="minor"/>
      </rPr>
      <t xml:space="preserve">RAD51B-depleted </t>
    </r>
    <r>
      <rPr>
        <b/>
        <sz val="11"/>
        <color rgb="FF333333"/>
        <rFont val="Calibri"/>
        <family val="2"/>
        <scheme val="minor"/>
      </rPr>
      <t>breast</t>
    </r>
    <r>
      <rPr>
        <sz val="11"/>
        <color rgb="FF333333"/>
        <rFont val="Calibri"/>
        <family val="2"/>
        <scheme val="minor"/>
      </rPr>
      <t xml:space="preserve"> cancer cells have increased sensitivity to DNA damage/</t>
    </r>
    <r>
      <rPr>
        <b/>
        <sz val="11"/>
        <color rgb="FF333333"/>
        <rFont val="Calibri"/>
        <family val="2"/>
        <scheme val="minor"/>
      </rPr>
      <t>cisplatin</t>
    </r>
    <r>
      <rPr>
        <sz val="11"/>
        <color rgb="FF333333"/>
        <rFont val="Calibri"/>
        <family val="2"/>
        <scheme val="minor"/>
      </rPr>
      <t>, reduced efficiency of HR, and altered cell cycle checkpoint responses. </t>
    </r>
    <r>
      <rPr>
        <b/>
        <sz val="11"/>
        <color rgb="FF333333"/>
        <rFont val="Calibri"/>
        <family val="2"/>
        <scheme val="minor"/>
      </rPr>
      <t xml:space="preserve">2) </t>
    </r>
    <r>
      <rPr>
        <sz val="11"/>
        <color rgb="FF333333"/>
        <rFont val="Calibri"/>
        <family val="2"/>
        <scheme val="minor"/>
      </rPr>
      <t xml:space="preserve">the recombinase RAD51 and, in vertabrates, five RAD51 paralogs. The paralogs form two complexes in solution, a XRCC3/RAD51C heterodimer and a RAD51B/RAD51C/RAD51D/XRCC2 heterotetramer. </t>
    </r>
    <r>
      <rPr>
        <b/>
        <sz val="11"/>
        <color rgb="FF333333"/>
        <rFont val="Calibri"/>
        <family val="2"/>
        <scheme val="minor"/>
      </rPr>
      <t xml:space="preserve">3) </t>
    </r>
    <r>
      <rPr>
        <sz val="11"/>
        <color rgb="FF333333"/>
        <rFont val="Calibri"/>
        <family val="2"/>
        <scheme val="minor"/>
      </rPr>
      <t xml:space="preserve">Mutation of any one of the five paralog genes prevents subnuclear assembly of recombinase at damaged sites and renders cells 30-100 fold sensitive to DNA cross-linking drugs. </t>
    </r>
  </si>
  <si>
    <r>
      <rPr>
        <b/>
        <sz val="11"/>
        <color rgb="FF333333"/>
        <rFont val="Calibri"/>
        <family val="2"/>
        <scheme val="minor"/>
      </rPr>
      <t xml:space="preserve">1) </t>
    </r>
    <r>
      <rPr>
        <sz val="11"/>
        <color rgb="FF333333"/>
        <rFont val="Calibri"/>
        <family val="2"/>
        <scheme val="minor"/>
      </rPr>
      <t xml:space="preserve">the recombinase RAD51 and, in vertabrates, five RAD51 paralogs. The paralogs form two complexes in solution, a XRCC3/RAD51C heterodimer and a RAD51B/RAD51C/RAD51D/XRCC2 heterotetramer. </t>
    </r>
    <r>
      <rPr>
        <b/>
        <sz val="11"/>
        <color rgb="FF333333"/>
        <rFont val="Calibri"/>
        <family val="2"/>
        <scheme val="minor"/>
      </rPr>
      <t xml:space="preserve">2) </t>
    </r>
    <r>
      <rPr>
        <sz val="11"/>
        <color rgb="FF333333"/>
        <rFont val="Calibri"/>
        <family val="2"/>
        <scheme val="minor"/>
      </rPr>
      <t xml:space="preserve">Mutation of any one of the five paralog genes prevents subnuclear assembly of recombinase at damaged sites and renders cells 30-100 fold sensitive to DNA cross-linking drugs. </t>
    </r>
    <r>
      <rPr>
        <b/>
        <sz val="11"/>
        <color rgb="FF333333"/>
        <rFont val="Calibri"/>
        <family val="2"/>
        <scheme val="minor"/>
      </rPr>
      <t>3)</t>
    </r>
    <r>
      <rPr>
        <sz val="11"/>
        <color rgb="FF333333"/>
        <rFont val="Calibri"/>
        <family val="2"/>
        <scheme val="minor"/>
      </rPr>
      <t xml:space="preserve"> Rad51c expression was detected using immunohistochemistry and was higher in</t>
    </r>
    <r>
      <rPr>
        <b/>
        <sz val="11"/>
        <color rgb="FF333333"/>
        <rFont val="Calibri"/>
        <family val="2"/>
        <scheme val="minor"/>
      </rPr>
      <t xml:space="preserve"> NSCLC</t>
    </r>
    <r>
      <rPr>
        <sz val="11"/>
        <color rgb="FF333333"/>
        <rFont val="Calibri"/>
        <family val="2"/>
        <scheme val="minor"/>
      </rPr>
      <t xml:space="preserve"> patient samples than in adjacent normal tissues. </t>
    </r>
    <r>
      <rPr>
        <b/>
        <sz val="11"/>
        <color rgb="FF333333"/>
        <rFont val="Calibri"/>
        <family val="2"/>
        <scheme val="minor"/>
      </rPr>
      <t xml:space="preserve">4) </t>
    </r>
    <r>
      <rPr>
        <sz val="11"/>
        <color rgb="FF333333"/>
        <rFont val="Calibri"/>
        <family val="2"/>
        <scheme val="minor"/>
      </rPr>
      <t xml:space="preserve">Kaplan-Meier analysis revealed that high Rad51c expression was an independent predictor of short overall survival (OS) and disease-free survival (DFS) in NSCLC patients receiving </t>
    </r>
    <r>
      <rPr>
        <b/>
        <sz val="11"/>
        <color rgb="FF333333"/>
        <rFont val="Calibri"/>
        <family val="2"/>
        <scheme val="minor"/>
      </rPr>
      <t>chemotherapy</t>
    </r>
    <r>
      <rPr>
        <sz val="11"/>
        <color rgb="FF333333"/>
        <rFont val="Calibri"/>
        <family val="2"/>
        <scheme val="minor"/>
      </rPr>
      <t xml:space="preserve"> and/or radiotherapy.</t>
    </r>
    <r>
      <rPr>
        <b/>
        <sz val="11"/>
        <color rgb="FF333333"/>
        <rFont val="Calibri"/>
        <family val="2"/>
        <scheme val="minor"/>
      </rPr>
      <t xml:space="preserve"> 5)</t>
    </r>
    <r>
      <rPr>
        <sz val="11"/>
        <color rgb="FF333333"/>
        <rFont val="Calibri"/>
        <family val="2"/>
        <scheme val="minor"/>
      </rPr>
      <t xml:space="preserve"> Rad51c knockdown increased the killing effect of ionizing radiation (IR) and enhanced </t>
    </r>
    <r>
      <rPr>
        <b/>
        <sz val="11"/>
        <color rgb="FF333333"/>
        <rFont val="Calibri"/>
        <family val="2"/>
        <scheme val="minor"/>
      </rPr>
      <t>cisplatin</t>
    </r>
    <r>
      <rPr>
        <sz val="11"/>
        <color rgb="FF333333"/>
        <rFont val="Calibri"/>
        <family val="2"/>
        <scheme val="minor"/>
      </rPr>
      <t xml:space="preserve">-induced apoptotic cells in NSCLC cells by disrupting the repair of cisplatin- and IR-induced DNA damage. </t>
    </r>
    <r>
      <rPr>
        <b/>
        <sz val="11"/>
        <color rgb="FF333333"/>
        <rFont val="Calibri"/>
        <family val="2"/>
        <scheme val="minor"/>
      </rPr>
      <t xml:space="preserve">6) </t>
    </r>
    <r>
      <rPr>
        <sz val="11"/>
        <color rgb="FF333333"/>
        <rFont val="Calibri"/>
        <family val="2"/>
        <scheme val="minor"/>
      </rPr>
      <t xml:space="preserve">ectopic expression of Rad51c dramatically enhanced NSCLC cell resistance to cisplatin and radiotherapy. </t>
    </r>
  </si>
  <si>
    <r>
      <rPr>
        <b/>
        <sz val="11"/>
        <color rgb="FF333333"/>
        <rFont val="Calibri"/>
        <family val="2"/>
        <scheme val="minor"/>
      </rPr>
      <t>1)</t>
    </r>
    <r>
      <rPr>
        <sz val="11"/>
        <color rgb="FF333333"/>
        <rFont val="Calibri"/>
        <family val="2"/>
        <scheme val="minor"/>
      </rPr>
      <t xml:space="preserve"> the recombinase RAD51 and, in vertabrates, five RAD51 paralogs. The paralogs form two complexes in solution, a XRCC3/RAD51C heterodimer and a RAD51B/RAD51C/RAD51D/XRCC2 heterotetramer. </t>
    </r>
    <r>
      <rPr>
        <b/>
        <sz val="11"/>
        <color rgb="FF333333"/>
        <rFont val="Calibri"/>
        <family val="2"/>
        <scheme val="minor"/>
      </rPr>
      <t xml:space="preserve">2) </t>
    </r>
    <r>
      <rPr>
        <sz val="11"/>
        <color rgb="FF333333"/>
        <rFont val="Calibri"/>
        <family val="2"/>
        <scheme val="minor"/>
      </rPr>
      <t xml:space="preserve">Mutation of any one of the five paralog genes prevents subnuclear assembly of recombinase at damaged sites and renders cells 30-100 fold sensitive to DNA cross-linking drugs. </t>
    </r>
    <r>
      <rPr>
        <b/>
        <sz val="11"/>
        <color rgb="FF333333"/>
        <rFont val="Calibri"/>
        <family val="2"/>
        <scheme val="minor"/>
      </rPr>
      <t>3)</t>
    </r>
    <r>
      <rPr>
        <sz val="11"/>
        <color rgb="FF333333"/>
        <rFont val="Calibri"/>
        <family val="2"/>
        <scheme val="minor"/>
      </rPr>
      <t xml:space="preserve"> the Rad51d (E233G) genetic variant confers increased </t>
    </r>
    <r>
      <rPr>
        <b/>
        <sz val="11"/>
        <color rgb="FF333333"/>
        <rFont val="Calibri"/>
        <family val="2"/>
        <scheme val="minor"/>
      </rPr>
      <t>cisplatin</t>
    </r>
    <r>
      <rPr>
        <sz val="11"/>
        <color rgb="FF333333"/>
        <rFont val="Calibri"/>
        <family val="2"/>
        <scheme val="minor"/>
      </rPr>
      <t xml:space="preserve"> resistance and cell growth phenotypes in human </t>
    </r>
    <r>
      <rPr>
        <b/>
        <sz val="11"/>
        <color rgb="FF333333"/>
        <rFont val="Calibri"/>
        <family val="2"/>
        <scheme val="minor"/>
      </rPr>
      <t>breast</t>
    </r>
    <r>
      <rPr>
        <sz val="11"/>
        <color rgb="FF333333"/>
        <rFont val="Calibri"/>
        <family val="2"/>
        <scheme val="minor"/>
      </rPr>
      <t xml:space="preserve"> carcinoma cell lines with a mutant p53 gene (BT20 and T47D) but not with a wild-type p53 gene (MCF-7). </t>
    </r>
    <r>
      <rPr>
        <b/>
        <sz val="11"/>
        <color rgb="FF333333"/>
        <rFont val="Calibri"/>
        <family val="2"/>
        <scheme val="minor"/>
      </rPr>
      <t xml:space="preserve">4) </t>
    </r>
    <r>
      <rPr>
        <sz val="11"/>
        <color rgb="FF333333"/>
        <rFont val="Calibri"/>
        <family val="2"/>
        <scheme val="minor"/>
      </rPr>
      <t xml:space="preserve">Treatment with a p53 specific inhibitor, pifithrin alpha, restored this resistant phenotype in the MCF-7 cell line. </t>
    </r>
  </si>
  <si>
    <r>
      <rPr>
        <b/>
        <sz val="11"/>
        <rFont val="Calibri"/>
        <family val="2"/>
        <scheme val="minor"/>
      </rPr>
      <t xml:space="preserve">1) </t>
    </r>
    <r>
      <rPr>
        <sz val="11"/>
        <rFont val="Calibri"/>
        <family val="2"/>
        <scheme val="minor"/>
      </rPr>
      <t xml:space="preserve">over-expression of RECQL, a DNA helicase involved in various types of DNA repair including mismatch, nucleotide excision and direct repair, was increased in our </t>
    </r>
    <r>
      <rPr>
        <b/>
        <sz val="11"/>
        <rFont val="Calibri"/>
        <family val="2"/>
        <scheme val="minor"/>
      </rPr>
      <t>cisplatin</t>
    </r>
    <r>
      <rPr>
        <sz val="11"/>
        <rFont val="Calibri"/>
        <family val="2"/>
        <scheme val="minor"/>
      </rPr>
      <t xml:space="preserve">-resistant </t>
    </r>
    <r>
      <rPr>
        <b/>
        <sz val="11"/>
        <rFont val="Calibri"/>
        <family val="2"/>
        <scheme val="minor"/>
      </rPr>
      <t>oral squamous</t>
    </r>
    <r>
      <rPr>
        <sz val="11"/>
        <rFont val="Calibri"/>
        <family val="2"/>
        <scheme val="minor"/>
      </rPr>
      <t xml:space="preserve"> cell carcinoma cells. </t>
    </r>
    <r>
      <rPr>
        <b/>
        <sz val="11"/>
        <rFont val="Calibri"/>
        <family val="2"/>
        <scheme val="minor"/>
      </rPr>
      <t>2)</t>
    </r>
    <r>
      <rPr>
        <sz val="11"/>
        <rFont val="Calibri"/>
        <family val="2"/>
        <scheme val="minor"/>
      </rPr>
      <t xml:space="preserve"> Increased expression of RECQL4 mRNA was associated with reduced OS, DMFS, and RFS in all breast cancers, and with reduced OS in patients with luminal A, HER2-positive, ER-positive, and PR-positive breast cancer. </t>
    </r>
    <r>
      <rPr>
        <b/>
        <sz val="11"/>
        <rFont val="Calibri"/>
        <family val="2"/>
        <scheme val="minor"/>
      </rPr>
      <t>3)</t>
    </r>
    <r>
      <rPr>
        <sz val="11"/>
        <rFont val="Calibri"/>
        <family val="2"/>
        <scheme val="minor"/>
      </rPr>
      <t xml:space="preserve"> cell growth was significantly inhibited in vitro by silencing RECQ1 in </t>
    </r>
    <r>
      <rPr>
        <b/>
        <sz val="11"/>
        <rFont val="Calibri"/>
        <family val="2"/>
        <scheme val="minor"/>
      </rPr>
      <t xml:space="preserve">hypopharyngeal </t>
    </r>
    <r>
      <rPr>
        <sz val="11"/>
        <rFont val="Calibri"/>
        <family val="2"/>
        <scheme val="minor"/>
      </rPr>
      <t xml:space="preserve">carcinoma cells and the combination treatment of RECQ1 siRNA and cis-platinum (II) diammine dichloride significantly augmented the in vivo anticancer effects of the drug. </t>
    </r>
    <r>
      <rPr>
        <b/>
        <sz val="11"/>
        <rFont val="Calibri"/>
        <family val="2"/>
        <scheme val="minor"/>
      </rPr>
      <t>4)</t>
    </r>
    <r>
      <rPr>
        <sz val="11"/>
        <rFont val="Calibri"/>
        <family val="2"/>
        <scheme val="minor"/>
      </rPr>
      <t xml:space="preserve"> cisplatin and related platinum drugs induce inter-strand cross links in DNA that impair progression of replication forks and RECQ1 helicase functions are important to restore productive DNA replication. </t>
    </r>
    <r>
      <rPr>
        <b/>
        <sz val="11"/>
        <rFont val="Calibri"/>
        <family val="2"/>
        <scheme val="minor"/>
      </rPr>
      <t>5)</t>
    </r>
    <r>
      <rPr>
        <sz val="11"/>
        <rFont val="Calibri"/>
        <family val="2"/>
        <scheme val="minor"/>
      </rPr>
      <t xml:space="preserve"> RECQ1 expression was found to be elevated in </t>
    </r>
    <r>
      <rPr>
        <b/>
        <sz val="11"/>
        <rFont val="Calibri"/>
        <family val="2"/>
        <scheme val="minor"/>
      </rPr>
      <t>ovarian</t>
    </r>
    <r>
      <rPr>
        <sz val="11"/>
        <rFont val="Calibri"/>
        <family val="2"/>
        <scheme val="minor"/>
      </rPr>
      <t xml:space="preserve"> cancer cells that were sensitive to </t>
    </r>
    <r>
      <rPr>
        <b/>
        <sz val="11"/>
        <rFont val="Calibri"/>
        <family val="2"/>
        <scheme val="minor"/>
      </rPr>
      <t>carboplatin</t>
    </r>
    <r>
      <rPr>
        <sz val="11"/>
        <rFont val="Calibri"/>
        <family val="2"/>
        <scheme val="minor"/>
      </rPr>
      <t xml:space="preserve"> as compared to those which were carboplatin-resistant</t>
    </r>
  </si>
  <si>
    <r>
      <rPr>
        <b/>
        <sz val="11"/>
        <rFont val="Calibri"/>
        <family val="2"/>
        <scheme val="minor"/>
      </rPr>
      <t xml:space="preserve">1) </t>
    </r>
    <r>
      <rPr>
        <sz val="11"/>
        <rFont val="Calibri"/>
        <family val="2"/>
        <scheme val="minor"/>
      </rPr>
      <t xml:space="preserve">significant increases in RECQL4 mRNA or protein in &gt;70% of three independent sets of human </t>
    </r>
    <r>
      <rPr>
        <b/>
        <sz val="11"/>
        <rFont val="Calibri"/>
        <family val="2"/>
        <scheme val="minor"/>
      </rPr>
      <t>gastric</t>
    </r>
    <r>
      <rPr>
        <sz val="11"/>
        <rFont val="Calibri"/>
        <family val="2"/>
        <scheme val="minor"/>
      </rPr>
      <t xml:space="preserve"> cancer specimens examined, relative to normal gastric tissues. </t>
    </r>
    <r>
      <rPr>
        <b/>
        <sz val="11"/>
        <rFont val="Calibri"/>
        <family val="2"/>
        <scheme val="minor"/>
      </rPr>
      <t xml:space="preserve">2) </t>
    </r>
    <r>
      <rPr>
        <sz val="11"/>
        <rFont val="Calibri"/>
        <family val="2"/>
        <scheme val="minor"/>
      </rPr>
      <t>high RECQL4 expression in primary tumors correlated well with poor survival and gastric cancer lines with high RECQL4 expression displayed increased resistance to </t>
    </r>
    <r>
      <rPr>
        <b/>
        <sz val="11"/>
        <rFont val="Calibri"/>
        <family val="2"/>
        <scheme val="minor"/>
      </rPr>
      <t>cisplatin</t>
    </r>
    <r>
      <rPr>
        <sz val="11"/>
        <rFont val="Calibri"/>
        <family val="2"/>
        <scheme val="minor"/>
      </rPr>
      <t xml:space="preserve"> treatment. </t>
    </r>
    <r>
      <rPr>
        <b/>
        <sz val="11"/>
        <rFont val="Calibri"/>
        <family val="2"/>
        <scheme val="minor"/>
      </rPr>
      <t>3)</t>
    </r>
    <r>
      <rPr>
        <sz val="11"/>
        <rFont val="Calibri"/>
        <family val="2"/>
        <scheme val="minor"/>
      </rPr>
      <t xml:space="preserve"> a novel role for RECQL4 in transcriptional regulation of the multidrug resistance gene MDR1, through a physical interaction with the transcription factor YB1. </t>
    </r>
    <r>
      <rPr>
        <b/>
        <sz val="11"/>
        <rFont val="Calibri"/>
        <family val="2"/>
        <scheme val="minor"/>
      </rPr>
      <t xml:space="preserve">4) </t>
    </r>
    <r>
      <rPr>
        <sz val="11"/>
        <rFont val="Calibri"/>
        <family val="2"/>
        <scheme val="minor"/>
      </rPr>
      <t xml:space="preserve">ectopic expression of RECQL4 in cisplatin-sensitive gastric cancer cells with low endogenous RECQL4 was sufficient to render them resistant to cisplatin, in a manner associated with YB1 elevation and MDR1 activation. </t>
    </r>
    <r>
      <rPr>
        <b/>
        <sz val="11"/>
        <rFont val="Calibri"/>
        <family val="2"/>
        <scheme val="minor"/>
      </rPr>
      <t xml:space="preserve">5) </t>
    </r>
    <r>
      <rPr>
        <sz val="11"/>
        <rFont val="Calibri"/>
        <family val="2"/>
        <scheme val="minor"/>
      </rPr>
      <t xml:space="preserve">RECQL4 silencing in cisplatin-resistant gastric cancer cells with high endogenous RECQL4 suppressed YB1 phosphorylation, reduced MDR1 expression, and resensitized cells to cisplatin. </t>
    </r>
  </si>
  <si>
    <r>
      <rPr>
        <b/>
        <sz val="11"/>
        <rFont val="Calibri"/>
        <family val="2"/>
        <scheme val="minor"/>
      </rPr>
      <t xml:space="preserve">1) </t>
    </r>
    <r>
      <rPr>
        <sz val="11"/>
        <rFont val="Calibri"/>
        <family val="2"/>
        <scheme val="minor"/>
      </rPr>
      <t xml:space="preserve">Germ line missense mutations, which give rise to constitutively active oncogenic RET, were found to cause multiple endocrine neoplasia type 2, a dominant inherited cancer syndrome that affects neuroendocrine organs. </t>
    </r>
    <r>
      <rPr>
        <b/>
        <sz val="11"/>
        <rFont val="Calibri"/>
        <family val="2"/>
        <scheme val="minor"/>
      </rPr>
      <t xml:space="preserve">2) </t>
    </r>
    <r>
      <rPr>
        <sz val="11"/>
        <rFont val="Calibri"/>
        <family val="2"/>
        <scheme val="minor"/>
      </rPr>
      <t xml:space="preserve">Knockdown of RET by shRNA in </t>
    </r>
    <r>
      <rPr>
        <b/>
        <sz val="11"/>
        <rFont val="Calibri"/>
        <family val="2"/>
        <scheme val="minor"/>
      </rPr>
      <t xml:space="preserve">medullary thyroid </t>
    </r>
    <r>
      <rPr>
        <sz val="11"/>
        <rFont val="Calibri"/>
        <family val="2"/>
        <scheme val="minor"/>
      </rPr>
      <t xml:space="preserve">cancer-derived cells stimulated expression of activating transcription factor 4 (ATF4), a master transcription factor for stress-induced apoptosis, through activation of its target proapoptotic genes NOXA and PUMA. RET knockdown also increased sensitivity to </t>
    </r>
    <r>
      <rPr>
        <b/>
        <sz val="11"/>
        <rFont val="Calibri"/>
        <family val="2"/>
        <scheme val="minor"/>
      </rPr>
      <t>cisplatin</t>
    </r>
    <r>
      <rPr>
        <sz val="11"/>
        <rFont val="Calibri"/>
        <family val="2"/>
        <scheme val="minor"/>
      </rPr>
      <t>-induced apoptosis. </t>
    </r>
    <r>
      <rPr>
        <b/>
        <sz val="11"/>
        <rFont val="Calibri"/>
        <family val="2"/>
        <scheme val="minor"/>
      </rPr>
      <t xml:space="preserve">3) </t>
    </r>
    <r>
      <rPr>
        <sz val="11"/>
        <rFont val="Calibri"/>
        <family val="2"/>
        <scheme val="minor"/>
      </rPr>
      <t xml:space="preserve">RET physically interacted with and phosphorylated ATF4 at tyrosine and threonine residues. and inhibit the ATF4-dependent activation of the NOXA gene. </t>
    </r>
    <r>
      <rPr>
        <b/>
        <sz val="11"/>
        <rFont val="Calibri"/>
        <family val="2"/>
        <scheme val="minor"/>
      </rPr>
      <t>4)</t>
    </r>
    <r>
      <rPr>
        <sz val="11"/>
        <rFont val="Calibri"/>
        <family val="2"/>
        <scheme val="minor"/>
      </rPr>
      <t xml:space="preserve"> RET-targeting tyrosine kinase inhibitor sunitinib and </t>
    </r>
    <r>
      <rPr>
        <b/>
        <sz val="11"/>
        <rFont val="Calibri"/>
        <family val="2"/>
        <scheme val="minor"/>
      </rPr>
      <t>cisplatin</t>
    </r>
    <r>
      <rPr>
        <sz val="11"/>
        <rFont val="Calibri"/>
        <family val="2"/>
        <scheme val="minor"/>
      </rPr>
      <t xml:space="preserve"> synergistically inhibited the growth of MZ-CRC-1 cells harboring the RET M918T activating mutation in vitro and in vivo. </t>
    </r>
  </si>
  <si>
    <r>
      <rPr>
        <b/>
        <sz val="11"/>
        <color rgb="FF000000"/>
        <rFont val="Calibri"/>
        <family val="2"/>
        <scheme val="minor"/>
      </rPr>
      <t>1)</t>
    </r>
    <r>
      <rPr>
        <sz val="11"/>
        <color indexed="8"/>
        <rFont val="Calibri"/>
        <family val="2"/>
        <scheme val="minor"/>
      </rPr>
      <t xml:space="preserve"> Wild-type Rb, but not LxCxE nonbinding Rb N757F mutant, promotes cell survival after </t>
    </r>
    <r>
      <rPr>
        <b/>
        <sz val="11"/>
        <color rgb="FF000000"/>
        <rFont val="Calibri"/>
        <family val="2"/>
        <scheme val="minor"/>
      </rPr>
      <t>cisplatin</t>
    </r>
    <r>
      <rPr>
        <sz val="11"/>
        <color indexed="8"/>
        <rFont val="Calibri"/>
        <family val="2"/>
        <scheme val="minor"/>
      </rPr>
      <t xml:space="preserve"> treatment and ionizing radiation. </t>
    </r>
    <r>
      <rPr>
        <b/>
        <sz val="11"/>
        <color rgb="FF000000"/>
        <rFont val="Calibri"/>
        <family val="2"/>
        <scheme val="minor"/>
      </rPr>
      <t xml:space="preserve">2) </t>
    </r>
    <r>
      <rPr>
        <sz val="11"/>
        <color indexed="8"/>
        <rFont val="Calibri"/>
        <family val="2"/>
        <scheme val="minor"/>
      </rPr>
      <t xml:space="preserve">RF-Cp145 enhanced survival of </t>
    </r>
    <r>
      <rPr>
        <b/>
        <sz val="11"/>
        <color rgb="FF000000"/>
        <rFont val="Calibri"/>
        <family val="2"/>
        <scheme val="minor"/>
      </rPr>
      <t>cisplatin</t>
    </r>
    <r>
      <rPr>
        <sz val="11"/>
        <color indexed="8"/>
        <rFont val="Calibri"/>
        <family val="2"/>
        <scheme val="minor"/>
      </rPr>
      <t xml:space="preserve"> and ionizing radiation-treated cells cotransfected with wild-type Rb but not LxCxE nonbinding Rb N757F mutant. </t>
    </r>
    <r>
      <rPr>
        <b/>
        <sz val="11"/>
        <color rgb="FF000000"/>
        <rFont val="Calibri"/>
        <family val="2"/>
        <scheme val="minor"/>
      </rPr>
      <t xml:space="preserve">2) </t>
    </r>
    <r>
      <rPr>
        <sz val="11"/>
        <color indexed="8"/>
        <rFont val="Calibri"/>
        <family val="2"/>
        <scheme val="minor"/>
      </rPr>
      <t xml:space="preserve">Proteins that bind to Platinum-Modified DNA identified by Photo-Affinity includes </t>
    </r>
    <r>
      <rPr>
        <b/>
        <sz val="11"/>
        <color rgb="FF000000"/>
        <rFont val="Calibri"/>
        <family val="2"/>
        <scheme val="minor"/>
      </rPr>
      <t xml:space="preserve">RFC1 </t>
    </r>
    <r>
      <rPr>
        <sz val="11"/>
        <color indexed="8"/>
        <rFont val="Calibri"/>
        <family val="2"/>
        <scheme val="minor"/>
      </rPr>
      <t xml:space="preserve">and RFC2. </t>
    </r>
  </si>
  <si>
    <r>
      <t xml:space="preserve">1) Proteins that bind to Platinum-Modified DNA identified by Photo-Affinity includes RFC1 and </t>
    </r>
    <r>
      <rPr>
        <b/>
        <sz val="11"/>
        <color rgb="FF000000"/>
        <rFont val="Calibri"/>
        <family val="2"/>
        <scheme val="minor"/>
      </rPr>
      <t>RFC2</t>
    </r>
    <r>
      <rPr>
        <sz val="11"/>
        <color indexed="8"/>
        <rFont val="Calibri"/>
        <family val="2"/>
        <scheme val="minor"/>
      </rPr>
      <t xml:space="preserve">. </t>
    </r>
    <r>
      <rPr>
        <b/>
        <sz val="11"/>
        <color rgb="FF000000"/>
        <rFont val="Calibri"/>
        <family val="2"/>
        <scheme val="minor"/>
      </rPr>
      <t xml:space="preserve">2) </t>
    </r>
    <r>
      <rPr>
        <sz val="11"/>
        <color indexed="8"/>
        <rFont val="Calibri"/>
        <family val="2"/>
        <scheme val="minor"/>
      </rPr>
      <t>RFC2 binds to damaged DNA downstream of damage recognition in the nucleotide excision repair pathway following excision of the damaged bases</t>
    </r>
  </si>
  <si>
    <r>
      <rPr>
        <b/>
        <sz val="11"/>
        <color rgb="FF333333"/>
        <rFont val="Calibri"/>
        <family val="2"/>
        <scheme val="minor"/>
      </rPr>
      <t>1)</t>
    </r>
    <r>
      <rPr>
        <sz val="11"/>
        <color rgb="FF333333"/>
        <rFont val="Calibri"/>
        <family val="2"/>
        <scheme val="minor"/>
      </rPr>
      <t xml:space="preserve"> </t>
    </r>
    <r>
      <rPr>
        <b/>
        <sz val="11"/>
        <color rgb="FF333333"/>
        <rFont val="Calibri"/>
        <family val="2"/>
        <scheme val="minor"/>
      </rPr>
      <t>cisplatin</t>
    </r>
    <r>
      <rPr>
        <sz val="11"/>
        <color rgb="FF333333"/>
        <rFont val="Calibri"/>
        <family val="2"/>
        <scheme val="minor"/>
      </rPr>
      <t xml:space="preserve"> inhibits </t>
    </r>
    <r>
      <rPr>
        <b/>
        <sz val="11"/>
        <color rgb="FF333333"/>
        <rFont val="Calibri"/>
        <family val="2"/>
        <scheme val="minor"/>
      </rPr>
      <t>SDH</t>
    </r>
    <r>
      <rPr>
        <sz val="11"/>
        <color rgb="FF333333"/>
        <rFont val="Calibri"/>
        <family val="2"/>
        <scheme val="minor"/>
      </rPr>
      <t>, COX, and ATP synthase. </t>
    </r>
    <r>
      <rPr>
        <b/>
        <sz val="11"/>
        <color rgb="FF333333"/>
        <rFont val="Calibri"/>
        <family val="2"/>
        <scheme val="minor"/>
      </rPr>
      <t xml:space="preserve">2) </t>
    </r>
    <r>
      <rPr>
        <sz val="11"/>
        <color rgb="FF333333"/>
        <rFont val="Calibri"/>
        <family val="2"/>
        <scheme val="minor"/>
      </rPr>
      <t>non-toxic doses of the mitochondrial Complex II inhibitor thenoyltrifluoroacetone (TTFA), which specifically inhibits the ubiquinone-binding site of succinate dehydrogenase (</t>
    </r>
    <r>
      <rPr>
        <b/>
        <sz val="11"/>
        <color rgb="FF333333"/>
        <rFont val="Calibri"/>
        <family val="2"/>
        <scheme val="minor"/>
      </rPr>
      <t>SDH</t>
    </r>
    <r>
      <rPr>
        <sz val="11"/>
        <color rgb="FF333333"/>
        <rFont val="Calibri"/>
        <family val="2"/>
        <scheme val="minor"/>
      </rPr>
      <t xml:space="preserve">), synergistically stimulated cell death, induced by harmless doses of </t>
    </r>
    <r>
      <rPr>
        <b/>
        <sz val="11"/>
        <color rgb="FF333333"/>
        <rFont val="Calibri"/>
        <family val="2"/>
        <scheme val="minor"/>
      </rPr>
      <t>cisplatin</t>
    </r>
    <r>
      <rPr>
        <sz val="11"/>
        <color rgb="FF333333"/>
        <rFont val="Calibri"/>
        <family val="2"/>
        <scheme val="minor"/>
      </rPr>
      <t xml:space="preserve"> in a panel of chemoresistant neuroblastoma cell lines. </t>
    </r>
  </si>
  <si>
    <r>
      <rPr>
        <b/>
        <sz val="11"/>
        <rFont val="Calibri"/>
        <family val="2"/>
        <scheme val="minor"/>
      </rPr>
      <t xml:space="preserve">1) </t>
    </r>
    <r>
      <rPr>
        <sz val="11"/>
        <rFont val="Calibri"/>
        <family val="2"/>
        <scheme val="minor"/>
      </rPr>
      <t xml:space="preserve">A </t>
    </r>
    <r>
      <rPr>
        <b/>
        <sz val="11"/>
        <rFont val="Calibri"/>
        <family val="2"/>
        <scheme val="minor"/>
      </rPr>
      <t>14-3-3sigma</t>
    </r>
    <r>
      <rPr>
        <sz val="11"/>
        <rFont val="Calibri"/>
        <family val="2"/>
        <scheme val="minor"/>
      </rPr>
      <t xml:space="preserve">-dependent mechanism inhibits </t>
    </r>
    <r>
      <rPr>
        <b/>
        <sz val="11"/>
        <rFont val="Calibri"/>
        <family val="2"/>
        <scheme val="minor"/>
      </rPr>
      <t>p53</t>
    </r>
    <r>
      <rPr>
        <sz val="11"/>
        <rFont val="Calibri"/>
        <family val="2"/>
        <scheme val="minor"/>
      </rPr>
      <t xml:space="preserve"> activation in parental cells treated with a low </t>
    </r>
    <r>
      <rPr>
        <b/>
        <sz val="11"/>
        <rFont val="Calibri"/>
        <family val="2"/>
        <scheme val="minor"/>
      </rPr>
      <t>cisplatin</t>
    </r>
    <r>
      <rPr>
        <sz val="11"/>
        <rFont val="Calibri"/>
        <family val="2"/>
        <scheme val="minor"/>
      </rPr>
      <t xml:space="preserve"> dose, thereby blocking p21 expression that is essential for senescence and consequently conferring to the parental cells a significant degree of resistance to cisplatin. </t>
    </r>
    <r>
      <rPr>
        <b/>
        <sz val="11"/>
        <rFont val="Calibri"/>
        <family val="2"/>
        <scheme val="minor"/>
      </rPr>
      <t xml:space="preserve">2) 14-3-3σ </t>
    </r>
    <r>
      <rPr>
        <sz val="11"/>
        <rFont val="Calibri"/>
        <family val="2"/>
        <scheme val="minor"/>
      </rPr>
      <t xml:space="preserve">is highly expressed in HKESC-2R cells when compared to HKESC-2 cells. </t>
    </r>
    <r>
      <rPr>
        <b/>
        <sz val="11"/>
        <rFont val="Calibri"/>
        <family val="2"/>
        <scheme val="minor"/>
      </rPr>
      <t xml:space="preserve">3) </t>
    </r>
    <r>
      <rPr>
        <sz val="11"/>
        <rFont val="Calibri"/>
        <family val="2"/>
        <scheme val="minor"/>
      </rPr>
      <t xml:space="preserve">Ectopic expression of 14-3-3σ increased </t>
    </r>
    <r>
      <rPr>
        <b/>
        <sz val="11"/>
        <rFont val="Calibri"/>
        <family val="2"/>
        <scheme val="minor"/>
      </rPr>
      <t>cisplatin</t>
    </r>
    <r>
      <rPr>
        <sz val="11"/>
        <rFont val="Calibri"/>
        <family val="2"/>
        <scheme val="minor"/>
      </rPr>
      <t xml:space="preserve"> resistance in </t>
    </r>
    <r>
      <rPr>
        <b/>
        <sz val="11"/>
        <rFont val="Calibri"/>
        <family val="2"/>
        <scheme val="minor"/>
      </rPr>
      <t>esophageal</t>
    </r>
    <r>
      <rPr>
        <sz val="11"/>
        <rFont val="Calibri"/>
        <family val="2"/>
        <scheme val="minor"/>
      </rPr>
      <t xml:space="preserve"> squamous cell carcinoma HKESC-2 cells, while its suppression sensitized SLMT-1 cells to </t>
    </r>
    <r>
      <rPr>
        <b/>
        <sz val="11"/>
        <rFont val="Calibri"/>
        <family val="2"/>
        <scheme val="minor"/>
      </rPr>
      <t>cisplatin.</t>
    </r>
    <r>
      <rPr>
        <sz val="11"/>
        <rFont val="Calibri"/>
        <family val="2"/>
        <scheme val="minor"/>
      </rPr>
      <t xml:space="preserve"> </t>
    </r>
    <r>
      <rPr>
        <b/>
        <sz val="11"/>
        <rFont val="Calibri"/>
        <family val="2"/>
        <scheme val="minor"/>
      </rPr>
      <t>4)</t>
    </r>
    <r>
      <rPr>
        <sz val="11"/>
        <rFont val="Calibri"/>
        <family val="2"/>
        <scheme val="minor"/>
      </rPr>
      <t xml:space="preserve"> </t>
    </r>
    <r>
      <rPr>
        <b/>
        <sz val="11"/>
        <rFont val="Calibri"/>
        <family val="2"/>
        <scheme val="minor"/>
      </rPr>
      <t>HMGB1</t>
    </r>
    <r>
      <rPr>
        <sz val="11"/>
        <rFont val="Calibri"/>
        <family val="2"/>
        <scheme val="minor"/>
      </rPr>
      <t xml:space="preserve"> and </t>
    </r>
    <r>
      <rPr>
        <b/>
        <sz val="11"/>
        <rFont val="Calibri"/>
        <family val="2"/>
        <scheme val="minor"/>
      </rPr>
      <t>XPA</t>
    </r>
    <r>
      <rPr>
        <sz val="11"/>
        <rFont val="Calibri"/>
        <family val="2"/>
        <scheme val="minor"/>
      </rPr>
      <t xml:space="preserve"> were found to be highly expressed in HKESC-2R cells with high </t>
    </r>
    <r>
      <rPr>
        <b/>
        <sz val="11"/>
        <rFont val="Calibri"/>
        <family val="2"/>
        <scheme val="minor"/>
      </rPr>
      <t>14-3-3σ</t>
    </r>
    <r>
      <rPr>
        <sz val="11"/>
        <rFont val="Calibri"/>
        <family val="2"/>
        <scheme val="minor"/>
      </rPr>
      <t xml:space="preserve"> expression. </t>
    </r>
    <r>
      <rPr>
        <b/>
        <sz val="11"/>
        <rFont val="Calibri"/>
        <family val="2"/>
        <scheme val="minor"/>
      </rPr>
      <t xml:space="preserve">5) </t>
    </r>
    <r>
      <rPr>
        <sz val="11"/>
        <rFont val="Calibri"/>
        <family val="2"/>
        <scheme val="minor"/>
      </rPr>
      <t xml:space="preserve">Subsequent manipulation of 14-3-3σ by both overexpression and knockdown approaches concurrently altered the expression of HMGB1 and XPA. </t>
    </r>
    <r>
      <rPr>
        <b/>
        <sz val="11"/>
        <rFont val="Calibri"/>
        <family val="2"/>
        <scheme val="minor"/>
      </rPr>
      <t xml:space="preserve">6) </t>
    </r>
    <r>
      <rPr>
        <sz val="11"/>
        <rFont val="Calibri"/>
        <family val="2"/>
        <scheme val="minor"/>
      </rPr>
      <t xml:space="preserve">14-3-3σ, HMGB1, and XPA were preferentially expressed in </t>
    </r>
    <r>
      <rPr>
        <b/>
        <sz val="11"/>
        <rFont val="Calibri"/>
        <family val="2"/>
        <scheme val="minor"/>
      </rPr>
      <t>cisplatin</t>
    </r>
    <r>
      <rPr>
        <sz val="11"/>
        <rFont val="Calibri"/>
        <family val="2"/>
        <scheme val="minor"/>
      </rPr>
      <t xml:space="preserve">-resistant SLMT-1 cells when compared to those more sensitive to cisplatin. </t>
    </r>
    <r>
      <rPr>
        <b/>
        <sz val="11"/>
        <rFont val="Calibri"/>
        <family val="2"/>
        <scheme val="minor"/>
      </rPr>
      <t xml:space="preserve">7) </t>
    </r>
    <r>
      <rPr>
        <sz val="11"/>
        <rFont val="Calibri"/>
        <family val="2"/>
        <scheme val="minor"/>
      </rPr>
      <t xml:space="preserve">In ESCC patients with poor response to </t>
    </r>
    <r>
      <rPr>
        <b/>
        <sz val="11"/>
        <rFont val="Calibri"/>
        <family val="2"/>
        <scheme val="minor"/>
      </rPr>
      <t>cisplatin</t>
    </r>
    <r>
      <rPr>
        <sz val="11"/>
        <rFont val="Calibri"/>
        <family val="2"/>
        <scheme val="minor"/>
      </rPr>
      <t xml:space="preserve">-based chemoradiation, their pre-treatment tumors expressed higher expression of HMGB1 than those with response to such treatment. </t>
    </r>
  </si>
  <si>
    <r>
      <rPr>
        <b/>
        <sz val="11"/>
        <rFont val="Calibri"/>
        <family val="2"/>
        <scheme val="minor"/>
      </rPr>
      <t xml:space="preserve">1) </t>
    </r>
    <r>
      <rPr>
        <sz val="11"/>
        <rFont val="Calibri"/>
        <family val="2"/>
        <scheme val="minor"/>
      </rPr>
      <t xml:space="preserve">the single depletion of GEN1, MUS81, SLX4, or </t>
    </r>
    <r>
      <rPr>
        <b/>
        <sz val="11"/>
        <rFont val="Calibri"/>
        <family val="2"/>
        <scheme val="minor"/>
      </rPr>
      <t>SLX1</t>
    </r>
    <r>
      <rPr>
        <sz val="11"/>
        <rFont val="Calibri"/>
        <family val="2"/>
        <scheme val="minor"/>
      </rPr>
      <t xml:space="preserve"> led to a significant reduction in </t>
    </r>
    <r>
      <rPr>
        <b/>
        <sz val="11"/>
        <rFont val="Calibri"/>
        <family val="2"/>
        <scheme val="minor"/>
      </rPr>
      <t>cisplatin</t>
    </r>
    <r>
      <rPr>
        <sz val="11"/>
        <rFont val="Calibri"/>
        <family val="2"/>
        <scheme val="minor"/>
      </rPr>
      <t xml:space="preserve">-induced SCEs. </t>
    </r>
    <r>
      <rPr>
        <b/>
        <sz val="11"/>
        <rFont val="Calibri"/>
        <family val="2"/>
        <scheme val="minor"/>
      </rPr>
      <t>2)</t>
    </r>
    <r>
      <rPr>
        <sz val="11"/>
        <rFont val="Calibri"/>
        <family val="2"/>
        <scheme val="minor"/>
      </rPr>
      <t xml:space="preserve"> Consistent with the notion that </t>
    </r>
    <r>
      <rPr>
        <b/>
        <sz val="11"/>
        <rFont val="Calibri"/>
        <family val="2"/>
        <scheme val="minor"/>
      </rPr>
      <t>efficient HJ resolution</t>
    </r>
    <r>
      <rPr>
        <sz val="11"/>
        <rFont val="Calibri"/>
        <family val="2"/>
        <scheme val="minor"/>
      </rPr>
      <t xml:space="preserve"> is required for faithful chromosome segregation, especially after treatment with </t>
    </r>
    <r>
      <rPr>
        <b/>
        <sz val="11"/>
        <rFont val="Calibri"/>
        <family val="2"/>
        <scheme val="minor"/>
      </rPr>
      <t>cisplatin</t>
    </r>
    <r>
      <rPr>
        <sz val="11"/>
        <rFont val="Calibri"/>
        <family val="2"/>
        <scheme val="minor"/>
      </rPr>
      <t xml:space="preserve">, we observed very high levels of </t>
    </r>
    <r>
      <rPr>
        <b/>
        <sz val="11"/>
        <rFont val="Calibri"/>
        <family val="2"/>
        <scheme val="minor"/>
      </rPr>
      <t>mortality</t>
    </r>
    <r>
      <rPr>
        <sz val="11"/>
        <rFont val="Calibri"/>
        <family val="2"/>
        <scheme val="minor"/>
      </rPr>
      <t xml:space="preserve"> in both GM00637 and HeLa cells codepleted for GEN1 and either MUS81, SLX4, or SLX1 when compared with the single depletions</t>
    </r>
  </si>
  <si>
    <r>
      <rPr>
        <b/>
        <sz val="11"/>
        <rFont val="Calibri"/>
        <family val="2"/>
        <scheme val="minor"/>
      </rPr>
      <t>1)</t>
    </r>
    <r>
      <rPr>
        <sz val="11"/>
        <rFont val="Calibri"/>
        <family val="2"/>
        <scheme val="minor"/>
      </rPr>
      <t xml:space="preserve"> ICL processing has been shown to also involve </t>
    </r>
    <r>
      <rPr>
        <b/>
        <sz val="11"/>
        <rFont val="Calibri"/>
        <family val="2"/>
        <scheme val="minor"/>
      </rPr>
      <t>MUS81-EME1</t>
    </r>
    <r>
      <rPr>
        <sz val="11"/>
        <rFont val="Calibri"/>
        <family val="2"/>
        <scheme val="minor"/>
      </rPr>
      <t xml:space="preserve"> and </t>
    </r>
    <r>
      <rPr>
        <b/>
        <sz val="11"/>
        <rFont val="Calibri"/>
        <family val="2"/>
        <scheme val="minor"/>
      </rPr>
      <t>XPF-ERCC1</t>
    </r>
    <r>
      <rPr>
        <sz val="11"/>
        <rFont val="Calibri"/>
        <family val="2"/>
        <scheme val="minor"/>
      </rPr>
      <t xml:space="preserve">, nucleases known to interact with </t>
    </r>
    <r>
      <rPr>
        <b/>
        <sz val="11"/>
        <rFont val="Calibri"/>
        <family val="2"/>
        <scheme val="minor"/>
      </rPr>
      <t>SLX4</t>
    </r>
    <r>
      <rPr>
        <sz val="11"/>
        <rFont val="Calibri"/>
        <family val="2"/>
        <scheme val="minor"/>
      </rPr>
      <t>, a docking protein that also can bind another nuclease, SLX1. </t>
    </r>
    <r>
      <rPr>
        <b/>
        <sz val="11"/>
        <rFont val="Calibri"/>
        <family val="2"/>
        <scheme val="minor"/>
      </rPr>
      <t>2)</t>
    </r>
    <r>
      <rPr>
        <sz val="11"/>
        <rFont val="Calibri"/>
        <family val="2"/>
        <scheme val="minor"/>
      </rPr>
      <t xml:space="preserve"> SLX4−/− cells expressing UBZ-deficient SLX4 were selectively sensitive to </t>
    </r>
    <r>
      <rPr>
        <b/>
        <sz val="11"/>
        <rFont val="Calibri"/>
        <family val="2"/>
        <scheme val="minor"/>
      </rPr>
      <t>cisplatin</t>
    </r>
    <r>
      <rPr>
        <sz val="11"/>
        <rFont val="Calibri"/>
        <family val="2"/>
        <scheme val="minor"/>
      </rPr>
      <t xml:space="preserve">, and that the UBZ domain was required for interaction of </t>
    </r>
    <r>
      <rPr>
        <b/>
        <sz val="11"/>
        <rFont val="Calibri"/>
        <family val="2"/>
        <scheme val="minor"/>
      </rPr>
      <t>SLX4</t>
    </r>
    <r>
      <rPr>
        <sz val="11"/>
        <rFont val="Calibri"/>
        <family val="2"/>
        <scheme val="minor"/>
      </rPr>
      <t xml:space="preserve"> with ubiquitylated </t>
    </r>
    <r>
      <rPr>
        <b/>
        <sz val="11"/>
        <rFont val="Calibri"/>
        <family val="2"/>
        <scheme val="minor"/>
      </rPr>
      <t>FANCD2</t>
    </r>
    <r>
      <rPr>
        <sz val="11"/>
        <rFont val="Calibri"/>
        <family val="2"/>
        <scheme val="minor"/>
      </rPr>
      <t xml:space="preserve"> and for its recruitment to DNA-damage foci generated by ICL-inducing agents. </t>
    </r>
  </si>
  <si>
    <r>
      <rPr>
        <b/>
        <sz val="11"/>
        <color rgb="FF333333"/>
        <rFont val="Calibri"/>
        <family val="2"/>
        <scheme val="minor"/>
      </rPr>
      <t>1) Cisplatin</t>
    </r>
    <r>
      <rPr>
        <sz val="11"/>
        <color rgb="FF333333"/>
        <rFont val="Calibri"/>
        <family val="2"/>
        <scheme val="minor"/>
      </rPr>
      <t>, norcantharidin and cisplatin plus norcantharidin significantly inhibited the proliferation of cells, significantly attenuated both the mRNA and protein expression of TGF-β1 and Smad7, and significantly up-regulated the mRNA and protein expression of </t>
    </r>
    <r>
      <rPr>
        <b/>
        <sz val="11"/>
        <color rgb="FF333333"/>
        <rFont val="Calibri"/>
        <family val="2"/>
        <scheme val="minor"/>
      </rPr>
      <t>Smad4</t>
    </r>
    <r>
      <rPr>
        <sz val="11"/>
        <color rgb="FF333333"/>
        <rFont val="Calibri"/>
        <family val="2"/>
        <scheme val="minor"/>
      </rPr>
      <t xml:space="preserve">. </t>
    </r>
    <r>
      <rPr>
        <b/>
        <sz val="11"/>
        <color rgb="FF333333"/>
        <rFont val="Calibri"/>
        <family val="2"/>
        <scheme val="minor"/>
      </rPr>
      <t xml:space="preserve">2) </t>
    </r>
    <r>
      <rPr>
        <sz val="11"/>
        <color rgb="FF333333"/>
        <rFont val="Calibri"/>
        <family val="2"/>
        <scheme val="minor"/>
      </rPr>
      <t xml:space="preserve">DPC4/SMAD4 inactivation sensitized pancreatic cancer cells to </t>
    </r>
    <r>
      <rPr>
        <b/>
        <sz val="11"/>
        <color rgb="FF333333"/>
        <rFont val="Calibri"/>
        <family val="2"/>
        <scheme val="minor"/>
      </rPr>
      <t>cisplatin</t>
    </r>
    <r>
      <rPr>
        <sz val="11"/>
        <color rgb="FF333333"/>
        <rFont val="Calibri"/>
        <family val="2"/>
        <scheme val="minor"/>
      </rPr>
      <t xml:space="preserve"> and irinotecan by 2- to 4-fold. </t>
    </r>
    <r>
      <rPr>
        <b/>
        <sz val="11"/>
        <color rgb="FF333333"/>
        <rFont val="Calibri"/>
        <family val="2"/>
        <scheme val="minor"/>
      </rPr>
      <t xml:space="preserve">3) Esophagus </t>
    </r>
    <r>
      <rPr>
        <sz val="11"/>
        <color rgb="FF333333"/>
        <rFont val="Calibri"/>
        <family val="2"/>
        <scheme val="minor"/>
      </rPr>
      <t xml:space="preserve">tumors with total or subtotal regression, as determined by histopathological examination after </t>
    </r>
    <r>
      <rPr>
        <b/>
        <sz val="11"/>
        <color rgb="FF333333"/>
        <rFont val="Calibri"/>
        <family val="2"/>
        <scheme val="minor"/>
      </rPr>
      <t>neoadjuvant chemoradiotherapy</t>
    </r>
    <r>
      <rPr>
        <sz val="11"/>
        <color rgb="FF333333"/>
        <rFont val="Calibri"/>
        <family val="2"/>
        <scheme val="minor"/>
      </rPr>
      <t xml:space="preserve">, showed significantly higher levels of Smad4 mRNA expression than tumors with minor or no regression (P = 0.032). </t>
    </r>
    <r>
      <rPr>
        <b/>
        <sz val="11"/>
        <color rgb="FF333333"/>
        <rFont val="Calibri"/>
        <family val="2"/>
        <scheme val="minor"/>
      </rPr>
      <t xml:space="preserve">4) </t>
    </r>
    <r>
      <rPr>
        <sz val="11"/>
        <color rgb="FF333333"/>
        <rFont val="Calibri"/>
        <family val="2"/>
        <scheme val="minor"/>
      </rPr>
      <t xml:space="preserve">Levels of SMAD4, a key mediator of the transforming growth factor-ß pathway, increased after activin treatment of OE33/DKK3, and siSMAD4 significantly decreased Matrigel invasion, suggesting that DKK3 acts through the transforming growth factor-β pathway. OE33/DKK3 cells increased endothelial tube formation and were significantly more resistant to 5-fluorouracil and </t>
    </r>
    <r>
      <rPr>
        <b/>
        <sz val="11"/>
        <color rgb="FF333333"/>
        <rFont val="Calibri"/>
        <family val="2"/>
        <scheme val="minor"/>
      </rPr>
      <t>cisplatin</t>
    </r>
    <r>
      <rPr>
        <sz val="11"/>
        <color rgb="FF333333"/>
        <rFont val="Calibri"/>
        <family val="2"/>
        <scheme val="minor"/>
      </rPr>
      <t xml:space="preserve">, </t>
    </r>
  </si>
  <si>
    <r>
      <t xml:space="preserve"> </t>
    </r>
    <r>
      <rPr>
        <b/>
        <sz val="11"/>
        <rFont val="Calibri"/>
        <family val="2"/>
        <scheme val="minor"/>
      </rPr>
      <t xml:space="preserve">1) </t>
    </r>
    <r>
      <rPr>
        <sz val="11"/>
        <rFont val="Calibri"/>
        <family val="2"/>
        <scheme val="minor"/>
      </rPr>
      <t xml:space="preserve">YAP1 ablation significantly improved sensitivities to </t>
    </r>
    <r>
      <rPr>
        <b/>
        <sz val="11"/>
        <rFont val="Calibri"/>
        <family val="2"/>
        <scheme val="minor"/>
      </rPr>
      <t>cisplatin</t>
    </r>
    <r>
      <rPr>
        <sz val="11"/>
        <rFont val="Calibri"/>
        <family val="2"/>
        <scheme val="minor"/>
      </rPr>
      <t xml:space="preserve">. </t>
    </r>
    <r>
      <rPr>
        <b/>
        <sz val="11"/>
        <rFont val="Calibri"/>
        <family val="2"/>
        <scheme val="minor"/>
      </rPr>
      <t xml:space="preserve">2) </t>
    </r>
    <r>
      <rPr>
        <sz val="11"/>
        <rFont val="Calibri"/>
        <family val="2"/>
        <scheme val="minor"/>
      </rPr>
      <t>SMURF2, which can ubiquitinate, but stabilize EGFR by protecting it from c-Cbl-mediated degradation. </t>
    </r>
    <r>
      <rPr>
        <b/>
        <sz val="11"/>
        <rFont val="Calibri"/>
        <family val="2"/>
        <scheme val="minor"/>
      </rPr>
      <t>3)</t>
    </r>
    <r>
      <rPr>
        <sz val="11"/>
        <rFont val="Calibri"/>
        <family val="2"/>
        <scheme val="minor"/>
      </rPr>
      <t xml:space="preserve"> small interfering RNA (siRNA)-mediated knockdown of SMURF2 destabilized EGFR, induced an autophagic response and reduced the clonogenic survival of EGFR-expressing cancer cell lines. </t>
    </r>
    <r>
      <rPr>
        <b/>
        <sz val="11"/>
        <rFont val="Calibri"/>
        <family val="2"/>
        <scheme val="minor"/>
      </rPr>
      <t>4) F</t>
    </r>
    <r>
      <rPr>
        <sz val="11"/>
        <rFont val="Calibri"/>
        <family val="2"/>
        <scheme val="minor"/>
      </rPr>
      <t xml:space="preserve">ucoidan decrease tumor growth by promoting Smurf2 and Smad7 to conjugate TGFRs, resulting in TGF degradation: synergistic effect of fucoidan combined with </t>
    </r>
    <r>
      <rPr>
        <b/>
        <sz val="11"/>
        <rFont val="Calibri"/>
        <family val="2"/>
        <scheme val="minor"/>
      </rPr>
      <t>cisplatin</t>
    </r>
    <r>
      <rPr>
        <sz val="11"/>
        <rFont val="Calibri"/>
        <family val="2"/>
        <scheme val="minor"/>
      </rPr>
      <t xml:space="preserve">. </t>
    </r>
  </si>
  <si>
    <r>
      <rPr>
        <b/>
        <sz val="11"/>
        <rFont val="Calibri"/>
        <family val="2"/>
        <scheme val="minor"/>
      </rPr>
      <t>1)</t>
    </r>
    <r>
      <rPr>
        <sz val="11"/>
        <rFont val="Calibri"/>
        <family val="2"/>
        <scheme val="minor"/>
      </rPr>
      <t xml:space="preserve"> IGF1R expression is inhibited by the von Hippel-Lindau (</t>
    </r>
    <r>
      <rPr>
        <b/>
        <sz val="11"/>
        <rFont val="Calibri"/>
        <family val="2"/>
        <scheme val="minor"/>
      </rPr>
      <t>VHL</t>
    </r>
    <r>
      <rPr>
        <sz val="11"/>
        <rFont val="Calibri"/>
        <family val="2"/>
        <scheme val="minor"/>
      </rPr>
      <t>) tumor suppressor, and the IGF1R is up-regulated in CC-RCC, in which VHL is frequently inactivated. </t>
    </r>
    <r>
      <rPr>
        <b/>
        <sz val="11"/>
        <rFont val="Calibri"/>
        <family val="2"/>
        <scheme val="minor"/>
      </rPr>
      <t xml:space="preserve">2) </t>
    </r>
    <r>
      <rPr>
        <sz val="11"/>
        <rFont val="Calibri"/>
        <family val="2"/>
        <scheme val="minor"/>
      </rPr>
      <t xml:space="preserve">CC-RCC cells expressing mutant VHL and higher IGF1R were more chemoresistant than cells expressing functional VHL. </t>
    </r>
    <r>
      <rPr>
        <b/>
        <sz val="11"/>
        <rFont val="Calibri"/>
        <family val="2"/>
        <scheme val="minor"/>
      </rPr>
      <t>3)</t>
    </r>
    <r>
      <rPr>
        <sz val="11"/>
        <rFont val="Calibri"/>
        <family val="2"/>
        <scheme val="minor"/>
      </rPr>
      <t xml:space="preserve"> VHL as a transcriptional regulator is its ability of targeting HIF1-α subunit for ubiquitin-mediated proteolysis.  </t>
    </r>
    <r>
      <rPr>
        <b/>
        <sz val="11"/>
        <rFont val="Calibri"/>
        <family val="2"/>
        <scheme val="minor"/>
      </rPr>
      <t>4) </t>
    </r>
    <r>
      <rPr>
        <sz val="11"/>
        <rFont val="Calibri"/>
        <family val="2"/>
        <scheme val="minor"/>
      </rPr>
      <t xml:space="preserve">Combination therapy using ERK inhibitors, however, resensitizes </t>
    </r>
    <r>
      <rPr>
        <b/>
        <sz val="11"/>
        <rFont val="Calibri"/>
        <family val="2"/>
        <scheme val="minor"/>
      </rPr>
      <t>VHL-</t>
    </r>
    <r>
      <rPr>
        <sz val="11"/>
        <rFont val="Calibri"/>
        <family val="2"/>
        <scheme val="minor"/>
      </rPr>
      <t xml:space="preserve"> and EglN3-deficient cells that are otherwise </t>
    </r>
    <r>
      <rPr>
        <b/>
        <sz val="11"/>
        <rFont val="Calibri"/>
        <family val="2"/>
        <scheme val="minor"/>
      </rPr>
      <t>cisplatin</t>
    </r>
    <r>
      <rPr>
        <sz val="11"/>
        <rFont val="Calibri"/>
        <family val="2"/>
        <scheme val="minor"/>
      </rPr>
      <t>-resistant.</t>
    </r>
  </si>
  <si>
    <r>
      <rPr>
        <b/>
        <sz val="11"/>
        <rFont val="Calibri"/>
        <family val="2"/>
        <scheme val="minor"/>
      </rPr>
      <t>1)</t>
    </r>
    <r>
      <rPr>
        <sz val="11"/>
        <rFont val="Calibri"/>
        <family val="2"/>
        <scheme val="minor"/>
      </rPr>
      <t xml:space="preserve"> XRCC2-deficient cells have increased levels of spontaneous chromosome instability, and exhibit hypersensitivity to DNA interstrand crosslinking agents such as mitomycin C and </t>
    </r>
    <r>
      <rPr>
        <b/>
        <sz val="11"/>
        <rFont val="Calibri"/>
        <family val="2"/>
        <scheme val="minor"/>
      </rPr>
      <t>cisplatin</t>
    </r>
    <r>
      <rPr>
        <sz val="11"/>
        <rFont val="Calibri"/>
        <family val="2"/>
        <scheme val="minor"/>
      </rPr>
      <t> as well as ionizing radiation, alkylating agents and aldehydes. </t>
    </r>
    <r>
      <rPr>
        <b/>
        <sz val="11"/>
        <rFont val="Calibri"/>
        <family val="2"/>
        <scheme val="minor"/>
      </rPr>
      <t xml:space="preserve">2) </t>
    </r>
    <r>
      <rPr>
        <sz val="11"/>
        <rFont val="Calibri"/>
        <family val="2"/>
        <scheme val="minor"/>
      </rPr>
      <t xml:space="preserve">The sensitivity levels to CBP and DDP in the patients with at least one T allele was 2.06 times (pathological type adjusted OR = 2.06, 95% CI = 1.02 - 4.18) and 2.07 times (pathological type adjusted OR = 2.07, 95% CI = 1.04 - 4.14) higher than those in the patients with C/C genotype. </t>
    </r>
  </si>
  <si>
    <r>
      <t>Xrcc3 overexpression in MCF-7 cells resulted in</t>
    </r>
    <r>
      <rPr>
        <b/>
        <sz val="11"/>
        <rFont val="Calibri"/>
        <family val="2"/>
        <scheme val="minor"/>
      </rPr>
      <t xml:space="preserve"> 1)</t>
    </r>
    <r>
      <rPr>
        <sz val="11"/>
        <rFont val="Calibri"/>
        <family val="2"/>
        <scheme val="minor"/>
      </rPr>
      <t xml:space="preserve"> a 2- to 6-fold resistance to </t>
    </r>
    <r>
      <rPr>
        <b/>
        <sz val="11"/>
        <rFont val="Calibri"/>
        <family val="2"/>
        <scheme val="minor"/>
      </rPr>
      <t>cisplatin</t>
    </r>
    <r>
      <rPr>
        <sz val="11"/>
        <rFont val="Calibri"/>
        <family val="2"/>
        <scheme val="minor"/>
      </rPr>
      <t xml:space="preserve">/melphalan, </t>
    </r>
    <r>
      <rPr>
        <b/>
        <sz val="11"/>
        <rFont val="Calibri"/>
        <family val="2"/>
        <scheme val="minor"/>
      </rPr>
      <t>2)</t>
    </r>
    <r>
      <rPr>
        <sz val="11"/>
        <rFont val="Calibri"/>
        <family val="2"/>
        <scheme val="minor"/>
      </rPr>
      <t xml:space="preserve"> a 2-fold increase in drug-induced Rad51 foci,</t>
    </r>
    <r>
      <rPr>
        <b/>
        <sz val="11"/>
        <rFont val="Calibri"/>
        <family val="2"/>
        <scheme val="minor"/>
      </rPr>
      <t xml:space="preserve"> 3)</t>
    </r>
    <r>
      <rPr>
        <sz val="11"/>
        <rFont val="Calibri"/>
        <family val="2"/>
        <scheme val="minor"/>
      </rPr>
      <t xml:space="preserve"> an increased cisplatin-induced S-phase arrest, </t>
    </r>
    <r>
      <rPr>
        <b/>
        <sz val="11"/>
        <rFont val="Calibri"/>
        <family val="2"/>
        <scheme val="minor"/>
      </rPr>
      <t xml:space="preserve">4) </t>
    </r>
    <r>
      <rPr>
        <sz val="11"/>
        <rFont val="Calibri"/>
        <family val="2"/>
        <scheme val="minor"/>
      </rPr>
      <t xml:space="preserve">decreased cisplatin-induced apoptosis, and </t>
    </r>
    <r>
      <rPr>
        <b/>
        <sz val="11"/>
        <rFont val="Calibri"/>
        <family val="2"/>
        <scheme val="minor"/>
      </rPr>
      <t>5)</t>
    </r>
    <r>
      <rPr>
        <sz val="11"/>
        <rFont val="Calibri"/>
        <family val="2"/>
        <scheme val="minor"/>
      </rPr>
      <t xml:space="preserve"> increased cisplatin-induced DNA synthesis arrest. </t>
    </r>
  </si>
  <si>
    <r>
      <t xml:space="preserve">The XRCC4-deficient cells were highly sensitive to etoposide and 5-fluoro-2'-deoxyuridine as well as IR, and moderately sensitive to camptothecin, methyl methanesulfonate, </t>
    </r>
    <r>
      <rPr>
        <b/>
        <sz val="11"/>
        <color rgb="FF333333"/>
        <rFont val="Calibri"/>
        <family val="2"/>
        <scheme val="minor"/>
      </rPr>
      <t>cisplatin</t>
    </r>
    <r>
      <rPr>
        <sz val="11"/>
        <color rgb="FF333333"/>
        <rFont val="Calibri"/>
        <family val="2"/>
        <scheme val="minor"/>
      </rPr>
      <t>, mitomycin C, aphidicolin and hydroxyurea, compared to the parental HCT116 cells (colon adenocarcinoma). </t>
    </r>
  </si>
  <si>
    <r>
      <rPr>
        <b/>
        <sz val="11"/>
        <rFont val="Calibri"/>
        <family val="2"/>
        <scheme val="minor"/>
      </rPr>
      <t xml:space="preserve">1) </t>
    </r>
    <r>
      <rPr>
        <sz val="11"/>
        <rFont val="Calibri"/>
        <family val="2"/>
        <scheme val="minor"/>
      </rPr>
      <t xml:space="preserve">Cisplatin causes the phosphorylation of FKHRL1 via a phosphatidylinositol 3-kinase/Akt cascade, </t>
    </r>
    <r>
      <rPr>
        <b/>
        <sz val="11"/>
        <rFont val="Calibri"/>
        <family val="2"/>
        <scheme val="minor"/>
      </rPr>
      <t xml:space="preserve">2) </t>
    </r>
    <r>
      <rPr>
        <sz val="11"/>
        <rFont val="Calibri"/>
        <family val="2"/>
        <scheme val="minor"/>
      </rPr>
      <t>Cisplatin induced the association of 14-3-3 theta protein with phosphorylated-FKHRL1 in cisplatin-resistant Caov-3 cells. 3) Inhibition of this cascade sensitizes ovariancancer cells to cisplatin.</t>
    </r>
  </si>
  <si>
    <r>
      <t>Notes</t>
    </r>
    <r>
      <rPr>
        <b/>
        <vertAlign val="superscript"/>
        <sz val="16"/>
        <color theme="1"/>
        <rFont val="Calibri"/>
        <family val="2"/>
        <scheme val="minor"/>
      </rPr>
      <t>b</t>
    </r>
  </si>
  <si>
    <r>
      <t>Up / down in Pt-resistant cells</t>
    </r>
    <r>
      <rPr>
        <b/>
        <vertAlign val="superscript"/>
        <sz val="16"/>
        <color theme="1"/>
        <rFont val="Calibri"/>
        <family val="2"/>
        <scheme val="minor"/>
      </rPr>
      <t>c</t>
    </r>
  </si>
  <si>
    <r>
      <t>Up / down to promote Pt-resistance</t>
    </r>
    <r>
      <rPr>
        <b/>
        <vertAlign val="superscript"/>
        <sz val="16"/>
        <color theme="1"/>
        <rFont val="Calibri"/>
        <family val="2"/>
        <scheme val="minor"/>
      </rPr>
      <t>d</t>
    </r>
  </si>
  <si>
    <r>
      <t>Up / down after Pt-treatment</t>
    </r>
    <r>
      <rPr>
        <b/>
        <vertAlign val="superscript"/>
        <sz val="16"/>
        <color theme="1"/>
        <rFont val="Calibri"/>
        <family val="2"/>
        <scheme val="minor"/>
      </rPr>
      <t>e</t>
    </r>
  </si>
  <si>
    <t>16575905, 29857117, 24277456</t>
  </si>
  <si>
    <t xml:space="preserve">22336585, 23842948, 26482039, 25277379, 20202822 </t>
  </si>
  <si>
    <t>10397248, 17975136, 16109772</t>
  </si>
  <si>
    <t>Apoptosis-antagonizing transcription factor / Rb-binding protein Che-1</t>
  </si>
  <si>
    <t>23045278, 27601007, 31548347</t>
  </si>
  <si>
    <t>11927290, 11410504, 21737664, 32939054, 27593081</t>
  </si>
  <si>
    <t>28417568, 27209210, 23499911</t>
  </si>
  <si>
    <t>27465871, 31904865, 29257300, 27207836</t>
  </si>
  <si>
    <t>Platinum efflux</t>
  </si>
  <si>
    <t>Platinum uptake</t>
  </si>
  <si>
    <t>19322565, 10487609</t>
  </si>
  <si>
    <r>
      <rPr>
        <b/>
        <sz val="11"/>
        <color rgb="FF333333"/>
        <rFont val="Calibri"/>
        <family val="2"/>
        <scheme val="minor"/>
      </rPr>
      <t>1) Oxaliplatin</t>
    </r>
    <r>
      <rPr>
        <sz val="11"/>
        <color rgb="FF333333"/>
        <rFont val="Calibri"/>
        <family val="2"/>
        <scheme val="minor"/>
      </rPr>
      <t xml:space="preserve"> resistant </t>
    </r>
    <r>
      <rPr>
        <b/>
        <sz val="11"/>
        <color rgb="FF333333"/>
        <rFont val="Calibri"/>
        <family val="2"/>
        <scheme val="minor"/>
      </rPr>
      <t>ovarian</t>
    </r>
    <r>
      <rPr>
        <sz val="11"/>
        <color rgb="FF333333"/>
        <rFont val="Calibri"/>
        <family val="2"/>
        <scheme val="minor"/>
      </rPr>
      <t xml:space="preserve"> carcinoma cell line C10B cells express highly</t>
    </r>
    <r>
      <rPr>
        <b/>
        <sz val="11"/>
        <color rgb="FF333333"/>
        <rFont val="Calibri"/>
        <family val="2"/>
        <scheme val="minor"/>
      </rPr>
      <t xml:space="preserve"> reduced</t>
    </r>
    <r>
      <rPr>
        <sz val="11"/>
        <color rgb="FF333333"/>
        <rFont val="Calibri"/>
        <family val="2"/>
        <scheme val="minor"/>
      </rPr>
      <t xml:space="preserve"> levels of </t>
    </r>
    <r>
      <rPr>
        <b/>
        <sz val="11"/>
        <color rgb="FF333333"/>
        <rFont val="Calibri"/>
        <family val="2"/>
        <scheme val="minor"/>
      </rPr>
      <t>Na,K-β1 </t>
    </r>
    <r>
      <rPr>
        <sz val="11"/>
        <color rgb="FF333333"/>
        <rFont val="Calibri"/>
        <family val="2"/>
        <scheme val="minor"/>
      </rPr>
      <t xml:space="preserve">subunit. </t>
    </r>
    <r>
      <rPr>
        <b/>
        <sz val="11"/>
        <color rgb="FF333333"/>
        <rFont val="Calibri"/>
        <family val="2"/>
        <scheme val="minor"/>
      </rPr>
      <t>2)</t>
    </r>
    <r>
      <rPr>
        <sz val="11"/>
        <color rgb="FF333333"/>
        <rFont val="Calibri"/>
        <family val="2"/>
        <scheme val="minor"/>
      </rPr>
      <t xml:space="preserve"> Exogenous expression of Na,K-β1 increased </t>
    </r>
    <r>
      <rPr>
        <b/>
        <sz val="11"/>
        <color rgb="FF333333"/>
        <rFont val="Calibri"/>
        <family val="2"/>
        <scheme val="minor"/>
      </rPr>
      <t>platinum</t>
    </r>
    <r>
      <rPr>
        <sz val="11"/>
        <color rgb="FF333333"/>
        <rFont val="Calibri"/>
        <family val="2"/>
        <scheme val="minor"/>
      </rPr>
      <t xml:space="preserve"> accumulation and sensitized C10B cells to </t>
    </r>
    <r>
      <rPr>
        <b/>
        <sz val="11"/>
        <color rgb="FF333333"/>
        <rFont val="Calibri"/>
        <family val="2"/>
        <scheme val="minor"/>
      </rPr>
      <t>oxaliplatin</t>
    </r>
    <r>
      <rPr>
        <sz val="11"/>
        <color rgb="FF333333"/>
        <rFont val="Calibri"/>
        <family val="2"/>
        <scheme val="minor"/>
      </rPr>
      <t xml:space="preserve">. </t>
    </r>
    <r>
      <rPr>
        <b/>
        <sz val="11"/>
        <color rgb="FF333333"/>
        <rFont val="Calibri"/>
        <family val="2"/>
        <scheme val="minor"/>
      </rPr>
      <t xml:space="preserve">3) </t>
    </r>
    <r>
      <rPr>
        <sz val="11"/>
        <color rgb="FF333333"/>
        <rFont val="Calibri"/>
        <family val="2"/>
        <scheme val="minor"/>
      </rPr>
      <t>The pharmacological inhibitor of Na,K-ATPase ouabain did not alter the oxaliplatin accumulation indicating that Na,K-β1 sensitizes cells in a Na,K-ATPase enzyme activity independent manner.</t>
    </r>
    <r>
      <rPr>
        <b/>
        <sz val="11"/>
        <color rgb="FF333333"/>
        <rFont val="Calibri"/>
        <family val="2"/>
        <scheme val="minor"/>
      </rPr>
      <t xml:space="preserve"> 4)</t>
    </r>
    <r>
      <rPr>
        <sz val="11"/>
        <color rgb="FF333333"/>
        <rFont val="Calibri"/>
        <family val="2"/>
        <scheme val="minor"/>
      </rPr>
      <t xml:space="preserve"> a decrease of </t>
    </r>
    <r>
      <rPr>
        <b/>
        <sz val="11"/>
        <color rgb="FF333333"/>
        <rFont val="Calibri"/>
        <family val="2"/>
        <scheme val="minor"/>
      </rPr>
      <t>Na+,K+-ATPase</t>
    </r>
    <r>
      <rPr>
        <sz val="11"/>
        <color rgb="FF333333"/>
        <rFont val="Calibri"/>
        <family val="2"/>
        <scheme val="minor"/>
      </rPr>
      <t xml:space="preserve"> activity in human </t>
    </r>
    <r>
      <rPr>
        <b/>
        <sz val="11"/>
        <color rgb="FF333333"/>
        <rFont val="Calibri"/>
        <family val="2"/>
        <scheme val="minor"/>
      </rPr>
      <t>prostate</t>
    </r>
    <r>
      <rPr>
        <sz val="11"/>
        <color rgb="FF333333"/>
        <rFont val="Calibri"/>
        <family val="2"/>
        <scheme val="minor"/>
      </rPr>
      <t xml:space="preserve"> cancer LNCaP-FGC cells results in reduced sensitivity of these cells to </t>
    </r>
    <r>
      <rPr>
        <b/>
        <sz val="11"/>
        <color rgb="FF333333"/>
        <rFont val="Calibri"/>
        <family val="2"/>
        <scheme val="minor"/>
      </rPr>
      <t>cisplatin</t>
    </r>
    <r>
      <rPr>
        <sz val="11"/>
        <color rgb="FF333333"/>
        <rFont val="Calibri"/>
        <family val="2"/>
        <scheme val="minor"/>
      </rPr>
      <t xml:space="preserve">-treatment. </t>
    </r>
  </si>
  <si>
    <t>ATP1A1</t>
  </si>
  <si>
    <r>
      <rPr>
        <b/>
        <sz val="11"/>
        <color rgb="FF333333"/>
        <rFont val="Calibri"/>
        <family val="2"/>
        <scheme val="minor"/>
      </rPr>
      <t xml:space="preserve">1) </t>
    </r>
    <r>
      <rPr>
        <sz val="11"/>
        <color rgb="FF333333"/>
        <rFont val="Calibri"/>
        <family val="2"/>
        <scheme val="minor"/>
      </rPr>
      <t xml:space="preserve">Compared with the resistant cells, </t>
    </r>
    <r>
      <rPr>
        <b/>
        <sz val="11"/>
        <color rgb="FF333333"/>
        <rFont val="Calibri"/>
        <family val="2"/>
        <scheme val="minor"/>
      </rPr>
      <t>platinum</t>
    </r>
    <r>
      <rPr>
        <sz val="11"/>
        <color rgb="FF333333"/>
        <rFont val="Calibri"/>
        <family val="2"/>
        <scheme val="minor"/>
      </rPr>
      <t xml:space="preserve"> accumulation in the parental cells was clearly decreased by low temperature or ATP depletion. </t>
    </r>
    <r>
      <rPr>
        <b/>
        <sz val="11"/>
        <color rgb="FF333333"/>
        <rFont val="Calibri"/>
        <family val="2"/>
        <scheme val="minor"/>
      </rPr>
      <t>2)</t>
    </r>
    <r>
      <rPr>
        <sz val="11"/>
        <color rgb="FF333333"/>
        <rFont val="Calibri"/>
        <family val="2"/>
        <scheme val="minor"/>
      </rPr>
      <t xml:space="preserve"> the </t>
    </r>
    <r>
      <rPr>
        <b/>
        <sz val="11"/>
        <color rgb="FF333333"/>
        <rFont val="Calibri"/>
        <family val="2"/>
        <scheme val="minor"/>
      </rPr>
      <t>Na+, K+-ATPase</t>
    </r>
    <r>
      <rPr>
        <sz val="11"/>
        <color rgb="FF333333"/>
        <rFont val="Calibri"/>
        <family val="2"/>
        <scheme val="minor"/>
      </rPr>
      <t xml:space="preserve"> inhibitor ouabain and the </t>
    </r>
    <r>
      <rPr>
        <b/>
        <sz val="11"/>
        <color rgb="FF333333"/>
        <rFont val="Calibri"/>
        <family val="2"/>
        <scheme val="minor"/>
      </rPr>
      <t>K+ channel</t>
    </r>
    <r>
      <rPr>
        <sz val="11"/>
        <color rgb="FF333333"/>
        <rFont val="Calibri"/>
        <family val="2"/>
        <scheme val="minor"/>
      </rPr>
      <t xml:space="preserve"> inhibitor tetraethylammonium decreased platinum accumulation in parental cells but did not change the accumulation in resistant cells. </t>
    </r>
    <r>
      <rPr>
        <b/>
        <sz val="11"/>
        <color rgb="FF333333"/>
        <rFont val="Calibri"/>
        <family val="2"/>
        <scheme val="minor"/>
      </rPr>
      <t>3)</t>
    </r>
    <r>
      <rPr>
        <sz val="11"/>
        <color rgb="FF333333"/>
        <rFont val="Calibri"/>
        <family val="2"/>
        <scheme val="minor"/>
      </rPr>
      <t xml:space="preserve"> Amphotericin B, an antifungal agent, increased the intracellular platinum accumulation in resistant cells to the same level as in parent cells. </t>
    </r>
    <r>
      <rPr>
        <b/>
        <sz val="11"/>
        <color rgb="FF333333"/>
        <rFont val="Calibri"/>
        <family val="2"/>
        <scheme val="minor"/>
      </rPr>
      <t xml:space="preserve">4) </t>
    </r>
    <r>
      <rPr>
        <sz val="11"/>
        <color rgb="FF333333"/>
        <rFont val="Calibri"/>
        <family val="2"/>
        <scheme val="minor"/>
      </rPr>
      <t xml:space="preserve">the </t>
    </r>
    <r>
      <rPr>
        <b/>
        <sz val="11"/>
        <color rgb="FF333333"/>
        <rFont val="Calibri"/>
        <family val="2"/>
        <scheme val="minor"/>
      </rPr>
      <t>Na+, K+-ATPase alpha1</t>
    </r>
    <r>
      <rPr>
        <sz val="11"/>
        <color rgb="FF333333"/>
        <rFont val="Calibri"/>
        <family val="2"/>
        <scheme val="minor"/>
      </rPr>
      <t xml:space="preserve"> subunit was reduced in resistant cells compared with the parental cells, although there was no difference in the expression of the beta1 subunit between the two cell lines. </t>
    </r>
    <r>
      <rPr>
        <b/>
        <sz val="11"/>
        <color rgb="FF333333"/>
        <rFont val="Calibri"/>
        <family val="2"/>
        <scheme val="minor"/>
      </rPr>
      <t>5)</t>
    </r>
    <r>
      <rPr>
        <sz val="11"/>
        <color rgb="FF333333"/>
        <rFont val="Calibri"/>
        <family val="2"/>
        <scheme val="minor"/>
      </rPr>
      <t xml:space="preserve"> the Na+, K+-ATPase alpha1 subunit of H4-II-E was decreased following a 24-h exposure to CDDP. </t>
    </r>
  </si>
  <si>
    <t>Sodium/potassium-transporting ATPase subunit alpha-1</t>
  </si>
  <si>
    <t>This is the catalytic component of the active enzyme, which catalyzes the hydrolysis of ATP coupled with the exchange of sodium and potassium ions across the plasma membrane. </t>
  </si>
  <si>
    <r>
      <rPr>
        <b/>
        <sz val="11"/>
        <color rgb="FF333333"/>
        <rFont val="Calibri"/>
        <family val="2"/>
        <scheme val="minor"/>
      </rPr>
      <t xml:space="preserve">1) </t>
    </r>
    <r>
      <rPr>
        <sz val="11"/>
        <color rgb="FF333333"/>
        <rFont val="Calibri"/>
        <family val="2"/>
        <scheme val="minor"/>
      </rPr>
      <t>SiRNAs targeting ercc1, ercc2, </t>
    </r>
    <r>
      <rPr>
        <b/>
        <sz val="11"/>
        <color rgb="FF333333"/>
        <rFont val="Calibri"/>
        <family val="2"/>
        <scheme val="minor"/>
      </rPr>
      <t>mutyh</t>
    </r>
    <r>
      <rPr>
        <sz val="11"/>
        <color rgb="FF333333"/>
        <rFont val="Calibri"/>
        <family val="2"/>
        <scheme val="minor"/>
      </rPr>
      <t xml:space="preserve">, and pnkp significantly sensitized cells to chemotherapy toward </t>
    </r>
    <r>
      <rPr>
        <b/>
        <sz val="11"/>
        <color rgb="FF333333"/>
        <rFont val="Calibri"/>
        <family val="2"/>
        <scheme val="minor"/>
      </rPr>
      <t>CDDP</t>
    </r>
    <r>
      <rPr>
        <sz val="11"/>
        <color rgb="FF333333"/>
        <rFont val="Calibri"/>
        <family val="2"/>
        <scheme val="minor"/>
      </rPr>
      <t xml:space="preserve"> or TMZ, increasing cell death by up to 25% in </t>
    </r>
    <r>
      <rPr>
        <b/>
        <sz val="11"/>
        <color rgb="FF333333"/>
        <rFont val="Calibri"/>
        <family val="2"/>
        <scheme val="minor"/>
      </rPr>
      <t>glioma</t>
    </r>
    <r>
      <rPr>
        <sz val="11"/>
        <color rgb="FF333333"/>
        <rFont val="Calibri"/>
        <family val="2"/>
        <scheme val="minor"/>
      </rPr>
      <t xml:space="preserve"> cells. </t>
    </r>
    <r>
      <rPr>
        <b/>
        <sz val="11"/>
        <color rgb="FF333333"/>
        <rFont val="Calibri"/>
        <family val="2"/>
        <scheme val="minor"/>
      </rPr>
      <t xml:space="preserve">2) </t>
    </r>
    <r>
      <rPr>
        <sz val="11"/>
        <color rgb="FF333333"/>
        <rFont val="Calibri"/>
        <family val="2"/>
        <scheme val="minor"/>
      </rPr>
      <t xml:space="preserve">Exposure of cells to </t>
    </r>
    <r>
      <rPr>
        <b/>
        <sz val="11"/>
        <color rgb="FF333333"/>
        <rFont val="Calibri"/>
        <family val="2"/>
        <scheme val="minor"/>
      </rPr>
      <t>cisplatin</t>
    </r>
    <r>
      <rPr>
        <sz val="11"/>
        <color rgb="FF333333"/>
        <rFont val="Calibri"/>
        <family val="2"/>
        <scheme val="minor"/>
      </rPr>
      <t xml:space="preserve"> leads to a moderate overall accumulation of Myh1 protein. </t>
    </r>
    <r>
      <rPr>
        <b/>
        <sz val="11"/>
        <color rgb="FF333333"/>
        <rFont val="Calibri"/>
        <family val="2"/>
        <scheme val="minor"/>
      </rPr>
      <t>3) MUTYH</t>
    </r>
    <r>
      <rPr>
        <sz val="11"/>
        <color rgb="FF333333"/>
        <rFont val="Calibri"/>
        <family val="2"/>
        <scheme val="minor"/>
      </rPr>
      <t xml:space="preserve"> was significantly downregulated in the resistant </t>
    </r>
    <r>
      <rPr>
        <b/>
        <sz val="11"/>
        <color rgb="FF333333"/>
        <rFont val="Calibri"/>
        <family val="2"/>
        <scheme val="minor"/>
      </rPr>
      <t>esophageal</t>
    </r>
    <r>
      <rPr>
        <sz val="11"/>
        <color rgb="FF333333"/>
        <rFont val="Calibri"/>
        <family val="2"/>
        <scheme val="minor"/>
      </rPr>
      <t xml:space="preserve"> squamous cell carcinoma EC109/</t>
    </r>
    <r>
      <rPr>
        <b/>
        <sz val="11"/>
        <color rgb="FF333333"/>
        <rFont val="Calibri"/>
        <family val="2"/>
        <scheme val="minor"/>
      </rPr>
      <t>CDDP</t>
    </r>
    <r>
      <rPr>
        <sz val="11"/>
        <color rgb="FF333333"/>
        <rFont val="Calibri"/>
        <family val="2"/>
        <scheme val="minor"/>
      </rPr>
      <t xml:space="preserve"> cells compared with that noted in the parental cells. </t>
    </r>
    <r>
      <rPr>
        <b/>
        <sz val="11"/>
        <color rgb="FF333333"/>
        <rFont val="Calibri"/>
        <family val="2"/>
        <scheme val="minor"/>
      </rPr>
      <t xml:space="preserve">4) </t>
    </r>
    <r>
      <rPr>
        <sz val="11"/>
        <color rgb="FF333333"/>
        <rFont val="Calibri"/>
        <family val="2"/>
        <scheme val="minor"/>
      </rPr>
      <t xml:space="preserve">Ectopic expression of MUTYH significantly enhanced the CDDP‑mediated inhibitory effect on resistant cell proliferation and induction of apoptosis, </t>
    </r>
    <r>
      <rPr>
        <b/>
        <sz val="11"/>
        <color rgb="FF333333"/>
        <rFont val="Calibri"/>
        <family val="2"/>
        <scheme val="minor"/>
      </rPr>
      <t xml:space="preserve">5) </t>
    </r>
    <r>
      <rPr>
        <sz val="11"/>
        <color rgb="FF333333"/>
        <rFont val="Calibri"/>
        <family val="2"/>
        <scheme val="minor"/>
      </rPr>
      <t xml:space="preserve">silencing of </t>
    </r>
    <r>
      <rPr>
        <b/>
        <sz val="11"/>
        <color rgb="FF333333"/>
        <rFont val="Calibri"/>
        <family val="2"/>
        <scheme val="minor"/>
      </rPr>
      <t>MUTYH</t>
    </r>
    <r>
      <rPr>
        <sz val="11"/>
        <color rgb="FF333333"/>
        <rFont val="Calibri"/>
        <family val="2"/>
        <scheme val="minor"/>
      </rPr>
      <t xml:space="preserve"> by siRNA in parental cells led to decreased sensitivity to CDDP. </t>
    </r>
    <r>
      <rPr>
        <b/>
        <sz val="11"/>
        <color rgb="FF333333"/>
        <rFont val="Calibri"/>
        <family val="2"/>
        <scheme val="minor"/>
      </rPr>
      <t xml:space="preserve">6) </t>
    </r>
    <r>
      <rPr>
        <sz val="11"/>
        <color rgb="FF333333"/>
        <rFont val="Calibri"/>
        <family val="2"/>
        <scheme val="minor"/>
      </rPr>
      <t xml:space="preserve">CDDP‑resistant cells went through EMT driven by its master regulator </t>
    </r>
    <r>
      <rPr>
        <b/>
        <sz val="11"/>
        <color rgb="FF333333"/>
        <rFont val="Calibri"/>
        <family val="2"/>
        <scheme val="minor"/>
      </rPr>
      <t>Twist</t>
    </r>
    <r>
      <rPr>
        <sz val="11"/>
        <color rgb="FF333333"/>
        <rFont val="Calibri"/>
        <family val="2"/>
        <scheme val="minor"/>
      </rPr>
      <t xml:space="preserve">, and </t>
    </r>
    <r>
      <rPr>
        <b/>
        <sz val="11"/>
        <color rgb="FF333333"/>
        <rFont val="Calibri"/>
        <family val="2"/>
        <scheme val="minor"/>
      </rPr>
      <t>MUTYH</t>
    </r>
    <r>
      <rPr>
        <sz val="11"/>
        <color rgb="FF333333"/>
        <rFont val="Calibri"/>
        <family val="2"/>
        <scheme val="minor"/>
      </rPr>
      <t xml:space="preserve"> overexpression significantly reduced the </t>
    </r>
    <r>
      <rPr>
        <b/>
        <sz val="11"/>
        <color rgb="FF333333"/>
        <rFont val="Calibri"/>
        <family val="2"/>
        <scheme val="minor"/>
      </rPr>
      <t>Twist</t>
    </r>
    <r>
      <rPr>
        <sz val="11"/>
        <color rgb="FF333333"/>
        <rFont val="Calibri"/>
        <family val="2"/>
        <scheme val="minor"/>
      </rPr>
      <t xml:space="preserve"> expression level and reversed the phenotype of EMT. </t>
    </r>
    <r>
      <rPr>
        <b/>
        <sz val="11"/>
        <color rgb="FF333333"/>
        <rFont val="Calibri"/>
        <family val="2"/>
        <scheme val="minor"/>
      </rPr>
      <t>7)</t>
    </r>
    <r>
      <rPr>
        <sz val="11"/>
        <color rgb="FF333333"/>
        <rFont val="Calibri"/>
        <family val="2"/>
        <scheme val="minor"/>
      </rPr>
      <t xml:space="preserve"> increased </t>
    </r>
    <r>
      <rPr>
        <b/>
        <sz val="11"/>
        <color rgb="FF333333"/>
        <rFont val="Calibri"/>
        <family val="2"/>
        <scheme val="minor"/>
      </rPr>
      <t>ROS</t>
    </r>
    <r>
      <rPr>
        <sz val="11"/>
        <color rgb="FF333333"/>
        <rFont val="Calibri"/>
        <family val="2"/>
        <scheme val="minor"/>
      </rPr>
      <t xml:space="preserve"> production in response to MUTYH overexpression. </t>
    </r>
    <r>
      <rPr>
        <b/>
        <sz val="11"/>
        <color rgb="FF333333"/>
        <rFont val="Calibri"/>
        <family val="2"/>
        <scheme val="minor"/>
      </rPr>
      <t xml:space="preserve">8) </t>
    </r>
    <r>
      <rPr>
        <sz val="11"/>
        <color rgb="FF333333"/>
        <rFont val="Calibri"/>
        <family val="2"/>
        <scheme val="minor"/>
      </rPr>
      <t xml:space="preserve">Reduced ROS by using N‑acetylcysteine inhibited the degradation of Twist. </t>
    </r>
  </si>
  <si>
    <t>has a disordered N-terminus, a redox, and a DNA repair domain (27835927); DNA repair and redox regulation of transcriptional factors. a apurinic/apyrimidinic (AP) endodeoxyribonuclease in BER induced by oxidative and alkylating agents; N-terminal (1-20) inhibits Caspase 3 cleavage and apoptosis (27835927)</t>
  </si>
  <si>
    <r>
      <rPr>
        <b/>
        <sz val="11"/>
        <color rgb="FF333333"/>
        <rFont val="Calibri"/>
        <family val="2"/>
        <scheme val="minor"/>
      </rPr>
      <t xml:space="preserve">1) </t>
    </r>
    <r>
      <rPr>
        <sz val="11"/>
        <color rgb="FF333333"/>
        <rFont val="Calibri"/>
        <family val="2"/>
        <scheme val="minor"/>
      </rPr>
      <t xml:space="preserve">Overexpression of </t>
    </r>
    <r>
      <rPr>
        <b/>
        <sz val="11"/>
        <color rgb="FF333333"/>
        <rFont val="Calibri"/>
        <family val="2"/>
        <scheme val="minor"/>
      </rPr>
      <t>PODXL</t>
    </r>
    <r>
      <rPr>
        <sz val="11"/>
        <color rgb="FF333333"/>
        <rFont val="Calibri"/>
        <family val="2"/>
        <scheme val="minor"/>
      </rPr>
      <t xml:space="preserve"> is associated with increased aggressiveness of breast and prostate cancer cells. </t>
    </r>
    <r>
      <rPr>
        <b/>
        <sz val="11"/>
        <color rgb="FF333333"/>
        <rFont val="Calibri"/>
        <family val="2"/>
        <scheme val="minor"/>
      </rPr>
      <t xml:space="preserve">2) </t>
    </r>
    <r>
      <rPr>
        <sz val="11"/>
        <color rgb="FF333333"/>
        <rFont val="Calibri"/>
        <family val="2"/>
        <scheme val="minor"/>
      </rPr>
      <t xml:space="preserve">Overexpression of PODXL enhances </t>
    </r>
    <r>
      <rPr>
        <b/>
        <sz val="11"/>
        <color rgb="FF333333"/>
        <rFont val="Calibri"/>
        <family val="2"/>
        <scheme val="minor"/>
      </rPr>
      <t>cisplatin</t>
    </r>
    <r>
      <rPr>
        <sz val="11"/>
        <color rgb="FF333333"/>
        <rFont val="Calibri"/>
        <family val="2"/>
        <scheme val="minor"/>
      </rPr>
      <t xml:space="preserve"> chemoresistance in OTSCC cells. It can be supressed by BMI1 knockdown. </t>
    </r>
    <r>
      <rPr>
        <b/>
        <sz val="11"/>
        <color rgb="FF333333"/>
        <rFont val="Calibri"/>
        <family val="2"/>
        <scheme val="minor"/>
      </rPr>
      <t xml:space="preserve">3) </t>
    </r>
    <r>
      <rPr>
        <sz val="11"/>
        <color rgb="FF333333"/>
        <rFont val="Calibri"/>
        <family val="2"/>
        <scheme val="minor"/>
      </rPr>
      <t xml:space="preserve">knockdown of PODXL decreased cisplatin resistance. It can be reversed by overexpression of BMI1. </t>
    </r>
    <r>
      <rPr>
        <b/>
        <sz val="11"/>
        <color rgb="FF333333"/>
        <rFont val="Calibri"/>
        <family val="2"/>
        <scheme val="minor"/>
      </rPr>
      <t xml:space="preserve">4) </t>
    </r>
    <r>
      <rPr>
        <sz val="11"/>
        <color rgb="FF333333"/>
        <rFont val="Calibri"/>
        <family val="2"/>
        <scheme val="minor"/>
      </rPr>
      <t>Overexpression of PODXL in both cell lines markedly elevated the expression level of Bmi1</t>
    </r>
  </si>
  <si>
    <r>
      <rPr>
        <b/>
        <sz val="11"/>
        <color rgb="FF333333"/>
        <rFont val="Calibri"/>
        <family val="2"/>
        <scheme val="minor"/>
      </rPr>
      <t xml:space="preserve">1) </t>
    </r>
    <r>
      <rPr>
        <sz val="11"/>
        <color rgb="FF333333"/>
        <rFont val="Calibri"/>
        <family val="2"/>
        <scheme val="minor"/>
      </rPr>
      <t xml:space="preserve">geldanamycin (HSP90 inhibitor) and two </t>
    </r>
    <r>
      <rPr>
        <b/>
        <sz val="11"/>
        <color rgb="FF333333"/>
        <rFont val="Calibri"/>
        <family val="2"/>
        <scheme val="minor"/>
      </rPr>
      <t>CHK1</t>
    </r>
    <r>
      <rPr>
        <sz val="11"/>
        <color rgb="FF333333"/>
        <rFont val="Calibri"/>
        <family val="2"/>
        <scheme val="minor"/>
      </rPr>
      <t xml:space="preserve"> inhibitors (UCN-01 and SB218078) exhibited a significantly stronger synergism with </t>
    </r>
    <r>
      <rPr>
        <b/>
        <sz val="11"/>
        <color rgb="FF333333"/>
        <rFont val="Calibri"/>
        <family val="2"/>
        <scheme val="minor"/>
      </rPr>
      <t>cisplatin</t>
    </r>
    <r>
      <rPr>
        <sz val="11"/>
        <color rgb="FF333333"/>
        <rFont val="Calibri"/>
        <family val="2"/>
        <scheme val="minor"/>
      </rPr>
      <t xml:space="preserve"> in FA-proficient </t>
    </r>
    <r>
      <rPr>
        <b/>
        <sz val="11"/>
        <color rgb="FF333333"/>
        <rFont val="Calibri"/>
        <family val="2"/>
        <scheme val="minor"/>
      </rPr>
      <t>OC</t>
    </r>
    <r>
      <rPr>
        <sz val="11"/>
        <color rgb="FF333333"/>
        <rFont val="Calibri"/>
        <family val="2"/>
        <scheme val="minor"/>
      </rPr>
      <t xml:space="preserve"> ells when compared to FA-deficient cells. </t>
    </r>
    <r>
      <rPr>
        <b/>
        <sz val="11"/>
        <color rgb="FF333333"/>
        <rFont val="Calibri"/>
        <family val="2"/>
        <scheme val="minor"/>
      </rPr>
      <t>2)</t>
    </r>
    <r>
      <rPr>
        <sz val="11"/>
        <color rgb="FF333333"/>
        <rFont val="Calibri"/>
        <family val="2"/>
        <scheme val="minor"/>
      </rPr>
      <t xml:space="preserve"> Inhibition of </t>
    </r>
    <r>
      <rPr>
        <b/>
        <sz val="11"/>
        <color rgb="FF333333"/>
        <rFont val="Calibri"/>
        <family val="2"/>
        <scheme val="minor"/>
      </rPr>
      <t xml:space="preserve">Chk1 </t>
    </r>
    <r>
      <rPr>
        <sz val="11"/>
        <color rgb="FF333333"/>
        <rFont val="Calibri"/>
        <family val="2"/>
        <scheme val="minor"/>
      </rPr>
      <t xml:space="preserve">synergized with </t>
    </r>
    <r>
      <rPr>
        <b/>
        <sz val="11"/>
        <color rgb="FF333333"/>
        <rFont val="Calibri"/>
        <family val="2"/>
        <scheme val="minor"/>
      </rPr>
      <t>cisplatin</t>
    </r>
    <r>
      <rPr>
        <sz val="11"/>
        <color rgb="FF333333"/>
        <rFont val="Calibri"/>
        <family val="2"/>
        <scheme val="minor"/>
      </rPr>
      <t xml:space="preserve"> to induce mitotic cell death in the p53-deficeint </t>
    </r>
    <r>
      <rPr>
        <b/>
        <sz val="11"/>
        <color rgb="FF333333"/>
        <rFont val="Calibri"/>
        <family val="2"/>
        <scheme val="minor"/>
      </rPr>
      <t>SCLC</t>
    </r>
    <r>
      <rPr>
        <sz val="11"/>
        <color rgb="FF333333"/>
        <rFont val="Calibri"/>
        <family val="2"/>
        <scheme val="minor"/>
      </rPr>
      <t xml:space="preserve"> cells. </t>
    </r>
    <r>
      <rPr>
        <b/>
        <sz val="11"/>
        <color rgb="FF333333"/>
        <rFont val="Calibri"/>
        <family val="2"/>
        <scheme val="minor"/>
      </rPr>
      <t xml:space="preserve">3) </t>
    </r>
    <r>
      <rPr>
        <sz val="11"/>
        <color rgb="FF333333"/>
        <rFont val="Calibri"/>
        <family val="2"/>
        <scheme val="minor"/>
      </rPr>
      <t xml:space="preserve">The effect was regulated in part through activation of caspase 2 and downregulation of E2F transcription factor 1 (E2F1). </t>
    </r>
    <r>
      <rPr>
        <b/>
        <sz val="11"/>
        <color rgb="FF333333"/>
        <rFont val="Calibri"/>
        <family val="2"/>
        <scheme val="minor"/>
      </rPr>
      <t>4)</t>
    </r>
    <r>
      <rPr>
        <sz val="11"/>
        <color rgb="FF333333"/>
        <rFont val="Calibri"/>
        <family val="2"/>
        <scheme val="minor"/>
      </rPr>
      <t xml:space="preserve"> </t>
    </r>
    <r>
      <rPr>
        <b/>
        <sz val="11"/>
        <color rgb="FF333333"/>
        <rFont val="Calibri"/>
        <family val="2"/>
        <scheme val="minor"/>
      </rPr>
      <t>Chk1</t>
    </r>
    <r>
      <rPr>
        <sz val="11"/>
        <color rgb="FF333333"/>
        <rFont val="Calibri"/>
        <family val="2"/>
        <scheme val="minor"/>
      </rPr>
      <t xml:space="preserve"> inhibitors prexasertib and AZD7762 enhanced </t>
    </r>
    <r>
      <rPr>
        <b/>
        <sz val="11"/>
        <color rgb="FF333333"/>
        <rFont val="Calibri"/>
        <family val="2"/>
        <scheme val="minor"/>
      </rPr>
      <t>cisplatin</t>
    </r>
    <r>
      <rPr>
        <sz val="11"/>
        <color rgb="FF333333"/>
        <rFont val="Calibri"/>
        <family val="2"/>
        <scheme val="minor"/>
      </rPr>
      <t xml:space="preserve"> antitumor activity and overcame cisplatin resistance in SCLC preclinical models in vitro an in vivo. </t>
    </r>
    <r>
      <rPr>
        <b/>
        <sz val="11"/>
        <color rgb="FF333333"/>
        <rFont val="Calibri"/>
        <family val="2"/>
        <scheme val="minor"/>
      </rPr>
      <t xml:space="preserve">5) </t>
    </r>
    <r>
      <rPr>
        <sz val="11"/>
        <color rgb="FF333333"/>
        <rFont val="Calibri"/>
        <family val="2"/>
        <scheme val="minor"/>
      </rPr>
      <t xml:space="preserve">higher expression of </t>
    </r>
    <r>
      <rPr>
        <b/>
        <sz val="11"/>
        <color rgb="FF333333"/>
        <rFont val="Calibri"/>
        <family val="2"/>
        <scheme val="minor"/>
      </rPr>
      <t>Chk1</t>
    </r>
    <r>
      <rPr>
        <sz val="11"/>
        <color rgb="FF333333"/>
        <rFont val="Calibri"/>
        <family val="2"/>
        <scheme val="minor"/>
      </rPr>
      <t xml:space="preserve"> was associated with poorer overall survival of patients with SCLC.</t>
    </r>
  </si>
  <si>
    <r>
      <rPr>
        <b/>
        <sz val="11"/>
        <color rgb="FF333333"/>
        <rFont val="Calibri"/>
        <family val="2"/>
        <scheme val="minor"/>
      </rPr>
      <t xml:space="preserve">1) </t>
    </r>
    <r>
      <rPr>
        <sz val="11"/>
        <color rgb="FF333333"/>
        <rFont val="Calibri"/>
        <family val="2"/>
        <scheme val="minor"/>
      </rPr>
      <t xml:space="preserve">Induced in vitro </t>
    </r>
    <r>
      <rPr>
        <b/>
        <sz val="11"/>
        <color rgb="FF333333"/>
        <rFont val="Calibri"/>
        <family val="2"/>
        <scheme val="minor"/>
      </rPr>
      <t>OVCA</t>
    </r>
    <r>
      <rPr>
        <sz val="11"/>
        <color rgb="FF333333"/>
        <rFont val="Calibri"/>
        <family val="2"/>
        <scheme val="minor"/>
      </rPr>
      <t xml:space="preserve"> </t>
    </r>
    <r>
      <rPr>
        <b/>
        <sz val="11"/>
        <color rgb="FF333333"/>
        <rFont val="Calibri"/>
        <family val="2"/>
        <scheme val="minor"/>
      </rPr>
      <t>cisplatin</t>
    </r>
    <r>
      <rPr>
        <sz val="11"/>
        <color rgb="FF333333"/>
        <rFont val="Calibri"/>
        <family val="2"/>
        <scheme val="minor"/>
      </rPr>
      <t xml:space="preserve"> resistance was associated with </t>
    </r>
    <r>
      <rPr>
        <b/>
        <sz val="11"/>
        <color rgb="FF333333"/>
        <rFont val="Calibri"/>
        <family val="2"/>
        <scheme val="minor"/>
      </rPr>
      <t>BAD</t>
    </r>
    <r>
      <rPr>
        <sz val="11"/>
        <color rgb="FF333333"/>
        <rFont val="Calibri"/>
        <family val="2"/>
        <scheme val="minor"/>
      </rPr>
      <t xml:space="preserve">-pathway expression (P &lt; 0.001). </t>
    </r>
    <r>
      <rPr>
        <b/>
        <sz val="11"/>
        <color rgb="FF333333"/>
        <rFont val="Calibri"/>
        <family val="2"/>
        <scheme val="minor"/>
      </rPr>
      <t xml:space="preserve">2) </t>
    </r>
    <r>
      <rPr>
        <sz val="11"/>
        <color rgb="FF333333"/>
        <rFont val="Calibri"/>
        <family val="2"/>
        <scheme val="minor"/>
      </rPr>
      <t>In OVCA cell lines and primary specimens, i</t>
    </r>
    <r>
      <rPr>
        <b/>
        <sz val="11"/>
        <color rgb="FF333333"/>
        <rFont val="Calibri"/>
        <family val="2"/>
        <scheme val="minor"/>
      </rPr>
      <t>ncreased</t>
    </r>
    <r>
      <rPr>
        <sz val="11"/>
        <color rgb="FF333333"/>
        <rFont val="Calibri"/>
        <family val="2"/>
        <scheme val="minor"/>
      </rPr>
      <t xml:space="preserve"> BAD protein </t>
    </r>
    <r>
      <rPr>
        <b/>
        <sz val="11"/>
        <color rgb="FF333333"/>
        <rFont val="Calibri"/>
        <family val="2"/>
        <scheme val="minor"/>
      </rPr>
      <t>phosphorylation</t>
    </r>
    <r>
      <rPr>
        <sz val="11"/>
        <color rgb="FF333333"/>
        <rFont val="Calibri"/>
        <family val="2"/>
        <scheme val="minor"/>
      </rPr>
      <t xml:space="preserve"> was associated with </t>
    </r>
    <r>
      <rPr>
        <b/>
        <sz val="11"/>
        <color rgb="FF333333"/>
        <rFont val="Calibri"/>
        <family val="2"/>
        <scheme val="minor"/>
      </rPr>
      <t>platinum</t>
    </r>
    <r>
      <rPr>
        <sz val="11"/>
        <color rgb="FF333333"/>
        <rFont val="Calibri"/>
        <family val="2"/>
        <scheme val="minor"/>
      </rPr>
      <t xml:space="preserve"> resistance (n = 147, P &lt; 0.0001) and also with overall patient survival (n = 134, P = 0.0007). </t>
    </r>
    <r>
      <rPr>
        <b/>
        <sz val="11"/>
        <color rgb="FF333333"/>
        <rFont val="Calibri"/>
        <family val="2"/>
        <scheme val="minor"/>
      </rPr>
      <t xml:space="preserve">3) </t>
    </r>
    <r>
      <rPr>
        <sz val="11"/>
        <color rgb="FF333333"/>
        <rFont val="Calibri"/>
        <family val="2"/>
        <scheme val="minor"/>
      </rPr>
      <t xml:space="preserve">Targeted modulation of BAD-phosphorylation levels influenced cisplatin sensitivity. </t>
    </r>
    <r>
      <rPr>
        <b/>
        <sz val="11"/>
        <color rgb="FF333333"/>
        <rFont val="Calibri"/>
        <family val="2"/>
        <scheme val="minor"/>
      </rPr>
      <t xml:space="preserve">4) </t>
    </r>
    <r>
      <rPr>
        <sz val="11"/>
        <color rgb="FF333333"/>
        <rFont val="Calibri"/>
        <family val="2"/>
        <scheme val="minor"/>
      </rPr>
      <t xml:space="preserve">Gene expression of </t>
    </r>
    <r>
      <rPr>
        <b/>
        <sz val="11"/>
        <color rgb="FF333333"/>
        <rFont val="Calibri"/>
        <family val="2"/>
        <scheme val="minor"/>
      </rPr>
      <t>BAD</t>
    </r>
    <r>
      <rPr>
        <sz val="11"/>
        <color rgb="FF333333"/>
        <rFont val="Calibri"/>
        <family val="2"/>
        <scheme val="minor"/>
      </rPr>
      <t xml:space="preserve">, </t>
    </r>
    <r>
      <rPr>
        <b/>
        <sz val="11"/>
        <color rgb="FF333333"/>
        <rFont val="Calibri"/>
        <family val="2"/>
        <scheme val="minor"/>
      </rPr>
      <t>Bid</t>
    </r>
    <r>
      <rPr>
        <sz val="11"/>
        <color rgb="FF333333"/>
        <rFont val="Calibri"/>
        <family val="2"/>
        <scheme val="minor"/>
      </rPr>
      <t xml:space="preserve">, </t>
    </r>
    <r>
      <rPr>
        <b/>
        <sz val="11"/>
        <color rgb="FF333333"/>
        <rFont val="Calibri"/>
        <family val="2"/>
        <scheme val="minor"/>
      </rPr>
      <t>caspases 4 and 6</t>
    </r>
    <r>
      <rPr>
        <sz val="11"/>
        <color rgb="FF333333"/>
        <rFont val="Calibri"/>
        <family val="2"/>
        <scheme val="minor"/>
      </rPr>
      <t xml:space="preserve"> were clearly decreased in the resistant </t>
    </r>
    <r>
      <rPr>
        <b/>
        <sz val="11"/>
        <color rgb="FF333333"/>
        <rFont val="Calibri"/>
        <family val="2"/>
        <scheme val="minor"/>
      </rPr>
      <t>NSCLC</t>
    </r>
    <r>
      <rPr>
        <sz val="11"/>
        <color rgb="FF333333"/>
        <rFont val="Calibri"/>
        <family val="2"/>
        <scheme val="minor"/>
      </rPr>
      <t xml:space="preserve"> cell lines, and the differential phosphorylation status of </t>
    </r>
    <r>
      <rPr>
        <b/>
        <sz val="11"/>
        <color rgb="FF333333"/>
        <rFont val="Calibri"/>
        <family val="2"/>
        <scheme val="minor"/>
      </rPr>
      <t>BAD</t>
    </r>
    <r>
      <rPr>
        <sz val="11"/>
        <color rgb="FF333333"/>
        <rFont val="Calibri"/>
        <family val="2"/>
        <scheme val="minor"/>
      </rPr>
      <t xml:space="preserve"> also seemed to play a role in the development of cisplatin resistance. </t>
    </r>
  </si>
  <si>
    <t>21849418, 22397496</t>
  </si>
  <si>
    <t>11720475, 31966904, 30549344</t>
  </si>
  <si>
    <t>29182622, 32024383</t>
  </si>
  <si>
    <t>19240170, 16009487, 10615232</t>
  </si>
  <si>
    <t>26401016, 17275076, 31262032, 17848273</t>
  </si>
  <si>
    <t>API2, MIHC, RNF49, cIAP2</t>
  </si>
  <si>
    <t>29769618, 26291056</t>
  </si>
  <si>
    <t>26337086, 31814893</t>
  </si>
  <si>
    <r>
      <rPr>
        <b/>
        <sz val="11"/>
        <rFont val="Calibri"/>
        <family val="2"/>
        <scheme val="minor"/>
      </rPr>
      <t xml:space="preserve">1) </t>
    </r>
    <r>
      <rPr>
        <sz val="11"/>
        <rFont val="Calibri"/>
        <family val="2"/>
        <scheme val="minor"/>
      </rPr>
      <t xml:space="preserve">NRF2 plays a key role in mediating </t>
    </r>
    <r>
      <rPr>
        <b/>
        <sz val="11"/>
        <rFont val="Calibri"/>
        <family val="2"/>
        <scheme val="minor"/>
      </rPr>
      <t>cisplatin</t>
    </r>
    <r>
      <rPr>
        <sz val="11"/>
        <rFont val="Calibri"/>
        <family val="2"/>
        <scheme val="minor"/>
      </rPr>
      <t xml:space="preserve"> resistance in </t>
    </r>
    <r>
      <rPr>
        <b/>
        <sz val="11"/>
        <rFont val="Calibri"/>
        <family val="2"/>
        <scheme val="minor"/>
      </rPr>
      <t xml:space="preserve">ovarian </t>
    </r>
    <r>
      <rPr>
        <sz val="11"/>
        <rFont val="Calibri"/>
        <family val="2"/>
        <scheme val="minor"/>
      </rPr>
      <t xml:space="preserve">cancer. </t>
    </r>
    <r>
      <rPr>
        <b/>
        <sz val="11"/>
        <rFont val="Calibri"/>
        <family val="2"/>
        <scheme val="minor"/>
      </rPr>
      <t>2)</t>
    </r>
    <r>
      <rPr>
        <sz val="11"/>
        <rFont val="Calibri"/>
        <family val="2"/>
        <scheme val="minor"/>
      </rPr>
      <t xml:space="preserve"> The </t>
    </r>
    <r>
      <rPr>
        <b/>
        <sz val="11"/>
        <rFont val="Calibri"/>
        <family val="2"/>
        <scheme val="minor"/>
      </rPr>
      <t>NRF2</t>
    </r>
    <r>
      <rPr>
        <sz val="11"/>
        <rFont val="Calibri"/>
        <family val="2"/>
        <scheme val="minor"/>
      </rPr>
      <t xml:space="preserve">-overexpressing cell line, containing high levels of </t>
    </r>
    <r>
      <rPr>
        <b/>
        <sz val="11"/>
        <rFont val="Calibri"/>
        <family val="2"/>
        <scheme val="minor"/>
      </rPr>
      <t>ABCF2</t>
    </r>
    <r>
      <rPr>
        <sz val="11"/>
        <rFont val="Calibri"/>
        <family val="2"/>
        <scheme val="minor"/>
      </rPr>
      <t xml:space="preserve">, was more resistant to cisplatin-induced apoptosis compared to its control cell line; whereas </t>
    </r>
    <r>
      <rPr>
        <b/>
        <sz val="11"/>
        <rFont val="Calibri"/>
        <family val="2"/>
        <scheme val="minor"/>
      </rPr>
      <t>3)</t>
    </r>
    <r>
      <rPr>
        <sz val="11"/>
        <rFont val="Calibri"/>
        <family val="2"/>
        <scheme val="minor"/>
      </rPr>
      <t xml:space="preserve"> the </t>
    </r>
    <r>
      <rPr>
        <b/>
        <sz val="11"/>
        <rFont val="Calibri"/>
        <family val="2"/>
        <scheme val="minor"/>
      </rPr>
      <t>NRF2</t>
    </r>
    <r>
      <rPr>
        <sz val="11"/>
        <rFont val="Calibri"/>
        <family val="2"/>
        <scheme val="minor"/>
      </rPr>
      <t xml:space="preserve"> knockdown cell line with low levels of </t>
    </r>
    <r>
      <rPr>
        <b/>
        <sz val="11"/>
        <rFont val="Calibri"/>
        <family val="2"/>
        <scheme val="minor"/>
      </rPr>
      <t>ABCF2</t>
    </r>
    <r>
      <rPr>
        <sz val="11"/>
        <rFont val="Calibri"/>
        <family val="2"/>
        <scheme val="minor"/>
      </rPr>
      <t xml:space="preserve">, was more sensitive to cisplatin treatment than its control cell line. </t>
    </r>
    <r>
      <rPr>
        <b/>
        <sz val="11"/>
        <rFont val="Calibri"/>
        <family val="2"/>
        <scheme val="minor"/>
      </rPr>
      <t>4)</t>
    </r>
    <r>
      <rPr>
        <sz val="11"/>
        <rFont val="Calibri"/>
        <family val="2"/>
        <scheme val="minor"/>
      </rPr>
      <t xml:space="preserve"> </t>
    </r>
    <r>
      <rPr>
        <b/>
        <sz val="11"/>
        <rFont val="Calibri"/>
        <family val="2"/>
        <scheme val="minor"/>
      </rPr>
      <t xml:space="preserve">Bladder </t>
    </r>
    <r>
      <rPr>
        <sz val="11"/>
        <rFont val="Calibri"/>
        <family val="2"/>
        <scheme val="minor"/>
      </rPr>
      <t xml:space="preserve">cancer cell lines showed variable Nrf2 expression. Nrf2 expression was greater in RT112-CP </t>
    </r>
    <r>
      <rPr>
        <b/>
        <sz val="11"/>
        <rFont val="Calibri"/>
        <family val="2"/>
        <scheme val="minor"/>
      </rPr>
      <t>cisplatin</t>
    </r>
    <r>
      <rPr>
        <sz val="11"/>
        <rFont val="Calibri"/>
        <family val="2"/>
        <scheme val="minor"/>
      </rPr>
      <t xml:space="preserve">-resistant cells compared with that in parental RT112 cells. </t>
    </r>
    <r>
      <rPr>
        <b/>
        <sz val="11"/>
        <rFont val="Calibri"/>
        <family val="2"/>
        <scheme val="minor"/>
      </rPr>
      <t>5)</t>
    </r>
    <r>
      <rPr>
        <sz val="11"/>
        <rFont val="Calibri"/>
        <family val="2"/>
        <scheme val="minor"/>
      </rPr>
      <t xml:space="preserve"> Nrf2 overexpression was associated with increased antioxidant response element reporter construct activity, increased Nrf2 target gene expression </t>
    </r>
    <r>
      <rPr>
        <b/>
        <sz val="11"/>
        <rFont val="Calibri"/>
        <family val="2"/>
        <scheme val="minor"/>
      </rPr>
      <t>(MT</t>
    </r>
    <r>
      <rPr>
        <sz val="11"/>
        <rFont val="Calibri"/>
        <family val="2"/>
        <scheme val="minor"/>
      </rPr>
      <t xml:space="preserve"> proteins</t>
    </r>
    <r>
      <rPr>
        <b/>
        <sz val="11"/>
        <rFont val="Calibri"/>
        <family val="2"/>
        <scheme val="minor"/>
      </rPr>
      <t xml:space="preserve"> and glutathione reductase)</t>
    </r>
    <r>
      <rPr>
        <sz val="11"/>
        <rFont val="Calibri"/>
        <family val="2"/>
        <scheme val="minor"/>
      </rPr>
      <t xml:space="preserve">. </t>
    </r>
    <r>
      <rPr>
        <b/>
        <sz val="11"/>
        <rFont val="Calibri"/>
        <family val="2"/>
        <scheme val="minor"/>
      </rPr>
      <t>6)</t>
    </r>
    <r>
      <rPr>
        <sz val="11"/>
        <rFont val="Calibri"/>
        <family val="2"/>
        <scheme val="minor"/>
      </rPr>
      <t xml:space="preserve"> </t>
    </r>
    <r>
      <rPr>
        <b/>
        <sz val="11"/>
        <rFont val="Calibri"/>
        <family val="2"/>
        <scheme val="minor"/>
      </rPr>
      <t>NRF2</t>
    </r>
    <r>
      <rPr>
        <sz val="11"/>
        <rFont val="Calibri"/>
        <family val="2"/>
        <scheme val="minor"/>
      </rPr>
      <t xml:space="preserve"> depletion partially restored </t>
    </r>
    <r>
      <rPr>
        <b/>
        <sz val="11"/>
        <rFont val="Calibri"/>
        <family val="2"/>
        <scheme val="minor"/>
      </rPr>
      <t>cisplatin</t>
    </r>
    <r>
      <rPr>
        <sz val="11"/>
        <rFont val="Calibri"/>
        <family val="2"/>
        <scheme val="minor"/>
      </rPr>
      <t xml:space="preserve"> sensitivity. </t>
    </r>
    <r>
      <rPr>
        <b/>
        <sz val="11"/>
        <rFont val="Calibri"/>
        <family val="2"/>
        <scheme val="minor"/>
      </rPr>
      <t>7)</t>
    </r>
    <r>
      <rPr>
        <sz val="11"/>
        <rFont val="Calibri"/>
        <family val="2"/>
        <scheme val="minor"/>
      </rPr>
      <t xml:space="preserve"> Expression of Nrf2 in bladder cancer following radical cystectomy was associated with unfavorable overall (median = 0.65 vs. 2.11 y, P = 0.045), bladder cancer-specific, and recurrence-free survival in those patients who also received neoadjuvant </t>
    </r>
    <r>
      <rPr>
        <b/>
        <sz val="11"/>
        <rFont val="Calibri"/>
        <family val="2"/>
        <scheme val="minor"/>
      </rPr>
      <t>cisplatin</t>
    </r>
    <r>
      <rPr>
        <sz val="11"/>
        <rFont val="Calibri"/>
        <family val="2"/>
        <scheme val="minor"/>
      </rPr>
      <t>-based chemotherapy but not in those treated with cystectomy alone.</t>
    </r>
  </si>
  <si>
    <t>24516043, 27133165</t>
  </si>
  <si>
    <t>28553083, 24817946</t>
  </si>
  <si>
    <t>25650716, 31885310, 24337183</t>
  </si>
  <si>
    <r>
      <rPr>
        <b/>
        <sz val="11"/>
        <color rgb="FF000000"/>
        <rFont val="Calibri"/>
        <family val="2"/>
        <scheme val="minor"/>
      </rPr>
      <t>1) XPA</t>
    </r>
    <r>
      <rPr>
        <sz val="11"/>
        <color indexed="8"/>
        <rFont val="Calibri"/>
        <family val="2"/>
        <scheme val="minor"/>
      </rPr>
      <t xml:space="preserve"> was expressed at higher levels in cisplatin-resistant </t>
    </r>
    <r>
      <rPr>
        <b/>
        <sz val="11"/>
        <color rgb="FF000000"/>
        <rFont val="Calibri"/>
        <family val="2"/>
        <scheme val="minor"/>
      </rPr>
      <t>melanoma</t>
    </r>
    <r>
      <rPr>
        <sz val="11"/>
        <color indexed="8"/>
        <rFont val="Calibri"/>
        <family val="2"/>
        <scheme val="minor"/>
      </rPr>
      <t xml:space="preserve"> cells than in </t>
    </r>
    <r>
      <rPr>
        <b/>
        <sz val="11"/>
        <color rgb="FF000000"/>
        <rFont val="Calibri"/>
        <family val="2"/>
        <scheme val="minor"/>
      </rPr>
      <t>cisplatin</t>
    </r>
    <r>
      <rPr>
        <sz val="11"/>
        <color indexed="8"/>
        <rFont val="Calibri"/>
        <family val="2"/>
        <scheme val="minor"/>
      </rPr>
      <t>-sensitive ones.</t>
    </r>
    <r>
      <rPr>
        <b/>
        <sz val="11"/>
        <color rgb="FF000000"/>
        <rFont val="Calibri"/>
        <family val="2"/>
        <scheme val="minor"/>
      </rPr>
      <t xml:space="preserve"> 2)</t>
    </r>
    <r>
      <rPr>
        <sz val="11"/>
        <color indexed="8"/>
        <rFont val="Calibri"/>
        <family val="2"/>
        <scheme val="minor"/>
      </rPr>
      <t xml:space="preserve"> the knockdown of </t>
    </r>
    <r>
      <rPr>
        <b/>
        <sz val="11"/>
        <color rgb="FF000000"/>
        <rFont val="Calibri"/>
        <family val="2"/>
        <scheme val="minor"/>
      </rPr>
      <t>XPA</t>
    </r>
    <r>
      <rPr>
        <sz val="11"/>
        <color indexed="8"/>
        <rFont val="Calibri"/>
        <family val="2"/>
        <scheme val="minor"/>
      </rPr>
      <t> not only increased cellular apoptosis but also inhibited </t>
    </r>
    <r>
      <rPr>
        <b/>
        <sz val="11"/>
        <color rgb="FF000000"/>
        <rFont val="Calibri"/>
        <family val="2"/>
        <scheme val="minor"/>
      </rPr>
      <t>cisplatin</t>
    </r>
    <r>
      <rPr>
        <sz val="11"/>
        <color indexed="8"/>
        <rFont val="Calibri"/>
        <family val="2"/>
        <scheme val="minor"/>
      </rPr>
      <t>-induced autophagy, which rendered the melanoma cells more sensitive to cisplatin.</t>
    </r>
    <r>
      <rPr>
        <b/>
        <sz val="11"/>
        <color rgb="FF000000"/>
        <rFont val="Calibri"/>
        <family val="2"/>
        <scheme val="minor"/>
      </rPr>
      <t xml:space="preserve"> 3) </t>
    </r>
    <r>
      <rPr>
        <sz val="11"/>
        <color indexed="8"/>
        <rFont val="Calibri"/>
        <family val="2"/>
        <scheme val="minor"/>
      </rPr>
      <t>the increased </t>
    </r>
    <r>
      <rPr>
        <b/>
        <sz val="11"/>
        <color rgb="FF000000"/>
        <rFont val="Calibri"/>
        <family val="2"/>
        <scheme val="minor"/>
      </rPr>
      <t>XPA</t>
    </r>
    <r>
      <rPr>
        <sz val="11"/>
        <color indexed="8"/>
        <rFont val="Calibri"/>
        <family val="2"/>
        <scheme val="minor"/>
      </rPr>
      <t xml:space="preserve"> in resistant melanoma cells promoted </t>
    </r>
    <r>
      <rPr>
        <b/>
        <sz val="11"/>
        <color rgb="FF000000"/>
        <rFont val="Calibri"/>
        <family val="2"/>
        <scheme val="minor"/>
      </rPr>
      <t>PARP1</t>
    </r>
    <r>
      <rPr>
        <sz val="11"/>
        <color indexed="8"/>
        <rFont val="Calibri"/>
        <family val="2"/>
        <scheme val="minor"/>
      </rPr>
      <t xml:space="preserve"> activation and that the inhibition of </t>
    </r>
    <r>
      <rPr>
        <b/>
        <sz val="11"/>
        <color rgb="FF000000"/>
        <rFont val="Calibri"/>
        <family val="2"/>
        <scheme val="minor"/>
      </rPr>
      <t>PARP1</t>
    </r>
    <r>
      <rPr>
        <sz val="11"/>
        <color indexed="8"/>
        <rFont val="Calibri"/>
        <family val="2"/>
        <scheme val="minor"/>
      </rPr>
      <t xml:space="preserve"> could attenuate the cisplatin-induced autophagy. </t>
    </r>
    <r>
      <rPr>
        <b/>
        <sz val="11"/>
        <color rgb="FF000000"/>
        <rFont val="Calibri"/>
        <family val="2"/>
        <scheme val="minor"/>
      </rPr>
      <t>4)</t>
    </r>
    <r>
      <rPr>
        <sz val="11"/>
        <color indexed="8"/>
        <rFont val="Calibri"/>
        <family val="2"/>
        <scheme val="minor"/>
      </rPr>
      <t xml:space="preserve"> the inhibition of </t>
    </r>
    <r>
      <rPr>
        <b/>
        <sz val="11"/>
        <color rgb="FF000000"/>
        <rFont val="Calibri"/>
        <family val="2"/>
        <scheme val="minor"/>
      </rPr>
      <t>PARP1</t>
    </r>
    <r>
      <rPr>
        <sz val="11"/>
        <color indexed="8"/>
        <rFont val="Calibri"/>
        <family val="2"/>
        <scheme val="minor"/>
      </rPr>
      <t xml:space="preserve"> and the autophagy process made resistant melanoma cells more susceptible to cisplatin treatment. </t>
    </r>
    <r>
      <rPr>
        <b/>
        <sz val="11"/>
        <color rgb="FF000000"/>
        <rFont val="Calibri"/>
        <family val="2"/>
        <scheme val="minor"/>
      </rPr>
      <t>5)</t>
    </r>
    <r>
      <rPr>
        <sz val="11"/>
        <color indexed="8"/>
        <rFont val="Calibri"/>
        <family val="2"/>
        <scheme val="minor"/>
      </rPr>
      <t xml:space="preserve"> High expression of XPA confers poor prognosis for</t>
    </r>
    <r>
      <rPr>
        <b/>
        <sz val="11"/>
        <color rgb="FF000000"/>
        <rFont val="Calibri"/>
        <family val="2"/>
        <scheme val="minor"/>
      </rPr>
      <t xml:space="preserve"> nasopharyngea</t>
    </r>
    <r>
      <rPr>
        <sz val="11"/>
        <color indexed="8"/>
        <rFont val="Calibri"/>
        <family val="2"/>
        <scheme val="minor"/>
      </rPr>
      <t xml:space="preserve">l carcinoma patients treated with </t>
    </r>
    <r>
      <rPr>
        <b/>
        <sz val="11"/>
        <color rgb="FF000000"/>
        <rFont val="Calibri"/>
        <family val="2"/>
        <scheme val="minor"/>
      </rPr>
      <t>platinum</t>
    </r>
    <r>
      <rPr>
        <sz val="11"/>
        <color indexed="8"/>
        <rFont val="Calibri"/>
        <family val="2"/>
        <scheme val="minor"/>
      </rPr>
      <t>-based chemoradiotherapy.</t>
    </r>
    <r>
      <rPr>
        <b/>
        <sz val="11"/>
        <color rgb="FF000000"/>
        <rFont val="Calibri"/>
        <family val="2"/>
        <scheme val="minor"/>
      </rPr>
      <t xml:space="preserve"> 6)</t>
    </r>
    <r>
      <rPr>
        <sz val="11"/>
        <color indexed="8"/>
        <rFont val="Calibri"/>
        <family val="2"/>
        <scheme val="minor"/>
      </rPr>
      <t xml:space="preserve"> </t>
    </r>
    <r>
      <rPr>
        <b/>
        <sz val="11"/>
        <color rgb="FF000000"/>
        <rFont val="Calibri"/>
        <family val="2"/>
        <scheme val="minor"/>
      </rPr>
      <t>HIF1α</t>
    </r>
    <r>
      <rPr>
        <sz val="11"/>
        <color indexed="8"/>
        <rFont val="Calibri"/>
        <family val="2"/>
        <scheme val="minor"/>
      </rPr>
      <t xml:space="preserve"> was found to bind with strong affinity to a hypoxia response element sequence in the promoter of </t>
    </r>
    <r>
      <rPr>
        <b/>
        <sz val="11"/>
        <color rgb="FF000000"/>
        <rFont val="Calibri"/>
        <family val="2"/>
        <scheme val="minor"/>
      </rPr>
      <t>XPA</t>
    </r>
    <r>
      <rPr>
        <sz val="11"/>
        <color indexed="8"/>
        <rFont val="Calibri"/>
        <family val="2"/>
        <scheme val="minor"/>
      </rPr>
      <t xml:space="preserve">. Modulating expression of HIF1α by small interfering RNA or cobalt chloride markedly reduced or increased transcription of </t>
    </r>
    <r>
      <rPr>
        <b/>
        <sz val="11"/>
        <color rgb="FF000000"/>
        <rFont val="Calibri"/>
        <family val="2"/>
        <scheme val="minor"/>
      </rPr>
      <t>XPA</t>
    </r>
    <r>
      <rPr>
        <sz val="11"/>
        <color indexed="8"/>
        <rFont val="Calibri"/>
        <family val="2"/>
        <scheme val="minor"/>
      </rPr>
      <t xml:space="preserve"> in </t>
    </r>
    <r>
      <rPr>
        <b/>
        <sz val="11"/>
        <color rgb="FF000000"/>
        <rFont val="Calibri"/>
        <family val="2"/>
        <scheme val="minor"/>
      </rPr>
      <t>lung</t>
    </r>
    <r>
      <rPr>
        <sz val="11"/>
        <color indexed="8"/>
        <rFont val="Calibri"/>
        <family val="2"/>
        <scheme val="minor"/>
      </rPr>
      <t xml:space="preserve"> cancer cell lines, respectively. </t>
    </r>
    <r>
      <rPr>
        <b/>
        <sz val="11"/>
        <color rgb="FF000000"/>
        <rFont val="Calibri"/>
        <family val="2"/>
        <scheme val="minor"/>
      </rPr>
      <t xml:space="preserve">7) </t>
    </r>
    <r>
      <rPr>
        <sz val="11"/>
        <color indexed="8"/>
        <rFont val="Calibri"/>
        <family val="2"/>
        <scheme val="minor"/>
      </rPr>
      <t xml:space="preserve">Expression of </t>
    </r>
    <r>
      <rPr>
        <b/>
        <sz val="11"/>
        <color rgb="FF000000"/>
        <rFont val="Calibri"/>
        <family val="2"/>
        <scheme val="minor"/>
      </rPr>
      <t>XPA</t>
    </r>
    <r>
      <rPr>
        <sz val="11"/>
        <color indexed="8"/>
        <rFont val="Calibri"/>
        <family val="2"/>
        <scheme val="minor"/>
      </rPr>
      <t xml:space="preserve"> determined in 54 primary lung tumors was elevated on average 5.2-fold when compared with normal bronchial epithelial cells and correlated with levels of </t>
    </r>
    <r>
      <rPr>
        <b/>
        <sz val="11"/>
        <color rgb="FF000000"/>
        <rFont val="Calibri"/>
        <family val="2"/>
        <scheme val="minor"/>
      </rPr>
      <t>HIF1α</t>
    </r>
    <r>
      <rPr>
        <sz val="11"/>
        <color indexed="8"/>
        <rFont val="Calibri"/>
        <family val="2"/>
        <scheme val="minor"/>
      </rPr>
      <t xml:space="preserve"> (r = 0.58; P &lt; 0.01). </t>
    </r>
  </si>
  <si>
    <t>26880244, 26156020, 22467238</t>
  </si>
  <si>
    <t>28237487, 28466152, 30066840, 22281241, 26947588</t>
  </si>
  <si>
    <t>27258564, 31449053, 31379752</t>
  </si>
  <si>
    <t>23135731, 33331136, 21617238</t>
  </si>
  <si>
    <t>25951350, 30301274, 28548950</t>
  </si>
  <si>
    <t>29247711, 19770592, 31560931</t>
  </si>
  <si>
    <t>30925862, 23060548, 29199648</t>
  </si>
  <si>
    <r>
      <rPr>
        <b/>
        <sz val="11"/>
        <color rgb="FF333333"/>
        <rFont val="Calibri"/>
        <family val="2"/>
        <scheme val="minor"/>
      </rPr>
      <t>1)</t>
    </r>
    <r>
      <rPr>
        <sz val="11"/>
        <color rgb="FF333333"/>
        <rFont val="Calibri"/>
        <family val="2"/>
        <scheme val="minor"/>
      </rPr>
      <t xml:space="preserve"> Enhanced glycolysis in cancer cells has been linked to cell protection from DNA damaging signals, </t>
    </r>
    <r>
      <rPr>
        <b/>
        <sz val="11"/>
        <color rgb="FF333333"/>
        <rFont val="Calibri"/>
        <family val="2"/>
        <scheme val="minor"/>
      </rPr>
      <t>cisplatin</t>
    </r>
    <r>
      <rPr>
        <sz val="11"/>
        <color rgb="FF333333"/>
        <rFont val="Calibri"/>
        <family val="2"/>
        <scheme val="minor"/>
      </rPr>
      <t xml:space="preserve"> promotes glycolysis, which is suppressed by </t>
    </r>
    <r>
      <rPr>
        <b/>
        <sz val="11"/>
        <color rgb="FF333333"/>
        <rFont val="Calibri"/>
        <family val="2"/>
        <scheme val="minor"/>
      </rPr>
      <t>PFKFB3</t>
    </r>
    <r>
      <rPr>
        <sz val="11"/>
        <color rgb="FF333333"/>
        <rFont val="Calibri"/>
        <family val="2"/>
        <scheme val="minor"/>
      </rPr>
      <t xml:space="preserve"> deletion. </t>
    </r>
    <r>
      <rPr>
        <b/>
        <sz val="11"/>
        <color rgb="FF333333"/>
        <rFont val="Calibri"/>
        <family val="2"/>
        <scheme val="minor"/>
      </rPr>
      <t>2)</t>
    </r>
    <r>
      <rPr>
        <sz val="11"/>
        <color rgb="FF333333"/>
        <rFont val="Calibri"/>
        <family val="2"/>
        <scheme val="minor"/>
      </rPr>
      <t xml:space="preserve"> Inhibition of </t>
    </r>
    <r>
      <rPr>
        <b/>
        <sz val="11"/>
        <color rgb="FF333333"/>
        <rFont val="Calibri"/>
        <family val="2"/>
        <scheme val="minor"/>
      </rPr>
      <t>PFKFB3</t>
    </r>
    <r>
      <rPr>
        <sz val="11"/>
        <color rgb="FF333333"/>
        <rFont val="Calibri"/>
        <family val="2"/>
        <scheme val="minor"/>
      </rPr>
      <t xml:space="preserve"> sensitizes tumor to </t>
    </r>
    <r>
      <rPr>
        <b/>
        <sz val="11"/>
        <color rgb="FF333333"/>
        <rFont val="Calibri"/>
        <family val="2"/>
        <scheme val="minor"/>
      </rPr>
      <t>cisplatin</t>
    </r>
    <r>
      <rPr>
        <sz val="11"/>
        <color rgb="FF333333"/>
        <rFont val="Calibri"/>
        <family val="2"/>
        <scheme val="minor"/>
      </rPr>
      <t xml:space="preserve"> treatment in a xenograft model. </t>
    </r>
    <r>
      <rPr>
        <b/>
        <sz val="11"/>
        <color rgb="FF333333"/>
        <rFont val="Calibri"/>
        <family val="2"/>
        <scheme val="minor"/>
      </rPr>
      <t>3) cisplatin</t>
    </r>
    <r>
      <rPr>
        <sz val="11"/>
        <color rgb="FF333333"/>
        <rFont val="Calibri"/>
        <family val="2"/>
        <scheme val="minor"/>
      </rPr>
      <t xml:space="preserve"> induces </t>
    </r>
    <r>
      <rPr>
        <b/>
        <sz val="11"/>
        <color rgb="FF333333"/>
        <rFont val="Calibri"/>
        <family val="2"/>
        <scheme val="minor"/>
      </rPr>
      <t>PFKFB3 acetylation</t>
    </r>
    <r>
      <rPr>
        <sz val="11"/>
        <color rgb="FF333333"/>
        <rFont val="Calibri"/>
        <family val="2"/>
        <scheme val="minor"/>
      </rPr>
      <t xml:space="preserve">, which accumulates PFKFB3 in the cytoplasm. which facilitates its phosphorylation by AMPK, leading to PFKFB3 activation and enhanced glycolysis. </t>
    </r>
    <r>
      <rPr>
        <b/>
        <sz val="11"/>
        <color rgb="FF333333"/>
        <rFont val="Calibri"/>
        <family val="2"/>
        <scheme val="minor"/>
      </rPr>
      <t>4)</t>
    </r>
    <r>
      <rPr>
        <sz val="11"/>
        <color rgb="FF333333"/>
        <rFont val="Calibri"/>
        <family val="2"/>
        <scheme val="minor"/>
      </rPr>
      <t xml:space="preserve"> PFK158 plus CarBoPt treatments lead to significantly enhanced antitumor activity in a gynecologic cancer mouse model. </t>
    </r>
  </si>
  <si>
    <r>
      <rPr>
        <b/>
        <sz val="11"/>
        <color rgb="FF333333"/>
        <rFont val="Calibri"/>
        <family val="2"/>
        <scheme val="minor"/>
      </rPr>
      <t>1)</t>
    </r>
    <r>
      <rPr>
        <sz val="11"/>
        <color rgb="FF333333"/>
        <rFont val="Calibri"/>
        <family val="2"/>
        <scheme val="minor"/>
      </rPr>
      <t xml:space="preserve"> Overexpression of </t>
    </r>
    <r>
      <rPr>
        <b/>
        <sz val="11"/>
        <color rgb="FF333333"/>
        <rFont val="Calibri"/>
        <family val="2"/>
        <scheme val="minor"/>
      </rPr>
      <t>AURKA</t>
    </r>
    <r>
      <rPr>
        <sz val="11"/>
        <color rgb="FF333333"/>
        <rFont val="Calibri"/>
        <family val="2"/>
        <scheme val="minor"/>
      </rPr>
      <t xml:space="preserve"> and </t>
    </r>
    <r>
      <rPr>
        <b/>
        <sz val="11"/>
        <color rgb="FF333333"/>
        <rFont val="Calibri"/>
        <family val="2"/>
        <scheme val="minor"/>
      </rPr>
      <t>phosphorylation</t>
    </r>
    <r>
      <rPr>
        <sz val="11"/>
        <color rgb="FF333333"/>
        <rFont val="Calibri"/>
        <family val="2"/>
        <scheme val="minor"/>
      </rPr>
      <t xml:space="preserve"> of eIF4E was found in acquired and de novo </t>
    </r>
    <r>
      <rPr>
        <b/>
        <sz val="11"/>
        <color rgb="FF333333"/>
        <rFont val="Calibri"/>
        <family val="2"/>
        <scheme val="minor"/>
      </rPr>
      <t>CDDP</t>
    </r>
    <r>
      <rPr>
        <sz val="11"/>
        <color rgb="FF333333"/>
        <rFont val="Calibri"/>
        <family val="2"/>
        <scheme val="minor"/>
      </rPr>
      <t xml:space="preserve">-resistant </t>
    </r>
    <r>
      <rPr>
        <b/>
        <sz val="11"/>
        <color rgb="FF333333"/>
        <rFont val="Calibri"/>
        <family val="2"/>
        <scheme val="minor"/>
      </rPr>
      <t>gastric</t>
    </r>
    <r>
      <rPr>
        <sz val="11"/>
        <color rgb="FF333333"/>
        <rFont val="Calibri"/>
        <family val="2"/>
        <scheme val="minor"/>
      </rPr>
      <t xml:space="preserve"> cancer models. </t>
    </r>
    <r>
      <rPr>
        <b/>
        <sz val="11"/>
        <color rgb="FF333333"/>
        <rFont val="Calibri"/>
        <family val="2"/>
        <scheme val="minor"/>
      </rPr>
      <t>2)</t>
    </r>
    <r>
      <rPr>
        <sz val="11"/>
        <color rgb="FF333333"/>
        <rFont val="Calibri"/>
        <family val="2"/>
        <scheme val="minor"/>
      </rPr>
      <t xml:space="preserve"> Inhibition of </t>
    </r>
    <r>
      <rPr>
        <b/>
        <sz val="11"/>
        <color rgb="FF333333"/>
        <rFont val="Calibri"/>
        <family val="2"/>
        <scheme val="minor"/>
      </rPr>
      <t>AURKA</t>
    </r>
    <r>
      <rPr>
        <sz val="11"/>
        <color rgb="FF333333"/>
        <rFont val="Calibri"/>
        <family val="2"/>
        <scheme val="minor"/>
      </rPr>
      <t xml:space="preserve"> with MLN8237 (alisertib) alone or in combination with </t>
    </r>
    <r>
      <rPr>
        <b/>
        <sz val="11"/>
        <color rgb="FF333333"/>
        <rFont val="Calibri"/>
        <family val="2"/>
        <scheme val="minor"/>
      </rPr>
      <t>CDDP</t>
    </r>
    <r>
      <rPr>
        <sz val="11"/>
        <color rgb="FF333333"/>
        <rFont val="Calibri"/>
        <family val="2"/>
        <scheme val="minor"/>
      </rPr>
      <t xml:space="preserve"> significantly suppressed viability of CDDP-resistant </t>
    </r>
    <r>
      <rPr>
        <b/>
        <sz val="11"/>
        <color rgb="FF333333"/>
        <rFont val="Calibri"/>
        <family val="2"/>
        <scheme val="minor"/>
      </rPr>
      <t>gastric</t>
    </r>
    <r>
      <rPr>
        <sz val="11"/>
        <color rgb="FF333333"/>
        <rFont val="Calibri"/>
        <family val="2"/>
        <scheme val="minor"/>
      </rPr>
      <t xml:space="preserve"> cancer cells. </t>
    </r>
    <r>
      <rPr>
        <b/>
        <sz val="11"/>
        <color rgb="FF333333"/>
        <rFont val="Calibri"/>
        <family val="2"/>
        <scheme val="minor"/>
      </rPr>
      <t>3)</t>
    </r>
    <r>
      <rPr>
        <sz val="11"/>
        <color rgb="FF333333"/>
        <rFont val="Calibri"/>
        <family val="2"/>
        <scheme val="minor"/>
      </rPr>
      <t xml:space="preserve"> In vivo tumor xenografts data confirmed that inhibition of AURKA was sufficient to overcome </t>
    </r>
    <r>
      <rPr>
        <b/>
        <sz val="11"/>
        <color rgb="FF333333"/>
        <rFont val="Calibri"/>
        <family val="2"/>
        <scheme val="minor"/>
      </rPr>
      <t>CDDP</t>
    </r>
    <r>
      <rPr>
        <sz val="11"/>
        <color rgb="FF333333"/>
        <rFont val="Calibri"/>
        <family val="2"/>
        <scheme val="minor"/>
      </rPr>
      <t xml:space="preserve"> resistance in </t>
    </r>
    <r>
      <rPr>
        <b/>
        <sz val="11"/>
        <color rgb="FF333333"/>
        <rFont val="Calibri"/>
        <family val="2"/>
        <scheme val="minor"/>
      </rPr>
      <t>gastric</t>
    </r>
    <r>
      <rPr>
        <sz val="11"/>
        <color rgb="FF333333"/>
        <rFont val="Calibri"/>
        <family val="2"/>
        <scheme val="minor"/>
      </rPr>
      <t xml:space="preserve"> cancer.  </t>
    </r>
    <r>
      <rPr>
        <b/>
        <sz val="11"/>
        <color rgb="FF333333"/>
        <rFont val="Calibri"/>
        <family val="2"/>
        <scheme val="minor"/>
      </rPr>
      <t>4)</t>
    </r>
    <r>
      <rPr>
        <sz val="11"/>
        <color rgb="FF333333"/>
        <rFont val="Calibri"/>
        <family val="2"/>
        <scheme val="minor"/>
      </rPr>
      <t xml:space="preserve"> Inhibition or knockdown of </t>
    </r>
    <r>
      <rPr>
        <b/>
        <sz val="11"/>
        <color rgb="FF333333"/>
        <rFont val="Calibri"/>
        <family val="2"/>
        <scheme val="minor"/>
      </rPr>
      <t>AURKA</t>
    </r>
    <r>
      <rPr>
        <sz val="11"/>
        <color rgb="FF333333"/>
        <rFont val="Calibri"/>
        <family val="2"/>
        <scheme val="minor"/>
      </rPr>
      <t xml:space="preserve"> decreased protein expression of p-eIF4E (</t>
    </r>
    <r>
      <rPr>
        <b/>
        <sz val="11"/>
        <color rgb="FF333333"/>
        <rFont val="Calibri"/>
        <family val="2"/>
        <scheme val="minor"/>
      </rPr>
      <t>S209</t>
    </r>
    <r>
      <rPr>
        <sz val="11"/>
        <color rgb="FF333333"/>
        <rFont val="Calibri"/>
        <family val="2"/>
        <scheme val="minor"/>
      </rPr>
      <t xml:space="preserve">), </t>
    </r>
    <r>
      <rPr>
        <b/>
        <sz val="11"/>
        <color rgb="FF333333"/>
        <rFont val="Calibri"/>
        <family val="2"/>
        <scheme val="minor"/>
      </rPr>
      <t>HDM2</t>
    </r>
    <r>
      <rPr>
        <sz val="11"/>
        <color rgb="FF333333"/>
        <rFont val="Calibri"/>
        <family val="2"/>
        <scheme val="minor"/>
      </rPr>
      <t xml:space="preserve">, and </t>
    </r>
    <r>
      <rPr>
        <b/>
        <sz val="11"/>
        <color rgb="FF333333"/>
        <rFont val="Calibri"/>
        <family val="2"/>
        <scheme val="minor"/>
      </rPr>
      <t xml:space="preserve">c-MYC </t>
    </r>
    <r>
      <rPr>
        <sz val="11"/>
        <color rgb="FF333333"/>
        <rFont val="Calibri"/>
        <family val="2"/>
        <scheme val="minor"/>
      </rPr>
      <t xml:space="preserve">in CDDP-resistant cell models. This was associated with a significant decrease in cap-dependent translation levels. </t>
    </r>
    <r>
      <rPr>
        <b/>
        <sz val="11"/>
        <color rgb="FF333333"/>
        <rFont val="Calibri"/>
        <family val="2"/>
        <scheme val="minor"/>
      </rPr>
      <t xml:space="preserve">5) </t>
    </r>
    <r>
      <rPr>
        <sz val="11"/>
        <color rgb="FF333333"/>
        <rFont val="Calibri"/>
        <family val="2"/>
        <scheme val="minor"/>
      </rPr>
      <t xml:space="preserve">In this retrospective study, an immunohistochemical evaluation of </t>
    </r>
    <r>
      <rPr>
        <b/>
        <sz val="11"/>
        <color rgb="FF333333"/>
        <rFont val="Calibri"/>
        <family val="2"/>
        <scheme val="minor"/>
      </rPr>
      <t>AURKA</t>
    </r>
    <r>
      <rPr>
        <sz val="11"/>
        <color rgb="FF333333"/>
        <rFont val="Calibri"/>
        <family val="2"/>
        <scheme val="minor"/>
      </rPr>
      <t xml:space="preserve"> was performed on 41 cases of </t>
    </r>
    <r>
      <rPr>
        <b/>
        <sz val="11"/>
        <color rgb="FF333333"/>
        <rFont val="Calibri"/>
        <family val="2"/>
        <scheme val="minor"/>
      </rPr>
      <t>HGSOC</t>
    </r>
    <r>
      <rPr>
        <sz val="11"/>
        <color rgb="FF333333"/>
        <rFont val="Calibri"/>
        <family val="2"/>
        <scheme val="minor"/>
      </rPr>
      <t xml:space="preserve"> according to </t>
    </r>
    <r>
      <rPr>
        <b/>
        <sz val="11"/>
        <color rgb="FF333333"/>
        <rFont val="Calibri"/>
        <family val="2"/>
        <scheme val="minor"/>
      </rPr>
      <t>platinum</t>
    </r>
    <r>
      <rPr>
        <sz val="11"/>
        <color rgb="FF333333"/>
        <rFont val="Calibri"/>
        <family val="2"/>
        <scheme val="minor"/>
      </rPr>
      <t xml:space="preserve">-status. Taking into account the number and intensity of </t>
    </r>
    <r>
      <rPr>
        <b/>
        <sz val="11"/>
        <color rgb="FF333333"/>
        <rFont val="Calibri"/>
        <family val="2"/>
        <scheme val="minor"/>
      </rPr>
      <t>AURKA</t>
    </r>
    <r>
      <rPr>
        <sz val="11"/>
        <color rgb="FF333333"/>
        <rFont val="Calibri"/>
        <family val="2"/>
        <scheme val="minor"/>
      </rPr>
      <t xml:space="preserve"> positive cells we built a predictive score able to discriminate with high accuracy </t>
    </r>
    <r>
      <rPr>
        <b/>
        <sz val="11"/>
        <color rgb="FF333333"/>
        <rFont val="Calibri"/>
        <family val="2"/>
        <scheme val="minor"/>
      </rPr>
      <t>platinum</t>
    </r>
    <r>
      <rPr>
        <sz val="11"/>
        <color rgb="FF333333"/>
        <rFont val="Calibri"/>
        <family val="2"/>
        <scheme val="minor"/>
      </rPr>
      <t xml:space="preserve">-sensitive patients from </t>
    </r>
    <r>
      <rPr>
        <b/>
        <sz val="11"/>
        <color rgb="FF333333"/>
        <rFont val="Calibri"/>
        <family val="2"/>
        <scheme val="minor"/>
      </rPr>
      <t>platinum</t>
    </r>
    <r>
      <rPr>
        <sz val="11"/>
        <color rgb="FF333333"/>
        <rFont val="Calibri"/>
        <family val="2"/>
        <scheme val="minor"/>
      </rPr>
      <t xml:space="preserve">-resistant patients (p &lt; 0.001). </t>
    </r>
    <r>
      <rPr>
        <b/>
        <sz val="11"/>
        <color rgb="FF333333"/>
        <rFont val="Calibri"/>
        <family val="2"/>
        <scheme val="minor"/>
      </rPr>
      <t>6) AURKA</t>
    </r>
    <r>
      <rPr>
        <sz val="11"/>
        <color rgb="FF333333"/>
        <rFont val="Calibri"/>
        <family val="2"/>
        <scheme val="minor"/>
      </rPr>
      <t xml:space="preserve"> overexpression correlates to worse overall survival (p = 0.001; HR 0.14). </t>
    </r>
    <r>
      <rPr>
        <b/>
        <sz val="11"/>
        <color rgb="FF333333"/>
        <rFont val="Calibri"/>
        <family val="2"/>
        <scheme val="minor"/>
      </rPr>
      <t>7)</t>
    </r>
    <r>
      <rPr>
        <sz val="11"/>
        <color rgb="FF333333"/>
        <rFont val="Calibri"/>
        <family val="2"/>
        <scheme val="minor"/>
      </rPr>
      <t xml:space="preserve"> Forced overexpression of </t>
    </r>
    <r>
      <rPr>
        <b/>
        <sz val="11"/>
        <color rgb="FF333333"/>
        <rFont val="Calibri"/>
        <family val="2"/>
        <scheme val="minor"/>
      </rPr>
      <t>AURKA</t>
    </r>
    <r>
      <rPr>
        <sz val="11"/>
        <color rgb="FF333333"/>
        <rFont val="Calibri"/>
        <family val="2"/>
        <scheme val="minor"/>
      </rPr>
      <t xml:space="preserve"> reversed </t>
    </r>
    <r>
      <rPr>
        <b/>
        <sz val="11"/>
        <color rgb="FF333333"/>
        <rFont val="Calibri"/>
        <family val="2"/>
        <scheme val="minor"/>
      </rPr>
      <t>AEG-1</t>
    </r>
    <r>
      <rPr>
        <sz val="11"/>
        <color rgb="FF333333"/>
        <rFont val="Calibri"/>
        <family val="2"/>
        <scheme val="minor"/>
      </rPr>
      <t xml:space="preserve"> shRNA effect on cytotoxicity enhancement to </t>
    </r>
    <r>
      <rPr>
        <b/>
        <sz val="11"/>
        <color rgb="FF333333"/>
        <rFont val="Calibri"/>
        <family val="2"/>
        <scheme val="minor"/>
      </rPr>
      <t xml:space="preserve">cisplatin. </t>
    </r>
  </si>
  <si>
    <r>
      <rPr>
        <b/>
        <sz val="11"/>
        <rFont val="Calibri"/>
        <family val="2"/>
        <scheme val="minor"/>
      </rPr>
      <t xml:space="preserve">1) </t>
    </r>
    <r>
      <rPr>
        <sz val="11"/>
        <rFont val="Calibri"/>
        <family val="2"/>
        <scheme val="minor"/>
      </rPr>
      <t xml:space="preserve">The levels of </t>
    </r>
    <r>
      <rPr>
        <b/>
        <sz val="11"/>
        <rFont val="Calibri"/>
        <family val="2"/>
        <scheme val="minor"/>
      </rPr>
      <t>phosphorylated</t>
    </r>
    <r>
      <rPr>
        <sz val="11"/>
        <rFont val="Calibri"/>
        <family val="2"/>
        <scheme val="minor"/>
      </rPr>
      <t xml:space="preserve"> p70S6K and its downstream target S6 but not total p70S6K or S6 were elevated in the H69 cells that acquired resistance to </t>
    </r>
    <r>
      <rPr>
        <b/>
        <sz val="11"/>
        <rFont val="Calibri"/>
        <family val="2"/>
        <scheme val="minor"/>
      </rPr>
      <t>cisplatin</t>
    </r>
    <r>
      <rPr>
        <sz val="11"/>
        <rFont val="Calibri"/>
        <family val="2"/>
        <scheme val="minor"/>
      </rPr>
      <t xml:space="preserve"> (H69/CP) compared to parental small cell </t>
    </r>
    <r>
      <rPr>
        <b/>
        <sz val="11"/>
        <rFont val="Calibri"/>
        <family val="2"/>
        <scheme val="minor"/>
      </rPr>
      <t>lung</t>
    </r>
    <r>
      <rPr>
        <sz val="11"/>
        <rFont val="Calibri"/>
        <family val="2"/>
        <scheme val="minor"/>
      </rPr>
      <t xml:space="preserve"> cancer H69 cells. </t>
    </r>
    <r>
      <rPr>
        <b/>
        <sz val="11"/>
        <rFont val="Calibri"/>
        <family val="2"/>
        <scheme val="minor"/>
      </rPr>
      <t>2) Cisplatin</t>
    </r>
    <r>
      <rPr>
        <sz val="11"/>
        <rFont val="Calibri"/>
        <family val="2"/>
        <scheme val="minor"/>
      </rPr>
      <t xml:space="preserve"> treatment resulted in the activation of </t>
    </r>
    <r>
      <rPr>
        <b/>
        <sz val="11"/>
        <rFont val="Calibri"/>
        <family val="2"/>
        <scheme val="minor"/>
      </rPr>
      <t>p70S6K</t>
    </r>
    <r>
      <rPr>
        <sz val="11"/>
        <rFont val="Calibri"/>
        <family val="2"/>
        <scheme val="minor"/>
      </rPr>
      <t xml:space="preserve"> and downregulation of p70S6K enhanced cisplatin-induced apoptosis. </t>
    </r>
    <r>
      <rPr>
        <b/>
        <sz val="11"/>
        <rFont val="Calibri"/>
        <family val="2"/>
        <scheme val="minor"/>
      </rPr>
      <t>3)</t>
    </r>
    <r>
      <rPr>
        <sz val="11"/>
        <rFont val="Calibri"/>
        <family val="2"/>
        <scheme val="minor"/>
      </rPr>
      <t xml:space="preserve"> URI, a mitochondrial inhibitor of PP1γ, constitutively detains PP1γ in inactive complexes, and therefore sustains S6K1 survival signaling under growth factor-limiting conditions and mediates resistance of cells to </t>
    </r>
    <r>
      <rPr>
        <b/>
        <sz val="11"/>
        <rFont val="Calibri"/>
        <family val="2"/>
        <scheme val="minor"/>
      </rPr>
      <t>cisplatin</t>
    </r>
    <r>
      <rPr>
        <sz val="11"/>
        <rFont val="Calibri"/>
        <family val="2"/>
        <scheme val="minor"/>
      </rPr>
      <t xml:space="preserve">. </t>
    </r>
    <r>
      <rPr>
        <b/>
        <sz val="11"/>
        <rFont val="Calibri"/>
        <family val="2"/>
        <scheme val="minor"/>
      </rPr>
      <t xml:space="preserve">4) </t>
    </r>
    <r>
      <rPr>
        <sz val="11"/>
        <rFont val="Calibri"/>
        <family val="2"/>
        <scheme val="minor"/>
      </rPr>
      <t xml:space="preserve">RAME was identified as a novel </t>
    </r>
    <r>
      <rPr>
        <b/>
        <sz val="11"/>
        <rFont val="Calibri"/>
        <family val="2"/>
        <scheme val="minor"/>
      </rPr>
      <t>S6K1</t>
    </r>
    <r>
      <rPr>
        <sz val="11"/>
        <rFont val="Calibri"/>
        <family val="2"/>
        <scheme val="minor"/>
      </rPr>
      <t xml:space="preserve"> inhibitor through blocking the interaction between </t>
    </r>
    <r>
      <rPr>
        <b/>
        <sz val="11"/>
        <rFont val="Calibri"/>
        <family val="2"/>
        <scheme val="minor"/>
      </rPr>
      <t>S6K1</t>
    </r>
    <r>
      <rPr>
        <sz val="11"/>
        <rFont val="Calibri"/>
        <family val="2"/>
        <scheme val="minor"/>
      </rPr>
      <t xml:space="preserve"> and </t>
    </r>
    <r>
      <rPr>
        <b/>
        <sz val="11"/>
        <rFont val="Calibri"/>
        <family val="2"/>
        <scheme val="minor"/>
      </rPr>
      <t>mTOR:</t>
    </r>
    <r>
      <rPr>
        <sz val="11"/>
        <rFont val="Calibri"/>
        <family val="2"/>
        <scheme val="minor"/>
      </rPr>
      <t xml:space="preserve"> treatment of </t>
    </r>
    <r>
      <rPr>
        <b/>
        <sz val="11"/>
        <rFont val="Calibri"/>
        <family val="2"/>
        <scheme val="minor"/>
      </rPr>
      <t>cervical</t>
    </r>
    <r>
      <rPr>
        <sz val="11"/>
        <rFont val="Calibri"/>
        <family val="2"/>
        <scheme val="minor"/>
      </rPr>
      <t xml:space="preserve"> cancer cells with RAME promoted autophagy and apoptosis, and greatly enhanced the anti-tumor effect of </t>
    </r>
    <r>
      <rPr>
        <b/>
        <sz val="11"/>
        <rFont val="Calibri"/>
        <family val="2"/>
        <scheme val="minor"/>
      </rPr>
      <t>cisplatin</t>
    </r>
    <r>
      <rPr>
        <sz val="11"/>
        <rFont val="Calibri"/>
        <family val="2"/>
        <scheme val="minor"/>
      </rPr>
      <t xml:space="preserve"> in cisplatin-resistant cervical cancer cells.</t>
    </r>
  </si>
  <si>
    <t>18425342, 21397856, 31387554</t>
  </si>
  <si>
    <r>
      <rPr>
        <b/>
        <sz val="11"/>
        <color rgb="FF333333"/>
        <rFont val="Calibri"/>
        <family val="2"/>
        <scheme val="minor"/>
      </rPr>
      <t xml:space="preserve">1) </t>
    </r>
    <r>
      <rPr>
        <sz val="11"/>
        <color rgb="FF333333"/>
        <rFont val="Calibri"/>
        <family val="2"/>
        <scheme val="minor"/>
      </rPr>
      <t>reduced expression of </t>
    </r>
    <r>
      <rPr>
        <b/>
        <sz val="11"/>
        <color rgb="FF333333"/>
        <rFont val="Calibri"/>
        <family val="2"/>
        <scheme val="minor"/>
      </rPr>
      <t>SMARCA4</t>
    </r>
    <r>
      <rPr>
        <sz val="11"/>
        <color rgb="FF333333"/>
        <rFont val="Calibri"/>
        <family val="2"/>
        <scheme val="minor"/>
      </rPr>
      <t xml:space="preserve"> was associated with poor OS compared to high and intermediate expression (P&lt;0.001 and P=0.009, respectively) in </t>
    </r>
    <r>
      <rPr>
        <b/>
        <sz val="11"/>
        <color rgb="FF333333"/>
        <rFont val="Calibri"/>
        <family val="2"/>
        <scheme val="minor"/>
      </rPr>
      <t>NSCLC</t>
    </r>
    <r>
      <rPr>
        <sz val="11"/>
        <color rgb="FF333333"/>
        <rFont val="Calibri"/>
        <family val="2"/>
        <scheme val="minor"/>
      </rPr>
      <t xml:space="preserve"> patients under </t>
    </r>
    <r>
      <rPr>
        <b/>
        <sz val="11"/>
        <color rgb="FF333333"/>
        <rFont val="Calibri"/>
        <family val="2"/>
        <scheme val="minor"/>
      </rPr>
      <t>cisplatin</t>
    </r>
    <r>
      <rPr>
        <sz val="11"/>
        <color rgb="FF333333"/>
        <rFont val="Calibri"/>
        <family val="2"/>
        <scheme val="minor"/>
      </rPr>
      <t xml:space="preserve">-based chemotherapy. </t>
    </r>
    <r>
      <rPr>
        <b/>
        <sz val="11"/>
        <color rgb="FF333333"/>
        <rFont val="Calibri"/>
        <family val="2"/>
        <scheme val="minor"/>
      </rPr>
      <t xml:space="preserve">2) </t>
    </r>
    <r>
      <rPr>
        <sz val="11"/>
        <color rgb="FF333333"/>
        <rFont val="Calibri"/>
        <family val="2"/>
        <scheme val="minor"/>
      </rPr>
      <t>In multivariate analysis, compared to low, high </t>
    </r>
    <r>
      <rPr>
        <b/>
        <sz val="11"/>
        <color rgb="FF333333"/>
        <rFont val="Calibri"/>
        <family val="2"/>
        <scheme val="minor"/>
      </rPr>
      <t>SMARCA4</t>
    </r>
    <r>
      <rPr>
        <sz val="11"/>
        <color rgb="FF333333"/>
        <rFont val="Calibri"/>
        <family val="2"/>
        <scheme val="minor"/>
      </rPr>
      <t xml:space="preserve"> expression predicted a decrease in risk of death (HR=0.6, 95% CI: 0.4–0.8, P=0.002). </t>
    </r>
    <r>
      <rPr>
        <b/>
        <sz val="11"/>
        <color rgb="FF333333"/>
        <rFont val="Calibri"/>
        <family val="2"/>
        <scheme val="minor"/>
      </rPr>
      <t>3) SMARCA4</t>
    </r>
    <r>
      <rPr>
        <sz val="11"/>
        <color rgb="FF333333"/>
        <rFont val="Calibri"/>
        <family val="2"/>
        <scheme val="minor"/>
      </rPr>
      <t xml:space="preserve"> knockdown sensitizes </t>
    </r>
    <r>
      <rPr>
        <b/>
        <sz val="11"/>
        <color rgb="FF333333"/>
        <rFont val="Calibri"/>
        <family val="2"/>
        <scheme val="minor"/>
      </rPr>
      <t>pancreatic</t>
    </r>
    <r>
      <rPr>
        <sz val="11"/>
        <color rgb="FF333333"/>
        <rFont val="Calibri"/>
        <family val="2"/>
        <scheme val="minor"/>
      </rPr>
      <t xml:space="preserve"> ductal epithelial cells to </t>
    </r>
    <r>
      <rPr>
        <b/>
        <sz val="11"/>
        <color rgb="FF333333"/>
        <rFont val="Calibri"/>
        <family val="2"/>
        <scheme val="minor"/>
      </rPr>
      <t>cisplatin</t>
    </r>
    <r>
      <rPr>
        <sz val="11"/>
        <color rgb="FF333333"/>
        <rFont val="Calibri"/>
        <family val="2"/>
        <scheme val="minor"/>
      </rPr>
      <t xml:space="preserve">. </t>
    </r>
    <r>
      <rPr>
        <b/>
        <sz val="11"/>
        <color rgb="FF333333"/>
        <rFont val="Calibri"/>
        <family val="2"/>
        <scheme val="minor"/>
      </rPr>
      <t>4)</t>
    </r>
    <r>
      <rPr>
        <sz val="11"/>
        <color rgb="FF333333"/>
        <rFont val="Calibri"/>
        <family val="2"/>
        <scheme val="minor"/>
      </rPr>
      <t xml:space="preserve"> Re-introduction of </t>
    </r>
    <r>
      <rPr>
        <b/>
        <sz val="11"/>
        <color rgb="FF333333"/>
        <rFont val="Calibri"/>
        <family val="2"/>
        <scheme val="minor"/>
      </rPr>
      <t>BRG1</t>
    </r>
    <r>
      <rPr>
        <sz val="11"/>
        <color rgb="FF333333"/>
        <rFont val="Calibri"/>
        <family val="2"/>
        <scheme val="minor"/>
      </rPr>
      <t xml:space="preserve"> in BRG1-deficient </t>
    </r>
    <r>
      <rPr>
        <b/>
        <sz val="11"/>
        <color rgb="FF333333"/>
        <rFont val="Calibri"/>
        <family val="2"/>
        <scheme val="minor"/>
      </rPr>
      <t>melanoma</t>
    </r>
    <r>
      <rPr>
        <sz val="11"/>
        <color rgb="FF333333"/>
        <rFont val="Calibri"/>
        <family val="2"/>
        <scheme val="minor"/>
      </rPr>
      <t xml:space="preserve"> SK-MEL5 cells enhanced expression of differentiation-specific </t>
    </r>
    <r>
      <rPr>
        <b/>
        <sz val="11"/>
        <color rgb="FF333333"/>
        <rFont val="Calibri"/>
        <family val="2"/>
        <scheme val="minor"/>
      </rPr>
      <t>MITF</t>
    </r>
    <r>
      <rPr>
        <sz val="11"/>
        <color rgb="FF333333"/>
        <rFont val="Calibri"/>
        <family val="2"/>
        <scheme val="minor"/>
      </rPr>
      <t xml:space="preserve"> target genes and resistance to </t>
    </r>
    <r>
      <rPr>
        <b/>
        <sz val="11"/>
        <color rgb="FF333333"/>
        <rFont val="Calibri"/>
        <family val="2"/>
        <scheme val="minor"/>
      </rPr>
      <t>cisplatin</t>
    </r>
    <r>
      <rPr>
        <sz val="11"/>
        <color rgb="FF333333"/>
        <rFont val="Calibri"/>
        <family val="2"/>
        <scheme val="minor"/>
      </rPr>
      <t xml:space="preserve">. </t>
    </r>
  </si>
  <si>
    <t>26671993, 29515757, 19784067</t>
  </si>
  <si>
    <t>28222434, 26351843, 23318422, 28791708, 33222246, 21458988</t>
  </si>
  <si>
    <r>
      <rPr>
        <b/>
        <sz val="11"/>
        <rFont val="Calibri"/>
        <family val="2"/>
        <scheme val="minor"/>
      </rPr>
      <t xml:space="preserve">1) </t>
    </r>
    <r>
      <rPr>
        <sz val="11"/>
        <rFont val="Calibri"/>
        <family val="2"/>
        <scheme val="minor"/>
      </rPr>
      <t xml:space="preserve">Morphological and phenotypic hallmarks of EMT were identified in the chemoresistant </t>
    </r>
    <r>
      <rPr>
        <b/>
        <sz val="11"/>
        <rFont val="Calibri"/>
        <family val="2"/>
        <scheme val="minor"/>
      </rPr>
      <t>ovarian</t>
    </r>
    <r>
      <rPr>
        <sz val="11"/>
        <rFont val="Calibri"/>
        <family val="2"/>
        <scheme val="minor"/>
      </rPr>
      <t xml:space="preserve"> cancer cells. </t>
    </r>
    <r>
      <rPr>
        <b/>
        <sz val="11"/>
        <rFont val="Calibri"/>
        <family val="2"/>
        <scheme val="minor"/>
      </rPr>
      <t xml:space="preserve">2) </t>
    </r>
    <r>
      <rPr>
        <sz val="11"/>
        <rFont val="Calibri"/>
        <family val="2"/>
        <scheme val="minor"/>
      </rPr>
      <t xml:space="preserve">Subsequent gene expression profiling revealed upregulation of EMT-related transcription factors including </t>
    </r>
    <r>
      <rPr>
        <b/>
        <sz val="11"/>
        <rFont val="Calibri"/>
        <family val="2"/>
        <scheme val="minor"/>
      </rPr>
      <t>snail, slug, twist2</t>
    </r>
    <r>
      <rPr>
        <sz val="11"/>
        <rFont val="Calibri"/>
        <family val="2"/>
        <scheme val="minor"/>
      </rPr>
      <t xml:space="preserve"> and </t>
    </r>
    <r>
      <rPr>
        <b/>
        <sz val="11"/>
        <rFont val="Calibri"/>
        <family val="2"/>
        <scheme val="minor"/>
      </rPr>
      <t>zeb2</t>
    </r>
    <r>
      <rPr>
        <sz val="11"/>
        <rFont val="Calibri"/>
        <family val="2"/>
        <scheme val="minor"/>
      </rPr>
      <t>. </t>
    </r>
    <r>
      <rPr>
        <b/>
        <sz val="11"/>
        <rFont val="Calibri"/>
        <family val="2"/>
        <scheme val="minor"/>
      </rPr>
      <t xml:space="preserve">3) </t>
    </r>
    <r>
      <rPr>
        <sz val="11"/>
        <rFont val="Calibri"/>
        <family val="2"/>
        <scheme val="minor"/>
      </rPr>
      <t xml:space="preserve">By reducing expression of </t>
    </r>
    <r>
      <rPr>
        <b/>
        <sz val="11"/>
        <rFont val="Calibri"/>
        <family val="2"/>
        <scheme val="minor"/>
      </rPr>
      <t xml:space="preserve">snail </t>
    </r>
    <r>
      <rPr>
        <sz val="11"/>
        <rFont val="Calibri"/>
        <family val="2"/>
        <scheme val="minor"/>
      </rPr>
      <t xml:space="preserve">and </t>
    </r>
    <r>
      <rPr>
        <b/>
        <sz val="11"/>
        <rFont val="Calibri"/>
        <family val="2"/>
        <scheme val="minor"/>
      </rPr>
      <t>slug</t>
    </r>
    <r>
      <rPr>
        <sz val="11"/>
        <rFont val="Calibri"/>
        <family val="2"/>
        <scheme val="minor"/>
      </rPr>
      <t xml:space="preserve">, the mesenchymal phenotype was largely reversed and cells were resensitized to </t>
    </r>
    <r>
      <rPr>
        <b/>
        <sz val="11"/>
        <rFont val="Calibri"/>
        <family val="2"/>
        <scheme val="minor"/>
      </rPr>
      <t>cisplatin</t>
    </r>
    <r>
      <rPr>
        <sz val="11"/>
        <rFont val="Calibri"/>
        <family val="2"/>
        <scheme val="minor"/>
      </rPr>
      <t xml:space="preserve">. </t>
    </r>
    <r>
      <rPr>
        <b/>
        <sz val="11"/>
        <rFont val="Calibri"/>
        <family val="2"/>
        <scheme val="minor"/>
      </rPr>
      <t xml:space="preserve">4) </t>
    </r>
    <r>
      <rPr>
        <sz val="11"/>
        <rFont val="Calibri"/>
        <family val="2"/>
        <scheme val="minor"/>
      </rPr>
      <t xml:space="preserve">The correlation between the expression of </t>
    </r>
    <r>
      <rPr>
        <b/>
        <sz val="11"/>
        <rFont val="Calibri"/>
        <family val="2"/>
        <scheme val="minor"/>
      </rPr>
      <t>Snail</t>
    </r>
    <r>
      <rPr>
        <sz val="11"/>
        <rFont val="Calibri"/>
        <family val="2"/>
        <scheme val="minor"/>
      </rPr>
      <t xml:space="preserve"> and </t>
    </r>
    <r>
      <rPr>
        <b/>
        <sz val="11"/>
        <rFont val="Calibri"/>
        <family val="2"/>
        <scheme val="minor"/>
      </rPr>
      <t>ERCC1</t>
    </r>
    <r>
      <rPr>
        <sz val="11"/>
        <rFont val="Calibri"/>
        <family val="2"/>
        <scheme val="minor"/>
      </rPr>
      <t xml:space="preserve"> was confirmed in different cell lines, including </t>
    </r>
    <r>
      <rPr>
        <b/>
        <sz val="11"/>
        <rFont val="Calibri"/>
        <family val="2"/>
        <scheme val="minor"/>
      </rPr>
      <t>HNSCC</t>
    </r>
    <r>
      <rPr>
        <sz val="11"/>
        <rFont val="Calibri"/>
        <family val="2"/>
        <scheme val="minor"/>
      </rPr>
      <t xml:space="preserve"> cells. </t>
    </r>
    <r>
      <rPr>
        <b/>
        <sz val="11"/>
        <rFont val="Calibri"/>
        <family val="2"/>
        <scheme val="minor"/>
      </rPr>
      <t xml:space="preserve">5) </t>
    </r>
    <r>
      <rPr>
        <sz val="11"/>
        <rFont val="Calibri"/>
        <family val="2"/>
        <scheme val="minor"/>
      </rPr>
      <t xml:space="preserve">In </t>
    </r>
    <r>
      <rPr>
        <b/>
        <sz val="11"/>
        <rFont val="Calibri"/>
        <family val="2"/>
        <scheme val="minor"/>
      </rPr>
      <t>HNSCC</t>
    </r>
    <r>
      <rPr>
        <sz val="11"/>
        <rFont val="Calibri"/>
        <family val="2"/>
        <scheme val="minor"/>
      </rPr>
      <t xml:space="preserve"> cell lines, overexpression of </t>
    </r>
    <r>
      <rPr>
        <b/>
        <sz val="11"/>
        <rFont val="Calibri"/>
        <family val="2"/>
        <scheme val="minor"/>
      </rPr>
      <t>Snail</t>
    </r>
    <r>
      <rPr>
        <sz val="11"/>
        <rFont val="Calibri"/>
        <family val="2"/>
        <scheme val="minor"/>
      </rPr>
      <t xml:space="preserve"> in the low endogenous Snail/ERCC1 cell lines FaDu or CAL-27 increased </t>
    </r>
    <r>
      <rPr>
        <b/>
        <sz val="11"/>
        <rFont val="Calibri"/>
        <family val="2"/>
        <scheme val="minor"/>
      </rPr>
      <t>ERCC1</t>
    </r>
    <r>
      <rPr>
        <sz val="11"/>
        <rFont val="Calibri"/>
        <family val="2"/>
        <scheme val="minor"/>
      </rPr>
      <t xml:space="preserve"> expression, and hypoxia or overexpression of </t>
    </r>
    <r>
      <rPr>
        <b/>
        <sz val="11"/>
        <rFont val="Calibri"/>
        <family val="2"/>
        <scheme val="minor"/>
      </rPr>
      <t>NBS1</t>
    </r>
    <r>
      <rPr>
        <sz val="11"/>
        <rFont val="Calibri"/>
        <family val="2"/>
        <scheme val="minor"/>
      </rPr>
      <t xml:space="preserve"> also upregulated </t>
    </r>
    <r>
      <rPr>
        <b/>
        <sz val="11"/>
        <rFont val="Calibri"/>
        <family val="2"/>
        <scheme val="minor"/>
      </rPr>
      <t>ERCC1</t>
    </r>
    <r>
      <rPr>
        <sz val="11"/>
        <rFont val="Calibri"/>
        <family val="2"/>
        <scheme val="minor"/>
      </rPr>
      <t xml:space="preserve">. </t>
    </r>
    <r>
      <rPr>
        <b/>
        <sz val="11"/>
        <rFont val="Calibri"/>
        <family val="2"/>
        <scheme val="minor"/>
      </rPr>
      <t xml:space="preserve">6) </t>
    </r>
    <r>
      <rPr>
        <sz val="11"/>
        <rFont val="Calibri"/>
        <family val="2"/>
        <scheme val="minor"/>
      </rPr>
      <t xml:space="preserve">Knockdown of </t>
    </r>
    <r>
      <rPr>
        <b/>
        <sz val="11"/>
        <rFont val="Calibri"/>
        <family val="2"/>
        <scheme val="minor"/>
      </rPr>
      <t>Snail</t>
    </r>
    <r>
      <rPr>
        <sz val="11"/>
        <rFont val="Calibri"/>
        <family val="2"/>
        <scheme val="minor"/>
      </rPr>
      <t xml:space="preserve"> in the high endogenous Snail/ERCC1 cell line OECM-1 downregulated </t>
    </r>
    <r>
      <rPr>
        <b/>
        <sz val="11"/>
        <rFont val="Calibri"/>
        <family val="2"/>
        <scheme val="minor"/>
      </rPr>
      <t>ERCC1</t>
    </r>
    <r>
      <rPr>
        <sz val="11"/>
        <rFont val="Calibri"/>
        <family val="2"/>
        <scheme val="minor"/>
      </rPr>
      <t xml:space="preserve"> expression and attenuated </t>
    </r>
    <r>
      <rPr>
        <b/>
        <sz val="11"/>
        <rFont val="Calibri"/>
        <family val="2"/>
        <scheme val="minor"/>
      </rPr>
      <t>cisplatin</t>
    </r>
    <r>
      <rPr>
        <sz val="11"/>
        <rFont val="Calibri"/>
        <family val="2"/>
        <scheme val="minor"/>
      </rPr>
      <t xml:space="preserve"> resistance. </t>
    </r>
    <r>
      <rPr>
        <b/>
        <sz val="11"/>
        <rFont val="Calibri"/>
        <family val="2"/>
        <scheme val="minor"/>
      </rPr>
      <t xml:space="preserve">7) </t>
    </r>
    <r>
      <rPr>
        <sz val="11"/>
        <rFont val="Calibri"/>
        <family val="2"/>
        <scheme val="minor"/>
      </rPr>
      <t xml:space="preserve">suppression of </t>
    </r>
    <r>
      <rPr>
        <b/>
        <sz val="11"/>
        <rFont val="Calibri"/>
        <family val="2"/>
        <scheme val="minor"/>
      </rPr>
      <t>ERCC1</t>
    </r>
    <r>
      <rPr>
        <sz val="11"/>
        <rFont val="Calibri"/>
        <family val="2"/>
        <scheme val="minor"/>
      </rPr>
      <t xml:space="preserve"> in </t>
    </r>
    <r>
      <rPr>
        <b/>
        <sz val="11"/>
        <rFont val="Calibri"/>
        <family val="2"/>
        <scheme val="minor"/>
      </rPr>
      <t>Snail-</t>
    </r>
    <r>
      <rPr>
        <sz val="11"/>
        <rFont val="Calibri"/>
        <family val="2"/>
        <scheme val="minor"/>
      </rPr>
      <t xml:space="preserve"> or </t>
    </r>
    <r>
      <rPr>
        <b/>
        <sz val="11"/>
        <rFont val="Calibri"/>
        <family val="2"/>
        <scheme val="minor"/>
      </rPr>
      <t>NBS1-</t>
    </r>
    <r>
      <rPr>
        <sz val="11"/>
        <rFont val="Calibri"/>
        <family val="2"/>
        <scheme val="minor"/>
      </rPr>
      <t xml:space="preserve">overexpressing </t>
    </r>
    <r>
      <rPr>
        <b/>
        <sz val="11"/>
        <rFont val="Calibri"/>
        <family val="2"/>
        <scheme val="minor"/>
      </rPr>
      <t>HNSCC</t>
    </r>
    <r>
      <rPr>
        <sz val="11"/>
        <rFont val="Calibri"/>
        <family val="2"/>
        <scheme val="minor"/>
      </rPr>
      <t xml:space="preserve"> cells enhanced sensitivity to </t>
    </r>
    <r>
      <rPr>
        <b/>
        <sz val="11"/>
        <rFont val="Calibri"/>
        <family val="2"/>
        <scheme val="minor"/>
      </rPr>
      <t>cisplatin</t>
    </r>
    <r>
      <rPr>
        <sz val="11"/>
        <rFont val="Calibri"/>
        <family val="2"/>
        <scheme val="minor"/>
      </rPr>
      <t xml:space="preserve">. </t>
    </r>
    <r>
      <rPr>
        <b/>
        <sz val="11"/>
        <rFont val="Calibri"/>
        <family val="2"/>
        <scheme val="minor"/>
      </rPr>
      <t>8) Snail</t>
    </r>
    <r>
      <rPr>
        <sz val="11"/>
        <rFont val="Calibri"/>
        <family val="2"/>
        <scheme val="minor"/>
      </rPr>
      <t xml:space="preserve"> directly regulated </t>
    </r>
    <r>
      <rPr>
        <b/>
        <sz val="11"/>
        <rFont val="Calibri"/>
        <family val="2"/>
        <scheme val="minor"/>
      </rPr>
      <t>ERCC1</t>
    </r>
    <r>
      <rPr>
        <sz val="11"/>
        <rFont val="Calibri"/>
        <family val="2"/>
        <scheme val="minor"/>
      </rPr>
      <t xml:space="preserve"> transcription. </t>
    </r>
    <r>
      <rPr>
        <b/>
        <sz val="11"/>
        <rFont val="Calibri"/>
        <family val="2"/>
        <scheme val="minor"/>
      </rPr>
      <t>9)</t>
    </r>
    <r>
      <rPr>
        <sz val="11"/>
        <rFont val="Calibri"/>
        <family val="2"/>
        <scheme val="minor"/>
      </rPr>
      <t xml:space="preserve"> In patients with </t>
    </r>
    <r>
      <rPr>
        <b/>
        <sz val="11"/>
        <rFont val="Calibri"/>
        <family val="2"/>
        <scheme val="minor"/>
      </rPr>
      <t>HNSCC</t>
    </r>
    <r>
      <rPr>
        <sz val="11"/>
        <rFont val="Calibri"/>
        <family val="2"/>
        <scheme val="minor"/>
      </rPr>
      <t xml:space="preserve">, coexpression of </t>
    </r>
    <r>
      <rPr>
        <b/>
        <sz val="11"/>
        <rFont val="Calibri"/>
        <family val="2"/>
        <scheme val="minor"/>
      </rPr>
      <t>Snail</t>
    </r>
    <r>
      <rPr>
        <sz val="11"/>
        <rFont val="Calibri"/>
        <family val="2"/>
        <scheme val="minor"/>
      </rPr>
      <t xml:space="preserve"> and </t>
    </r>
    <r>
      <rPr>
        <b/>
        <sz val="11"/>
        <rFont val="Calibri"/>
        <family val="2"/>
        <scheme val="minor"/>
      </rPr>
      <t>ERCC1</t>
    </r>
    <r>
      <rPr>
        <sz val="11"/>
        <rFont val="Calibri"/>
        <family val="2"/>
        <scheme val="minor"/>
      </rPr>
      <t xml:space="preserve"> correlated with cisplatin resistance and a poor prognosis.</t>
    </r>
  </si>
  <si>
    <t>32771963, 25491625, 22429801</t>
  </si>
  <si>
    <r>
      <rPr>
        <b/>
        <sz val="11"/>
        <rFont val="Calibri"/>
        <family val="2"/>
        <scheme val="minor"/>
      </rPr>
      <t xml:space="preserve">1) </t>
    </r>
    <r>
      <rPr>
        <sz val="11"/>
        <rFont val="Calibri"/>
        <family val="2"/>
        <scheme val="minor"/>
      </rPr>
      <t xml:space="preserve">Overexpression of </t>
    </r>
    <r>
      <rPr>
        <b/>
        <sz val="11"/>
        <rFont val="Calibri"/>
        <family val="2"/>
        <scheme val="minor"/>
      </rPr>
      <t>slug</t>
    </r>
    <r>
      <rPr>
        <sz val="11"/>
        <rFont val="Calibri"/>
        <family val="2"/>
        <scheme val="minor"/>
      </rPr>
      <t xml:space="preserve"> promoted self-renewal of </t>
    </r>
    <r>
      <rPr>
        <b/>
        <sz val="11"/>
        <rFont val="Calibri"/>
        <family val="2"/>
        <scheme val="minor"/>
      </rPr>
      <t>HNSCC</t>
    </r>
    <r>
      <rPr>
        <sz val="11"/>
        <rFont val="Calibri"/>
        <family val="2"/>
        <scheme val="minor"/>
      </rPr>
      <t xml:space="preserve"> cells via activation of sphere formation, the expression of stem cell markers, and induction of chemoresistance to </t>
    </r>
    <r>
      <rPr>
        <b/>
        <sz val="11"/>
        <rFont val="Calibri"/>
        <family val="2"/>
        <scheme val="minor"/>
      </rPr>
      <t>cisplatin</t>
    </r>
    <r>
      <rPr>
        <sz val="11"/>
        <rFont val="Calibri"/>
        <family val="2"/>
        <scheme val="minor"/>
      </rPr>
      <t xml:space="preserve">. </t>
    </r>
    <r>
      <rPr>
        <b/>
        <sz val="11"/>
        <rFont val="Calibri"/>
        <family val="2"/>
        <scheme val="minor"/>
      </rPr>
      <t>2) slug</t>
    </r>
    <r>
      <rPr>
        <sz val="11"/>
        <rFont val="Calibri"/>
        <family val="2"/>
        <scheme val="minor"/>
      </rPr>
      <t xml:space="preserve"> overexpression increased the migration and invasion of HNSCC cells in vitro and was mainly observed during the invasion in HNSCC xenograft mouse model. </t>
    </r>
    <r>
      <rPr>
        <b/>
        <sz val="11"/>
        <rFont val="Calibri"/>
        <family val="2"/>
        <scheme val="minor"/>
      </rPr>
      <t>3) slug</t>
    </r>
    <r>
      <rPr>
        <sz val="11"/>
        <rFont val="Calibri"/>
        <family val="2"/>
        <scheme val="minor"/>
      </rPr>
      <t xml:space="preserve"> expression knockdown abrogated their self-renewal capacity, stemness-associated gene expression, and </t>
    </r>
    <r>
      <rPr>
        <b/>
        <sz val="11"/>
        <rFont val="Calibri"/>
        <family val="2"/>
        <scheme val="minor"/>
      </rPr>
      <t>cisplatin</t>
    </r>
    <r>
      <rPr>
        <sz val="11"/>
        <rFont val="Calibri"/>
        <family val="2"/>
        <scheme val="minor"/>
      </rPr>
      <t xml:space="preserve"> chemoresistance. </t>
    </r>
    <r>
      <rPr>
        <b/>
        <sz val="11"/>
        <rFont val="Calibri"/>
        <family val="2"/>
        <scheme val="minor"/>
      </rPr>
      <t xml:space="preserve">4) </t>
    </r>
    <r>
      <rPr>
        <sz val="11"/>
        <rFont val="Calibri"/>
        <family val="2"/>
        <scheme val="minor"/>
      </rPr>
      <t xml:space="preserve">high levels of slug expression correlated with poor prognosis of patients with HNSCC. </t>
    </r>
    <r>
      <rPr>
        <b/>
        <sz val="11"/>
        <rFont val="Calibri"/>
        <family val="2"/>
        <scheme val="minor"/>
      </rPr>
      <t xml:space="preserve">5) </t>
    </r>
    <r>
      <rPr>
        <sz val="11"/>
        <rFont val="Calibri"/>
        <family val="2"/>
        <scheme val="minor"/>
      </rPr>
      <t xml:space="preserve">Knockdown of </t>
    </r>
    <r>
      <rPr>
        <b/>
        <sz val="11"/>
        <rFont val="Calibri"/>
        <family val="2"/>
        <scheme val="minor"/>
      </rPr>
      <t>S100A4</t>
    </r>
    <r>
      <rPr>
        <sz val="11"/>
        <rFont val="Calibri"/>
        <family val="2"/>
        <scheme val="minor"/>
      </rPr>
      <t xml:space="preserve"> and </t>
    </r>
    <r>
      <rPr>
        <b/>
        <sz val="11"/>
        <rFont val="Calibri"/>
        <family val="2"/>
        <scheme val="minor"/>
      </rPr>
      <t>Slug</t>
    </r>
    <r>
      <rPr>
        <sz val="11"/>
        <rFont val="Calibri"/>
        <family val="2"/>
        <scheme val="minor"/>
      </rPr>
      <t xml:space="preserve"> markedly enhanced the </t>
    </r>
    <r>
      <rPr>
        <b/>
        <sz val="11"/>
        <rFont val="Calibri"/>
        <family val="2"/>
        <scheme val="minor"/>
      </rPr>
      <t>cisplatin</t>
    </r>
    <r>
      <rPr>
        <sz val="11"/>
        <rFont val="Calibri"/>
        <family val="2"/>
        <scheme val="minor"/>
      </rPr>
      <t xml:space="preserve">-induced suppression of </t>
    </r>
    <r>
      <rPr>
        <b/>
        <sz val="11"/>
        <rFont val="Calibri"/>
        <family val="2"/>
        <scheme val="minor"/>
      </rPr>
      <t>laryngeal</t>
    </r>
    <r>
      <rPr>
        <sz val="11"/>
        <rFont val="Calibri"/>
        <family val="2"/>
        <scheme val="minor"/>
      </rPr>
      <t xml:space="preserve"> carcinoma Hep-2 cell growth and increased apoptosis. </t>
    </r>
    <r>
      <rPr>
        <b/>
        <sz val="11"/>
        <rFont val="Calibri"/>
        <family val="2"/>
        <scheme val="minor"/>
      </rPr>
      <t>6)</t>
    </r>
    <r>
      <rPr>
        <sz val="11"/>
        <rFont val="Calibri"/>
        <family val="2"/>
        <scheme val="minor"/>
      </rPr>
      <t xml:space="preserve"> Knockdown of </t>
    </r>
    <r>
      <rPr>
        <b/>
        <sz val="11"/>
        <rFont val="Calibri"/>
        <family val="2"/>
        <scheme val="minor"/>
      </rPr>
      <t>S100A4</t>
    </r>
    <r>
      <rPr>
        <sz val="11"/>
        <rFont val="Calibri"/>
        <family val="2"/>
        <scheme val="minor"/>
      </rPr>
      <t xml:space="preserve"> may significantly reduce the levels of </t>
    </r>
    <r>
      <rPr>
        <b/>
        <sz val="11"/>
        <rFont val="Calibri"/>
        <family val="2"/>
        <scheme val="minor"/>
      </rPr>
      <t>S100A4</t>
    </r>
    <r>
      <rPr>
        <sz val="11"/>
        <rFont val="Calibri"/>
        <family val="2"/>
        <scheme val="minor"/>
      </rPr>
      <t xml:space="preserve"> mRNA, </t>
    </r>
    <r>
      <rPr>
        <b/>
        <sz val="11"/>
        <rFont val="Calibri"/>
        <family val="2"/>
        <scheme val="minor"/>
      </rPr>
      <t>Slug</t>
    </r>
    <r>
      <rPr>
        <sz val="11"/>
        <rFont val="Calibri"/>
        <family val="2"/>
        <scheme val="minor"/>
      </rPr>
      <t xml:space="preserve"> mRNA and proteins, in cisplatin-treated Hep-2 cells. </t>
    </r>
    <r>
      <rPr>
        <b/>
        <sz val="11"/>
        <rFont val="Calibri"/>
        <family val="2"/>
        <scheme val="minor"/>
      </rPr>
      <t xml:space="preserve">7) </t>
    </r>
    <r>
      <rPr>
        <sz val="11"/>
        <rFont val="Calibri"/>
        <family val="2"/>
        <scheme val="minor"/>
      </rPr>
      <t xml:space="preserve">Re-expression of </t>
    </r>
    <r>
      <rPr>
        <b/>
        <sz val="11"/>
        <rFont val="Calibri"/>
        <family val="2"/>
        <scheme val="minor"/>
      </rPr>
      <t>Slug</t>
    </r>
    <r>
      <rPr>
        <sz val="11"/>
        <rFont val="Calibri"/>
        <family val="2"/>
        <scheme val="minor"/>
      </rPr>
      <t xml:space="preserve"> in S100A4 siRNA transfected Hep-2 cells restored the </t>
    </r>
    <r>
      <rPr>
        <b/>
        <sz val="11"/>
        <rFont val="Calibri"/>
        <family val="2"/>
        <scheme val="minor"/>
      </rPr>
      <t>cisplatin</t>
    </r>
    <r>
      <rPr>
        <sz val="11"/>
        <rFont val="Calibri"/>
        <family val="2"/>
        <scheme val="minor"/>
      </rPr>
      <t xml:space="preserve"> resistance in the Hep-2 cells. </t>
    </r>
    <r>
      <rPr>
        <b/>
        <sz val="11"/>
        <rFont val="Calibri"/>
        <family val="2"/>
        <scheme val="minor"/>
      </rPr>
      <t>8)</t>
    </r>
    <r>
      <rPr>
        <sz val="11"/>
        <rFont val="Calibri"/>
        <family val="2"/>
        <scheme val="minor"/>
      </rPr>
      <t xml:space="preserve"> See in SNAI1 (22429801)</t>
    </r>
  </si>
  <si>
    <t>30481785, 19584296</t>
  </si>
  <si>
    <t>28485807, 28534959, 31024010</t>
  </si>
  <si>
    <t>22498306, 29385995, 31953176</t>
  </si>
  <si>
    <t>27813328, 20889728, 25916979, 22222226</t>
  </si>
  <si>
    <t>30439707, 31949859, 32341033</t>
  </si>
  <si>
    <r>
      <rPr>
        <b/>
        <sz val="11"/>
        <color rgb="FF333333"/>
        <rFont val="Calibri"/>
        <family val="2"/>
        <scheme val="minor"/>
      </rPr>
      <t>1)</t>
    </r>
    <r>
      <rPr>
        <sz val="11"/>
        <color rgb="FF333333"/>
        <rFont val="Calibri"/>
        <family val="2"/>
        <scheme val="minor"/>
      </rPr>
      <t xml:space="preserve"> multicellular tumor spheroids (MCTS):  hepatic stellate cells (</t>
    </r>
    <r>
      <rPr>
        <b/>
        <sz val="11"/>
        <color rgb="FF333333"/>
        <rFont val="Calibri"/>
        <family val="2"/>
        <scheme val="minor"/>
      </rPr>
      <t>HSCs</t>
    </r>
    <r>
      <rPr>
        <sz val="11"/>
        <color rgb="FF333333"/>
        <rFont val="Calibri"/>
        <family val="2"/>
        <scheme val="minor"/>
      </rPr>
      <t xml:space="preserve">) in MCTS significantly increased the compactness of spheroids and exhibited strong resistance to sorafenib and </t>
    </r>
    <r>
      <rPr>
        <b/>
        <sz val="11"/>
        <color rgb="FF333333"/>
        <rFont val="Calibri"/>
        <family val="2"/>
        <scheme val="minor"/>
      </rPr>
      <t>cisplatin</t>
    </r>
    <r>
      <rPr>
        <sz val="11"/>
        <color rgb="FF333333"/>
        <rFont val="Calibri"/>
        <family val="2"/>
        <scheme val="minor"/>
      </rPr>
      <t xml:space="preserve"> relative to other types of stromal cells. </t>
    </r>
    <r>
      <rPr>
        <b/>
        <sz val="11"/>
        <color rgb="FF333333"/>
        <rFont val="Calibri"/>
        <family val="2"/>
        <scheme val="minor"/>
      </rPr>
      <t>2)</t>
    </r>
    <r>
      <rPr>
        <sz val="11"/>
        <color rgb="FF333333"/>
        <rFont val="Calibri"/>
        <family val="2"/>
        <scheme val="minor"/>
      </rPr>
      <t xml:space="preserve"> Increased </t>
    </r>
    <r>
      <rPr>
        <b/>
        <sz val="11"/>
        <color rgb="FF333333"/>
        <rFont val="Calibri"/>
        <family val="2"/>
        <scheme val="minor"/>
      </rPr>
      <t>COL1A1</t>
    </r>
    <r>
      <rPr>
        <sz val="11"/>
        <color rgb="FF333333"/>
        <rFont val="Calibri"/>
        <family val="2"/>
        <scheme val="minor"/>
      </rPr>
      <t xml:space="preserve"> expression was apparent in activated HSCs but not in fibroblasts or vascular endothelial cells in MCTS. </t>
    </r>
    <r>
      <rPr>
        <b/>
        <sz val="11"/>
        <color rgb="FF333333"/>
        <rFont val="Calibri"/>
        <family val="2"/>
        <scheme val="minor"/>
      </rPr>
      <t xml:space="preserve">3) </t>
    </r>
    <r>
      <rPr>
        <sz val="11"/>
        <color rgb="FF333333"/>
        <rFont val="Calibri"/>
        <family val="2"/>
        <scheme val="minor"/>
      </rPr>
      <t xml:space="preserve">losartan, which can inhibit collagen I synthesis, attenuated the compactness of spheroids and increased the therapeutic efficacy of anticancer therapies in MCTS. </t>
    </r>
    <r>
      <rPr>
        <b/>
        <sz val="11"/>
        <color rgb="FF333333"/>
        <rFont val="Calibri"/>
        <family val="2"/>
        <scheme val="minor"/>
      </rPr>
      <t>4)</t>
    </r>
    <r>
      <rPr>
        <sz val="11"/>
        <color rgb="FF333333"/>
        <rFont val="Calibri"/>
        <family val="2"/>
        <scheme val="minor"/>
      </rPr>
      <t xml:space="preserve"> W1 </t>
    </r>
    <r>
      <rPr>
        <b/>
        <sz val="11"/>
        <color rgb="FF333333"/>
        <rFont val="Calibri"/>
        <family val="2"/>
        <scheme val="minor"/>
      </rPr>
      <t>cisplatin</t>
    </r>
    <r>
      <rPr>
        <sz val="11"/>
        <color rgb="FF333333"/>
        <rFont val="Calibri"/>
        <family val="2"/>
        <scheme val="minor"/>
      </rPr>
      <t xml:space="preserve">-resistant </t>
    </r>
    <r>
      <rPr>
        <b/>
        <sz val="11"/>
        <color rgb="FF333333"/>
        <rFont val="Calibri"/>
        <family val="2"/>
        <scheme val="minor"/>
      </rPr>
      <t>ovarian</t>
    </r>
    <r>
      <rPr>
        <sz val="11"/>
        <color rgb="FF333333"/>
        <rFont val="Calibri"/>
        <family val="2"/>
        <scheme val="minor"/>
      </rPr>
      <t xml:space="preserve"> cancer cell binding to </t>
    </r>
    <r>
      <rPr>
        <b/>
        <sz val="11"/>
        <color rgb="FF333333"/>
        <rFont val="Calibri"/>
        <family val="2"/>
        <scheme val="minor"/>
      </rPr>
      <t>COL1</t>
    </r>
    <r>
      <rPr>
        <sz val="11"/>
        <color rgb="FF333333"/>
        <rFont val="Calibri"/>
        <family val="2"/>
        <scheme val="minor"/>
      </rPr>
      <t xml:space="preserve"> upregulates integrin-associated signals via </t>
    </r>
    <r>
      <rPr>
        <b/>
        <sz val="11"/>
        <color rgb="FF333333"/>
        <rFont val="Calibri"/>
        <family val="2"/>
        <scheme val="minor"/>
      </rPr>
      <t>FAK/PRAS40/mTOR</t>
    </r>
    <r>
      <rPr>
        <sz val="11"/>
        <color rgb="FF333333"/>
        <rFont val="Calibri"/>
        <family val="2"/>
        <scheme val="minor"/>
      </rPr>
      <t xml:space="preserve">. </t>
    </r>
    <r>
      <rPr>
        <b/>
        <sz val="11"/>
        <color rgb="FF333333"/>
        <rFont val="Calibri"/>
        <family val="2"/>
        <scheme val="minor"/>
      </rPr>
      <t>5) mTOR</t>
    </r>
    <r>
      <rPr>
        <sz val="11"/>
        <color rgb="FF333333"/>
        <rFont val="Calibri"/>
        <family val="2"/>
        <scheme val="minor"/>
      </rPr>
      <t xml:space="preserve"> appears as key for resistance, its blockade reversed </t>
    </r>
    <r>
      <rPr>
        <b/>
        <sz val="11"/>
        <color rgb="FF333333"/>
        <rFont val="Calibri"/>
        <family val="2"/>
        <scheme val="minor"/>
      </rPr>
      <t>COL1</t>
    </r>
    <r>
      <rPr>
        <sz val="11"/>
        <color rgb="FF333333"/>
        <rFont val="Calibri"/>
        <family val="2"/>
        <scheme val="minor"/>
      </rPr>
      <t xml:space="preserve"> effects on W1 cell resistance completely. </t>
    </r>
    <r>
      <rPr>
        <b/>
        <sz val="11"/>
        <color rgb="FF333333"/>
        <rFont val="Calibri"/>
        <family val="2"/>
        <scheme val="minor"/>
      </rPr>
      <t>5) COL1</t>
    </r>
    <r>
      <rPr>
        <sz val="11"/>
        <color rgb="FF333333"/>
        <rFont val="Calibri"/>
        <family val="2"/>
        <scheme val="minor"/>
      </rPr>
      <t xml:space="preserve"> binding via </t>
    </r>
    <r>
      <rPr>
        <b/>
        <sz val="11"/>
        <color rgb="FF333333"/>
        <rFont val="Calibri"/>
        <family val="2"/>
        <scheme val="minor"/>
      </rPr>
      <t>DDR1</t>
    </r>
    <r>
      <rPr>
        <sz val="11"/>
        <color rgb="FF333333"/>
        <rFont val="Calibri"/>
        <family val="2"/>
        <scheme val="minor"/>
      </rPr>
      <t xml:space="preserve"> activates the </t>
    </r>
    <r>
      <rPr>
        <b/>
        <sz val="11"/>
        <color rgb="FF333333"/>
        <rFont val="Calibri"/>
        <family val="2"/>
        <scheme val="minor"/>
      </rPr>
      <t>MAPK</t>
    </r>
    <r>
      <rPr>
        <sz val="11"/>
        <color rgb="FF333333"/>
        <rFont val="Calibri"/>
        <family val="2"/>
        <scheme val="minor"/>
      </rPr>
      <t xml:space="preserve"> pathway, of which </t>
    </r>
    <r>
      <rPr>
        <b/>
        <sz val="11"/>
        <color rgb="FF333333"/>
        <rFont val="Calibri"/>
        <family val="2"/>
        <scheme val="minor"/>
      </rPr>
      <t>JNK1/2</t>
    </r>
    <r>
      <rPr>
        <sz val="11"/>
        <color rgb="FF333333"/>
        <rFont val="Calibri"/>
        <family val="2"/>
        <scheme val="minor"/>
      </rPr>
      <t xml:space="preserve"> appears critical for COL1-mediated </t>
    </r>
    <r>
      <rPr>
        <b/>
        <sz val="11"/>
        <color rgb="FF333333"/>
        <rFont val="Calibri"/>
        <family val="2"/>
        <scheme val="minor"/>
      </rPr>
      <t>cisplatin</t>
    </r>
    <r>
      <rPr>
        <sz val="11"/>
        <color rgb="FF333333"/>
        <rFont val="Calibri"/>
        <family val="2"/>
        <scheme val="minor"/>
      </rPr>
      <t xml:space="preserve"> resistance. </t>
    </r>
    <r>
      <rPr>
        <b/>
        <sz val="11"/>
        <color rgb="FF333333"/>
        <rFont val="Calibri"/>
        <family val="2"/>
        <scheme val="minor"/>
      </rPr>
      <t>6) JNK1/2</t>
    </r>
    <r>
      <rPr>
        <sz val="11"/>
        <color rgb="FF333333"/>
        <rFont val="Calibri"/>
        <family val="2"/>
        <scheme val="minor"/>
      </rPr>
      <t xml:space="preserve"> inhibition inverts </t>
    </r>
    <r>
      <rPr>
        <b/>
        <sz val="11"/>
        <color rgb="FF333333"/>
        <rFont val="Calibri"/>
        <family val="2"/>
        <scheme val="minor"/>
      </rPr>
      <t>COL1</t>
    </r>
    <r>
      <rPr>
        <sz val="11"/>
        <color rgb="FF333333"/>
        <rFont val="Calibri"/>
        <family val="2"/>
        <scheme val="minor"/>
      </rPr>
      <t xml:space="preserve"> effects in W1CR cells, whereas intrinsic </t>
    </r>
    <r>
      <rPr>
        <b/>
        <sz val="11"/>
        <color rgb="FF333333"/>
        <rFont val="Calibri"/>
        <family val="2"/>
        <scheme val="minor"/>
      </rPr>
      <t>cisplatin</t>
    </r>
    <r>
      <rPr>
        <sz val="11"/>
        <color rgb="FF333333"/>
        <rFont val="Calibri"/>
        <family val="2"/>
        <scheme val="minor"/>
      </rPr>
      <t xml:space="preserve"> resistance remained unaffected. </t>
    </r>
    <r>
      <rPr>
        <b/>
        <sz val="11"/>
        <color rgb="FF333333"/>
        <rFont val="Calibri"/>
        <family val="2"/>
        <scheme val="minor"/>
      </rPr>
      <t>7)</t>
    </r>
    <r>
      <rPr>
        <sz val="11"/>
        <color rgb="FF333333"/>
        <rFont val="Calibri"/>
        <family val="2"/>
        <scheme val="minor"/>
      </rPr>
      <t xml:space="preserve"> In patients with </t>
    </r>
    <r>
      <rPr>
        <b/>
        <sz val="11"/>
        <color rgb="FF333333"/>
        <rFont val="Calibri"/>
        <family val="2"/>
        <scheme val="minor"/>
      </rPr>
      <t>breast</t>
    </r>
    <r>
      <rPr>
        <sz val="11"/>
        <color rgb="FF333333"/>
        <rFont val="Calibri"/>
        <family val="2"/>
        <scheme val="minor"/>
      </rPr>
      <t xml:space="preserve"> cancer, cellular expression of </t>
    </r>
    <r>
      <rPr>
        <b/>
        <sz val="11"/>
        <color rgb="FF333333"/>
        <rFont val="Calibri"/>
        <family val="2"/>
        <scheme val="minor"/>
      </rPr>
      <t>COL1A1</t>
    </r>
    <r>
      <rPr>
        <sz val="11"/>
        <color rgb="FF333333"/>
        <rFont val="Calibri"/>
        <family val="2"/>
        <scheme val="minor"/>
      </rPr>
      <t xml:space="preserve"> was associated with </t>
    </r>
    <r>
      <rPr>
        <b/>
        <sz val="11"/>
        <color rgb="FF333333"/>
        <rFont val="Calibri"/>
        <family val="2"/>
        <scheme val="minor"/>
      </rPr>
      <t>ER/PR</t>
    </r>
    <r>
      <rPr>
        <sz val="11"/>
        <color rgb="FF333333"/>
        <rFont val="Calibri"/>
        <family val="2"/>
        <scheme val="minor"/>
      </rPr>
      <t xml:space="preserve"> expression and metastasis status. The increased COL1A1 level was associated with poor survival, especially in patients with ER+ breast cancer. </t>
    </r>
    <r>
      <rPr>
        <b/>
        <sz val="11"/>
        <color rgb="FF333333"/>
        <rFont val="Calibri"/>
        <family val="2"/>
        <scheme val="minor"/>
      </rPr>
      <t xml:space="preserve">8) </t>
    </r>
    <r>
      <rPr>
        <sz val="11"/>
        <color rgb="FF333333"/>
        <rFont val="Calibri"/>
        <family val="2"/>
        <scheme val="minor"/>
      </rPr>
      <t xml:space="preserve">Patients with a high-level of </t>
    </r>
    <r>
      <rPr>
        <b/>
        <sz val="11"/>
        <color rgb="FF333333"/>
        <rFont val="Calibri"/>
        <family val="2"/>
        <scheme val="minor"/>
      </rPr>
      <t>COL1A1</t>
    </r>
    <r>
      <rPr>
        <sz val="11"/>
        <color rgb="FF333333"/>
        <rFont val="Calibri"/>
        <family val="2"/>
        <scheme val="minor"/>
      </rPr>
      <t xml:space="preserve"> showed better</t>
    </r>
    <r>
      <rPr>
        <b/>
        <sz val="11"/>
        <color rgb="FF333333"/>
        <rFont val="Calibri"/>
        <family val="2"/>
        <scheme val="minor"/>
      </rPr>
      <t xml:space="preserve"> cisplatin</t>
    </r>
    <r>
      <rPr>
        <sz val="11"/>
        <color rgb="FF333333"/>
        <rFont val="Calibri"/>
        <family val="2"/>
        <scheme val="minor"/>
      </rPr>
      <t>-based chemotherapy response.</t>
    </r>
  </si>
  <si>
    <t>31911861, 28328815, 32534716, 33110104</t>
  </si>
  <si>
    <t>30808674, 32534716</t>
  </si>
  <si>
    <t>27340780, 29731768, 20236757, 27108527, 26313152</t>
  </si>
  <si>
    <t xml:space="preserve">26267317, 15087251 </t>
  </si>
  <si>
    <t>15262121, 15863151, 16026610, 10810398, 20189873</t>
  </si>
  <si>
    <t>20005867, 25308861, 20082278</t>
  </si>
  <si>
    <t>24176985, 11223551</t>
  </si>
  <si>
    <t>25248111, 10728601, 17982673</t>
  </si>
  <si>
    <r>
      <rPr>
        <b/>
        <sz val="11"/>
        <color rgb="FF333333"/>
        <rFont val="Calibri"/>
        <family val="2"/>
        <scheme val="minor"/>
      </rPr>
      <t>1)</t>
    </r>
    <r>
      <rPr>
        <sz val="11"/>
        <color rgb="FF333333"/>
        <rFont val="Calibri"/>
        <family val="2"/>
        <scheme val="minor"/>
      </rPr>
      <t xml:space="preserve"> It has been recently noted that various cancer cell lines containing markedly elevated levels of vault particles exhibit resistance to a broad spectrum of chemotherapeutic drugs  </t>
    </r>
    <r>
      <rPr>
        <b/>
        <sz val="11"/>
        <color rgb="FF333333"/>
        <rFont val="Calibri"/>
        <family val="2"/>
        <scheme val="minor"/>
      </rPr>
      <t xml:space="preserve">2) </t>
    </r>
    <r>
      <rPr>
        <sz val="11"/>
        <color rgb="FF333333"/>
        <rFont val="Calibri"/>
        <family val="2"/>
        <scheme val="minor"/>
      </rPr>
      <t xml:space="preserve">Increased </t>
    </r>
    <r>
      <rPr>
        <b/>
        <sz val="11"/>
        <color rgb="FF333333"/>
        <rFont val="Calibri"/>
        <family val="2"/>
        <scheme val="minor"/>
      </rPr>
      <t>MVP</t>
    </r>
    <r>
      <rPr>
        <sz val="11"/>
        <color rgb="FF333333"/>
        <rFont val="Calibri"/>
        <family val="2"/>
        <scheme val="minor"/>
      </rPr>
      <t xml:space="preserve"> expression was observed in CIS-, PAC- and TOP-, but not in DOX-resistant cell lines. </t>
    </r>
    <r>
      <rPr>
        <b/>
        <sz val="11"/>
        <color rgb="FF333333"/>
        <rFont val="Calibri"/>
        <family val="2"/>
        <scheme val="minor"/>
      </rPr>
      <t>3)</t>
    </r>
    <r>
      <rPr>
        <sz val="11"/>
        <color rgb="FF333333"/>
        <rFont val="Calibri"/>
        <family val="2"/>
        <scheme val="minor"/>
      </rPr>
      <t xml:space="preserve"> The upregulation of MVP/LRP expression was noted in </t>
    </r>
    <r>
      <rPr>
        <b/>
        <sz val="11"/>
        <color rgb="FF333333"/>
        <rFont val="Calibri"/>
        <family val="2"/>
        <scheme val="minor"/>
      </rPr>
      <t>lung</t>
    </r>
    <r>
      <rPr>
        <sz val="11"/>
        <color rgb="FF333333"/>
        <rFont val="Calibri"/>
        <family val="2"/>
        <scheme val="minor"/>
      </rPr>
      <t xml:space="preserve"> cancer and was correlated with poor response to chemotherapy. </t>
    </r>
    <r>
      <rPr>
        <b/>
        <sz val="11"/>
        <color rgb="FF333333"/>
        <rFont val="Calibri"/>
        <family val="2"/>
        <scheme val="minor"/>
      </rPr>
      <t>4)</t>
    </r>
    <r>
      <rPr>
        <sz val="11"/>
        <color rgb="FF333333"/>
        <rFont val="Calibri"/>
        <family val="2"/>
        <scheme val="minor"/>
      </rPr>
      <t xml:space="preserve"> Of the 25 patients evaluated for a correlation of LRP to 1-year recurrence, we correctly predicted the 1-year recurrence of 24 patients based solely on the presence of LRP in ascitic tumor cells. </t>
    </r>
    <r>
      <rPr>
        <b/>
        <sz val="11"/>
        <color rgb="FF333333"/>
        <rFont val="Calibri"/>
        <family val="2"/>
        <scheme val="minor"/>
      </rPr>
      <t>5) P-gp</t>
    </r>
    <r>
      <rPr>
        <sz val="11"/>
        <color rgb="FF333333"/>
        <rFont val="Calibri"/>
        <family val="2"/>
        <scheme val="minor"/>
      </rPr>
      <t xml:space="preserve"> and </t>
    </r>
    <r>
      <rPr>
        <b/>
        <sz val="11"/>
        <color rgb="FF333333"/>
        <rFont val="Calibri"/>
        <family val="2"/>
        <scheme val="minor"/>
      </rPr>
      <t>MRP2</t>
    </r>
    <r>
      <rPr>
        <sz val="11"/>
        <color rgb="FF333333"/>
        <rFont val="Calibri"/>
        <family val="2"/>
        <scheme val="minor"/>
      </rPr>
      <t xml:space="preserve"> were not expressed in malignant cells of ascites or omental metastases. </t>
    </r>
    <r>
      <rPr>
        <b/>
        <sz val="11"/>
        <color rgb="FF333333"/>
        <rFont val="Calibri"/>
        <family val="2"/>
        <scheme val="minor"/>
      </rPr>
      <t xml:space="preserve">6) </t>
    </r>
    <r>
      <rPr>
        <sz val="11"/>
        <color rgb="FF333333"/>
        <rFont val="Calibri"/>
        <family val="2"/>
        <scheme val="minor"/>
      </rPr>
      <t xml:space="preserve">Malignant cells from ascites had higher expression of </t>
    </r>
    <r>
      <rPr>
        <b/>
        <sz val="11"/>
        <color rgb="FF333333"/>
        <rFont val="Calibri"/>
        <family val="2"/>
        <scheme val="minor"/>
      </rPr>
      <t>LRP</t>
    </r>
    <r>
      <rPr>
        <sz val="11"/>
        <color rgb="FF333333"/>
        <rFont val="Calibri"/>
        <family val="2"/>
        <scheme val="minor"/>
      </rPr>
      <t xml:space="preserve"> and were found to be more resistant to carboplatin treatment than cells from omental metastasis by in vitro assay. </t>
    </r>
    <r>
      <rPr>
        <b/>
        <sz val="11"/>
        <color rgb="FF333333"/>
        <rFont val="Calibri"/>
        <family val="2"/>
        <scheme val="minor"/>
      </rPr>
      <t>7)</t>
    </r>
    <r>
      <rPr>
        <sz val="11"/>
        <color rgb="FF333333"/>
        <rFont val="Calibri"/>
        <family val="2"/>
        <scheme val="minor"/>
      </rPr>
      <t xml:space="preserve"> LRP expression in the malignant cells of ascites correlated with carboplatin resistance by in vitro assay and recurrence at 1 year. </t>
    </r>
    <r>
      <rPr>
        <b/>
        <sz val="11"/>
        <color rgb="FF333333"/>
        <rFont val="Calibri"/>
        <family val="2"/>
        <scheme val="minor"/>
      </rPr>
      <t>8) NSCLC</t>
    </r>
    <r>
      <rPr>
        <sz val="11"/>
        <color rgb="FF333333"/>
        <rFont val="Calibri"/>
        <family val="2"/>
        <scheme val="minor"/>
      </rPr>
      <t xml:space="preserve"> patients of stage IIIA (p=0.011), N1 and N2 status (p=0.008), high expression of MRP1 (p=0.034) and </t>
    </r>
    <r>
      <rPr>
        <b/>
        <sz val="11"/>
        <color rgb="FF333333"/>
        <rFont val="Calibri"/>
        <family val="2"/>
        <scheme val="minor"/>
      </rPr>
      <t>LRP</t>
    </r>
    <r>
      <rPr>
        <sz val="11"/>
        <color rgb="FF333333"/>
        <rFont val="Calibri"/>
        <family val="2"/>
        <scheme val="minor"/>
      </rPr>
      <t xml:space="preserve"> (p=0.018) were associated with shorter TFS after </t>
    </r>
    <r>
      <rPr>
        <b/>
        <sz val="11"/>
        <color rgb="FF333333"/>
        <rFont val="Calibri"/>
        <family val="2"/>
        <scheme val="minor"/>
      </rPr>
      <t>cisplatin</t>
    </r>
    <r>
      <rPr>
        <sz val="11"/>
        <color rgb="FF333333"/>
        <rFont val="Calibri"/>
        <family val="2"/>
        <scheme val="minor"/>
      </rPr>
      <t xml:space="preserve">-based chemotherapy. </t>
    </r>
  </si>
  <si>
    <t>9535882, 27756418, 19900859, 7585126, 23525731, 20082278</t>
  </si>
  <si>
    <t xml:space="preserve">21150160, 30431119, 2898306 </t>
  </si>
  <si>
    <t>Cytosolic aldo-keto reductase that catalyzes the NADH and NADPH-dependent reduction of ketosteroids to hydroxysteroids. Most probably acts as a reductase in vivo since the oxidase activity measured in vitro is inhibited by physiological concentrations of NADPH</t>
  </si>
  <si>
    <t>Regulation of cell cycle progression. Associates with the centrosome and the spindle microtubules during mitosis and plays a critical role in various mitotic events</t>
  </si>
  <si>
    <t>Uniprot link</t>
  </si>
  <si>
    <t>Acts as a progesterone receptor: mediating degradation of 2AG, leading to calcium influx and sperm activation; Also regulates calcium release from ER (28684316)</t>
  </si>
  <si>
    <t xml:space="preserve">Involved in DNA damage response and double-strand break (DSB) repair. Component of the BRCA1-A complex, acting as a central scaffold protein that assembles the various components of the complex and mediates the recruitment of BRCA1. </t>
  </si>
  <si>
    <t>Acetyl-coenzyme A synthetase</t>
  </si>
  <si>
    <t xml:space="preserve">forms a receptor complex on ligand binding, binds and activates SMAD transcriptional regulators, regulates cell differentiation, growth arrest and apoptosis.  </t>
  </si>
  <si>
    <t>part of the Protein Disulfide Isomerase (PDI) family and harbors core thioredoxin folds (CxxS motifs) that have the potential to regulate protein folding and maturation</t>
  </si>
  <si>
    <t>One of 3 closely related serine/threonine-protein kinases (AKT1, AKT2 and AKT3) called the AKT kinase, and which regulate many processes including metabolism, proliferation, cell survival, growth and angiogenesis</t>
  </si>
  <si>
    <t xml:space="preserve">One of 3 closely related serine/threonine-protein kinases (AKT1, AKT2 and AKT3) called the AKT kinase, and which regulate many processes including metabolism, proliferation, cell survival, growth and angiogenesis. </t>
  </si>
  <si>
    <t xml:space="preserve">DNA alkylation damage repair. Dioxygenase that mediates demethylation of DNA and RNA containing 1-methyladenosine (m1A). Repairs alkylated DNA containing 1-methyladenosine (m1A) and 3-methylcytosine (m3C) by oxidative demethylation. </t>
  </si>
  <si>
    <t xml:space="preserve">activated by AMF in an autocrine manner, results in signaling cascades relying on PKC and activates Rho-like GTPase, RhoA, and Rac1, which enhance cell motility, adhesion, and angiogenesis; and growth </t>
  </si>
  <si>
    <t xml:space="preserve">Tumor suppressor. Promotes rapid degradation of CTNNB1 and participates in Wnt signaling as a negative regulator. </t>
  </si>
  <si>
    <t>binds to ligand-bound aryl hydrocarbon receptor (dioxin) and helps to translocate to nucleus to promote transcription; also a co-factor for transcriptional regulation by hypoxia-inducible factor 1</t>
  </si>
  <si>
    <t>Activates checkpoint upon DSBs, apoptosis and genotoxic stresses; necessary for activation of ABL1 and SAPK. Phosphorylates DYRK2, CHEK2, p53/TP53, FANCD2, NFKBIA, BRCA1, CTIP, nibrin (NBN), TERF1, UFL1, RAD9, UBQLN4 and DCLRE1C; Phosphorylates 'Ser-139' of H2AX at DSBs</t>
  </si>
  <si>
    <t xml:space="preserve">Activates checkpoint;  phosphorylates BRCA1, CHEK1, MCM2, RAD17, RPA2, SMC1 and p53/TP53; phosphorylates 'Ser-139' of H2AX at sites of DNA damage; required for FANCD2 ubiquitination. </t>
  </si>
  <si>
    <t xml:space="preserve">Plays a key role in chromatin by mediating deubiquitination of histone H2A and HCFC1; BAP1 deubiquitinates H2Aub at the promoter of the cystine transporter SLC7A11, reducing cystine uptake (32877777); </t>
  </si>
  <si>
    <r>
      <t xml:space="preserve">The </t>
    </r>
    <r>
      <rPr>
        <sz val="11"/>
        <color rgb="FF000000"/>
        <rFont val="Calibri"/>
        <family val="2"/>
        <scheme val="minor"/>
      </rPr>
      <t>BRCA1-BARD1</t>
    </r>
    <r>
      <rPr>
        <sz val="11"/>
        <color indexed="8"/>
        <rFont val="Calibri"/>
        <family val="2"/>
        <scheme val="minor"/>
      </rPr>
      <t xml:space="preserve"> heterodimer specifically mediates the formation of 'Lys-6'-linked polyubiquitin chains and coordinates  DNA damage repair, ubiquitination and transcriptional regulation to maintain genomic stability. </t>
    </r>
  </si>
  <si>
    <t xml:space="preserve">Promotes partial unfolding of BCL2L1 and dissociation of BCL2L1 from p53/TP53. Regulates ER stress-induced neuronal apoptosis. Also a transcriptional target of p53. </t>
  </si>
  <si>
    <t>Retards apoptosis induced by IL-3 deprivation; response to hemopoietic cells to external signals and in maintaining endothelial survival during infection; inhibits apoptosis induced by serum starvation in the mammary epithelial cell line HC11.</t>
  </si>
  <si>
    <t xml:space="preserve">Potent inhibitor of cell death. Inhibits activation of caspases. Appears to regulate cell death by blocking the voltage-dependent anion channel (VDAC) by binding to it and preventing the release of the caspase activator, CYC1, from the mitochondrial membrane. </t>
  </si>
  <si>
    <t>Binds and inhibits Bcl-2 and induces apoptosis and anoikis; a member of the BH3‐only death activator family and a key determinant of cell fate upon cytokine withdrawal.</t>
  </si>
  <si>
    <t xml:space="preserve">Promotes survival. </t>
  </si>
  <si>
    <t>CD271‐associated protein, may be a signaling adapter molecule involved in p75NTR-mediated apoptosis induced by NGF.</t>
  </si>
  <si>
    <t>A member of the BIN/ amphiphysin/ Rvs (BAR) family of proteins. A MYC-interacting protein with features of a tumor suppressor. Activates a caspase-independent apoptotic process. interacts with and attenuates the two major cell-cycle–promoting transcription factors, MYC and E2F1 and slows cell-cycle progression</t>
  </si>
  <si>
    <t xml:space="preserve">Stem cell factor; component of a Polycomb group (PcG) multiprotein PRC1-like complex, catalyzes K119 mono-ubiquitination of histone H2A, which contributes to gene silencing </t>
  </si>
  <si>
    <t>Induces cartilage and bone formation. Also acts in mesoderm induction, tooth development, limb formation and fracture repair; regulates cancer progression by promoting EMT and angiogenesis in certain kinds of cancer cells (18663362)</t>
  </si>
  <si>
    <t xml:space="preserve">On ligand binding, forms a receptor complex consisting of two type II and two type I transmembrane serine/threonine kinases - TGF-B signaling. </t>
  </si>
  <si>
    <t xml:space="preserve">E3 ubiquitin-protein ligase ( 'Lys-6'-linked polyubiquitin). The BRCA1-BARD1 heterodimer coordinates DNA damage repair, checkpoint, ubiquitination and transcriptional regulation to maintain genomic stability. Involved in transcriptional regulation of P21 in response to DNA damage. Required for FANCD2 targeting to sites of DNA damage. Inhibits lipid synthesis by binding to inactive phosphorylated ACACA and preventing its dephosphorylation. Contributes to  HRR via its direct interaction with PALB2,  through its modulatory role in the PALB2-dependent loading of BRCA2-RAD51 repair machinery at DNA breaks. </t>
  </si>
  <si>
    <t xml:space="preserve">Involved in double-strand break repair and/or homologous recombination. Binds RAD51 and potentiates recombinational DNA repair by promoting assembly of RAD51 onto single-stranded DNA (ssDNA). Part of a PALB2-scaffolded HR complex. May participate in S phase checkpoint activation. Binds selectively to ssDNA, and to ssDNA in tailed duplexes and replication fork structures. </t>
  </si>
  <si>
    <t>DNA-dependent ATPase and 5' to 3' DNA helicase required for the maintenance of chromosomal stability. Acts late in the Fanconi anemia pathway, after FANCD2 ubiquitination.</t>
  </si>
  <si>
    <r>
      <rPr>
        <b/>
        <sz val="11"/>
        <color indexed="8"/>
        <rFont val="Calibri"/>
        <family val="2"/>
        <scheme val="minor"/>
      </rPr>
      <t xml:space="preserve">1) </t>
    </r>
    <r>
      <rPr>
        <sz val="11"/>
        <color rgb="FF000000"/>
        <rFont val="Calibri"/>
        <family val="2"/>
        <scheme val="minor"/>
      </rPr>
      <t xml:space="preserve">promotes </t>
    </r>
    <r>
      <rPr>
        <sz val="11"/>
        <color indexed="8"/>
        <rFont val="Calibri"/>
        <family val="2"/>
        <scheme val="minor"/>
      </rPr>
      <t xml:space="preserve">oxidative phosphorylation; positively regulates PDH activity. </t>
    </r>
    <r>
      <rPr>
        <b/>
        <sz val="11"/>
        <color indexed="8"/>
        <rFont val="Calibri"/>
        <family val="2"/>
        <scheme val="minor"/>
      </rPr>
      <t>2)</t>
    </r>
    <r>
      <rPr>
        <sz val="11"/>
        <color indexed="8"/>
        <rFont val="Calibri"/>
        <family val="2"/>
        <scheme val="minor"/>
      </rPr>
      <t xml:space="preserve"> Promotes HR by stabilizing MRE11 and activating MRN Complex (31353207). </t>
    </r>
    <r>
      <rPr>
        <b/>
        <sz val="11"/>
        <color indexed="8"/>
        <rFont val="Calibri"/>
        <family val="2"/>
        <scheme val="minor"/>
      </rPr>
      <t xml:space="preserve">3) </t>
    </r>
    <r>
      <rPr>
        <sz val="11"/>
        <color rgb="FF000000"/>
        <rFont val="Calibri"/>
        <family val="2"/>
        <scheme val="minor"/>
      </rPr>
      <t>predominantly localized in the mitochondria</t>
    </r>
    <r>
      <rPr>
        <sz val="11"/>
        <color indexed="8"/>
        <rFont val="Calibri"/>
        <family val="2"/>
        <scheme val="minor"/>
      </rPr>
      <t xml:space="preserve"> (23692256); interacts with  ARF to promote mitochondria apoptosis. </t>
    </r>
  </si>
  <si>
    <t>the regulation of Ca2+ homeostasis and excitation-contraction coupling (ECC) in heart by targeting ion channels, transporters and accessory proteins involved in Ca2+ influx </t>
  </si>
  <si>
    <t xml:space="preserve">As the catalytic component of the trimeric (Pol-delta3 complex) and tetrameric DNA polymerase delta complexes (Pol-delta4 complex), plays a crucial role in high fidelity genome replication, including in lagging strand synthesis, and repair. </t>
  </si>
  <si>
    <r>
      <rPr>
        <sz val="11"/>
        <color rgb="FF000000"/>
        <rFont val="Calibri"/>
        <family val="2"/>
        <scheme val="minor"/>
      </rPr>
      <t xml:space="preserve">Non-apoptotic caspase </t>
    </r>
    <r>
      <rPr>
        <sz val="11"/>
        <color indexed="8"/>
        <rFont val="Calibri"/>
        <family val="2"/>
        <scheme val="minor"/>
      </rPr>
      <t>involved in epidermal differentiation. Binds to AIF and interferes with AIF nuclear translocation</t>
    </r>
  </si>
  <si>
    <t>The downstream apoptosis executioner caspase-3 cleaves many substrates including DNA repair enzyme PARP.</t>
  </si>
  <si>
    <t xml:space="preserve">scaffolding protein within caveolar membranes; regulates CTNNB1-mediated Wnt pathway. Negatively regulates TGFB1-mediated activation of SMAD2/3 by mediating the internalization of TGFBR1 from membrane rafts leading to its subsequent degradation </t>
  </si>
  <si>
    <t>Required for the formation of caveolae in smooth muscle. Regulates the circadian clock; activates the mTOR signaling pathway (32352004); interacts with PP1-α and the product functions in cell apoptosis (31332168); ROR1-Cavin3 interaction is a necessity for caveola-dependent endocytosis and prosurvival signaling on the cell surface (30894682)</t>
  </si>
  <si>
    <t xml:space="preserve">Regulates migration and infiltration of monocytes/macrophages which then become TAMs (Tumor Associated Macrophages) in the tumor microenvironment. </t>
  </si>
  <si>
    <r>
      <t xml:space="preserve">Binds to CCR9. Potentially involved in T-cell development. CCR9 signalling facilitates immature T cell survival through </t>
    </r>
    <r>
      <rPr>
        <b/>
        <sz val="11"/>
        <color rgb="FF000000"/>
        <rFont val="Calibri"/>
        <family val="2"/>
        <scheme val="minor"/>
      </rPr>
      <t>1)</t>
    </r>
    <r>
      <rPr>
        <sz val="11"/>
        <color indexed="8"/>
        <rFont val="Calibri"/>
        <family val="2"/>
        <scheme val="minor"/>
      </rPr>
      <t xml:space="preserve"> PI3K/Akt signaling; </t>
    </r>
    <r>
      <rPr>
        <b/>
        <sz val="11"/>
        <color rgb="FF000000"/>
        <rFont val="Calibri"/>
        <family val="2"/>
        <scheme val="minor"/>
      </rPr>
      <t xml:space="preserve">2) </t>
    </r>
    <r>
      <rPr>
        <sz val="11"/>
        <color indexed="8"/>
        <rFont val="Calibri"/>
        <family val="2"/>
        <scheme val="minor"/>
      </rPr>
      <t xml:space="preserve">FAK phosphorylation via FAK-Akt signaling. </t>
    </r>
  </si>
  <si>
    <t xml:space="preserve">A member of the connective tissue growth factor CCN family, facilitates angiogenesis by interacting with integrins. </t>
  </si>
  <si>
    <t xml:space="preserve">Essential for the control of the cell cycle at the G1/S (start) transition. </t>
  </si>
  <si>
    <t>Cyclin I has a cyclin box motif; oscillates during the cell cycle; involved in cell survival, angiogenesis, and cell differentiation; interacts with CDK5 (23907122); Cyclin I and p35 determine the subcellular distribution of Cdk5 (25500740).</t>
  </si>
  <si>
    <t xml:space="preserve">Receptor for CD40LG. Transduces TRAF6- and MAP3K8-mediated signals that activate macrophages and B cells. Also expressed on the surfaces of a variety of malignant cells.  </t>
  </si>
  <si>
    <t xml:space="preserve">Co-chaperone that binds to numerous kinases and promotes their interaction with the Hsp90 complex, resulting in stabilization and promotion of their activity. </t>
  </si>
  <si>
    <t>a transmembrane glycoprotein that is widely expressed in epithelial cells as both full-length 135 kDa and proteolytically processed 70 kDa forms</t>
  </si>
  <si>
    <t xml:space="preserve">E-cadherin is a major component of tubular adherent proteins that maintain intercellular contacts and cell polarity in epithelial tissue. </t>
  </si>
  <si>
    <t>Phosphorylates CTD of RNA polymerase II,  regulating transcription elongation. Regulates the expression of genes involved in DNA repair and is required for the maintenance of genomic stability. </t>
  </si>
  <si>
    <r>
      <rPr>
        <b/>
        <sz val="11"/>
        <color rgb="FF000000"/>
        <rFont val="Calibri"/>
        <family val="2"/>
        <scheme val="minor"/>
      </rPr>
      <t>P</t>
    </r>
    <r>
      <rPr>
        <sz val="11"/>
        <color indexed="8"/>
        <rFont val="Calibri"/>
        <family val="2"/>
        <scheme val="minor"/>
      </rPr>
      <t xml:space="preserve">hosphorylates and inhibits members of the retinoblastoma (RB) protein family including RB1 and regulates the cell-cycle during G1/S transition. </t>
    </r>
  </si>
  <si>
    <t>Regulates neuronal development and neuronal survival, migration and differentiation, etc; EGF-activated EGFR leads to the activation of CDK5 and increased proliferation in EOC, thyroid carcinoma, and melanoma cells (24091658). Some Cdk5 substrates include FAK, STAT3, AKT, Rb etc. (31910742)</t>
  </si>
  <si>
    <t xml:space="preserve">May be involved in p53/TP53 mediated inhibition of cellular proliferation in response to DNA damage. Inhibits the kinase activity of the cyclin D-CDK4 complex; promotes its kinase activity towards RB1. Binds and inhibits PCNA, leading to blockade of DNA synthesis and inhibition of cell proliferation. </t>
  </si>
  <si>
    <t>Potent tight-binding inhibitor of several G1 cyclin/CDK complexes (cyclin E-CDK2, cyclin D2-CDK4, and cyclin A-CDK2) and, to a lesser extent, of the mitotic cyclin B-CDC2. </t>
  </si>
  <si>
    <t>Acts as a negative regulator of the proliferation of normal cells by interacting strongly with CDK4 and CDK6. This inhibits their ability to interact with cyclins D and to phosphorylate the retinoblastoma protein.</t>
  </si>
  <si>
    <r>
      <rPr>
        <b/>
        <sz val="11"/>
        <color indexed="8"/>
        <rFont val="Calibri"/>
        <family val="2"/>
        <scheme val="minor"/>
      </rPr>
      <t xml:space="preserve">1) </t>
    </r>
    <r>
      <rPr>
        <sz val="11"/>
        <color indexed="8"/>
        <rFont val="Calibri"/>
        <family val="2"/>
        <scheme val="minor"/>
      </rPr>
      <t xml:space="preserve">INK4 family members of CDKI, interact only with CDK4/6 and inhibit the G1/S transition. </t>
    </r>
    <r>
      <rPr>
        <b/>
        <sz val="11"/>
        <color indexed="8"/>
        <rFont val="Calibri"/>
        <family val="2"/>
        <scheme val="minor"/>
      </rPr>
      <t>2)</t>
    </r>
    <r>
      <rPr>
        <sz val="11"/>
        <color indexed="8"/>
        <rFont val="Calibri"/>
        <family val="2"/>
        <scheme val="minor"/>
      </rPr>
      <t xml:space="preserve"> Tumor suppressor gene, also involved in DNA damage response and apoptosis</t>
    </r>
  </si>
  <si>
    <t>Component of the histone deacetylase NuRD complex which participates in the remodeling of chromatin by deacetylating histones</t>
  </si>
  <si>
    <r>
      <rPr>
        <sz val="11"/>
        <color rgb="FF000000"/>
        <rFont val="Calibri"/>
        <family val="2"/>
        <scheme val="minor"/>
      </rPr>
      <t>R</t>
    </r>
    <r>
      <rPr>
        <sz val="11"/>
        <color indexed="8"/>
        <rFont val="Calibri"/>
        <family val="2"/>
        <scheme val="minor"/>
      </rPr>
      <t xml:space="preserve">equired for checkpoint-mediated cell cycle arrest and activation of DNA repair in response to DNA damage; binds to and phosphorylates CDC25A, CDC25B and CDC25C; also phosphorylates NEK6, RAD51, TP53,  FANCE, TLK1 </t>
    </r>
  </si>
  <si>
    <r>
      <rPr>
        <sz val="11"/>
        <color rgb="FF000000"/>
        <rFont val="Calibri"/>
        <family val="2"/>
        <scheme val="minor"/>
      </rPr>
      <t>R</t>
    </r>
    <r>
      <rPr>
        <sz val="11"/>
        <color indexed="8"/>
        <rFont val="Calibri"/>
        <family val="2"/>
        <scheme val="minor"/>
      </rPr>
      <t xml:space="preserve">equired for checkpoint-mediated cell cycle arrest, activation of DNA repair and apoptosis in response to DSB; phosphorylates CDC25A, CDC25B and CDC25C, NEK6, BRCA2, FOXM1. Regulates apoptosis through the phosphorylation of p53/TP53, MDM4 and PML. </t>
    </r>
  </si>
  <si>
    <r>
      <t>directly interacts with c-myc, inhibits PP2A activity towards c-myc ser62 to prevent c-myc degradation; increases P-Akt by negatively regulating Akt related PP2A activity (20729919); facilitates the EMT process via RAS/ERK pathway (</t>
    </r>
    <r>
      <rPr>
        <sz val="11"/>
        <color rgb="FF000000"/>
        <rFont val="Calibri"/>
        <family val="2"/>
        <scheme val="minor"/>
      </rPr>
      <t>25458953</t>
    </r>
    <r>
      <rPr>
        <sz val="11"/>
        <color indexed="8"/>
        <rFont val="Calibri"/>
        <family val="2"/>
        <scheme val="minor"/>
      </rPr>
      <t>); participates in the Wnt/β-catenin pathway (25015035).</t>
    </r>
  </si>
  <si>
    <t xml:space="preserve">tight junction protein; interacts with PDZ domain-containing proteins such as ZO proteins which serve as adapters for other proteins involved in cell signaling; interactors include PTEN, plays a role in proliferation, differentiation, and motility (11283726); related to EMT and WNT pathway (29511369);  </t>
  </si>
  <si>
    <t>AS in CLDN3. Reduction of claudin-4 in cancer cells facilitates the detachment of single cells from the cellular network and promotes invasion in a similar manner to E-cadherin (12668723).</t>
  </si>
  <si>
    <t>overexpressed in activated macrophages; a homologous protein of GST superfamily; response of oxidative stress by acting as sensor and effector; regulates stabilization of cell membrane potential, transepithelial transport, maintenance of intracellular pH, and regulation of cell volume; regulation of integrin family proteins (29669336).</t>
  </si>
  <si>
    <t>up-regulated transcript in a cisplatin resistant ovarian tumor cell line; coactivator of the transcription factor Erβ, (downstream target: CDC25A, c-Jun, and BCL2); induces ER-β signaling (32943060)</t>
  </si>
  <si>
    <t>extracellular chaperone; intracellular form translocated from ER to cytosol under stress, leading to the inhibition of apoptosis through the activation of Akt, NF-kB, YB-1, and HSF-1 (33160989); inhibits apoptosis through suppressing BAX-dp release of cytochrome c and interaction with HSPA5</t>
  </si>
  <si>
    <t>May play an important role in fibrillogenesis by controlling lateral growth of collagen II fibrils.</t>
  </si>
  <si>
    <t>Collagen type III occurs in most soft connective tissues along with type I collagen. Involved in regulation of cortical development.</t>
  </si>
  <si>
    <t>Collagen VI acts as a cell-binding protein.</t>
  </si>
  <si>
    <t xml:space="preserve">Phosphorylation-dependent transcription factor (Phosphorylated by PKA, CaMKIV, p70S6K, and RSK2); binds to cAMP response element (CRE); critical for cell cycle and survival (15837624). </t>
  </si>
  <si>
    <t>Cytokine that plays an essential role in the regulation of survival, proliferation and differentiation of hematopoietic precursor cells</t>
  </si>
  <si>
    <t xml:space="preserve">A component of Beta-catenin, e-cadherin complex. Its function correlates to CDH1. </t>
  </si>
  <si>
    <t>critical roles in cell cycle, inflammation and tumorigenesis. Phosphorylated by Cdk1 and promotes the release of APC/C from checkpoint inhibition. Interacts with IkB kinase α (IKKα) and IKKβ and has an inhibitory role in the activation of NFκB</t>
  </si>
  <si>
    <t xml:space="preserve">CUZD1 antiserum inhibits cell attachment and proliferation of ovarian cancer cells so may be involved in these processes. </t>
  </si>
  <si>
    <t xml:space="preserve">Pro-inflammatory chemokine that is principally a chemoattractant and activator of neutrophils during an immune response; also has cell growth, angiogenic and motogenic effects in different types of malignancies </t>
  </si>
  <si>
    <t>5'-3' exonuclease that plays a central role in telomere maintenance. Also functions within the Fanconi anemia pathway in response to DNA interstrand crosslinks</t>
  </si>
  <si>
    <t>Functions within the Fanconi anemia pathway in response to DNA interstrand crosslinks, functions  in a complex with DNAPK in the non homologous end joining (NHEJ) pathway to form coding and signal joints respectively.</t>
  </si>
  <si>
    <t>Multifunctional transcription factor in ER stress response; plays an essential role in apoptotic execution pathways triggered by ER stress</t>
  </si>
  <si>
    <t xml:space="preserve">ras superfamily; associated with growth suppression/tumor supressor; regulates autophagy in certain cancer cells by regulating the autophagosome initiation complex. </t>
  </si>
  <si>
    <t>enzymatically inert adaptor or scaffolding protein; reduces cell activation induced by  IL-4, as well as other cytokines (negative feedback loop) (24963146); modulating Bcr-Abl signaling.  recruitment of DOK2 to EGFR mediates inhibition of downstream activation of RAS (24255704)</t>
  </si>
  <si>
    <t>binds DNA cooperatively with DP proteins through the E2 recognition site of genes whose products are involved in cell cycle regulation or in DNA replication. E2F1 binds RB1 preferentially in a cell-cycle dependent manner. It can mediate both cell proliferation and TP53/p53-dependent apoptosis. </t>
  </si>
  <si>
    <t>The DRTF1/E2F complex target genes involved in cell cycle regulation or in DNA replication to control cell-cycle progression from G1 to S phase. E2F2 binds specifically to RB1 in a cell-cycle dependent manner.</t>
  </si>
  <si>
    <t xml:space="preserve">Receptor tyrosine kinase binding ligands of the EGF family and activating several signaling cascades to convert extracellular cues into appropriate cellular responses. </t>
  </si>
  <si>
    <t>core subunit of the eIF3 complex; it is also involved in caspase-mediated apoptosis, and is upregulated in multidrug-resistant cancer cells. </t>
  </si>
  <si>
    <t xml:space="preserve">Phosphorylation of 4E-BP1 releases translation initiation factor eIF4E, allowing for the initiation of CAP-dependent protein synthesis to drive the selective translation of specific oncogenic mRNAs encoding proteins responsible for survival factors (survivin, Mcl1, XIAP), tumor angiogenesis (VEGF-A, FGF2) and the DDR (BRCA1, 53BP1, γH2AX, others), among other pathways. </t>
  </si>
  <si>
    <t>Regulator which is able to repress transcription.  Its interaction with BRCA2, when over-expressed, would lead to impairment of BRCA2 functions (21735447).</t>
  </si>
  <si>
    <t>Transcription factor, linked to the WNT signaling pathway during embryonic patterning (20697358); inhibits the AKT/mTOR/S6K signaling pathway and decreases EMT (31432154);</t>
  </si>
  <si>
    <t xml:space="preserve">secreted enzyme (by adipocytes) functions as a lysophospholipase D to generate the lipid survival factors lysophosphatidic acid (LPA) and sphingosine 1-phosphate (S1P). </t>
  </si>
  <si>
    <t>Chromatin remodeling. Also acetylates non-histone targets: ALX1, HDAC1, PRMT1 or SIRT2; indirectly increases activity of TP53 through acetylation and subsequent attenuation of SIRT2 deacetylase function</t>
  </si>
  <si>
    <t>Cell surface expression of CSC-like markers. The intracellular domain (EpICD) is released into the cytoplasm to form a complex with the FHL2, β-catenin, and Lef-1 to activate WNT signaling; the extracellular domain (EpEX) is released into the area surrounding the cell to activate RTK signaling (e.g. EGFR)</t>
  </si>
  <si>
    <t xml:space="preserve">Part of several cell surface receptor complexes, but that apparently needs a coreceptor for ligand binding. </t>
  </si>
  <si>
    <t>Catalytic component of a structure-specific DNA repair endonuclease responsible for the 5-prime incision during DNA repair. Involved in homologous recombination that assists in removing interstrand cross-links.</t>
  </si>
  <si>
    <t>Single-stranded structure-specific DNA endonuclease involved in DNA excision repair. Makes the 3' incision in DNA nucleotide excision repair (NER). Acts as a cofactor for a DNA glycosylase that removes oxidized pyrimidines from DNA. </t>
  </si>
  <si>
    <t>Methyltransferase-mediated pathway regulating replication for restart. Knockdown results in fork stabilization and PARPi resistance.</t>
  </si>
  <si>
    <r>
      <t xml:space="preserve">Plays a role in DNA repair through recruitment of the </t>
    </r>
    <r>
      <rPr>
        <sz val="11"/>
        <color rgb="FF000000"/>
        <rFont val="Calibri"/>
        <family val="2"/>
        <scheme val="minor"/>
      </rPr>
      <t>FA</t>
    </r>
    <r>
      <rPr>
        <sz val="11"/>
        <color indexed="8"/>
        <rFont val="Calibri"/>
        <family val="2"/>
        <scheme val="minor"/>
      </rPr>
      <t xml:space="preserve"> core complex to damaged DNA. Regulates FANCD2 monoubiquitination upon DNA damage. </t>
    </r>
  </si>
  <si>
    <t>Protects cells from induced-DNA damage and apoptosis. Acts, at least in part, through PI3K/AKT/NFKB signaling pathway and by preventing POLB degradation. Decreases POLB ubiquitation and stabilizes its protein levels</t>
  </si>
  <si>
    <t>Probable proto-oncogene that functions in the epidermal growth factor receptor/EGFR signaling pathway. May activate both EGFR itself and downstream RAS/MAPK and PI3K/AKT/TOR signaling cascades.</t>
  </si>
  <si>
    <r>
      <rPr>
        <sz val="11"/>
        <color rgb="FF000000"/>
        <rFont val="Calibri"/>
        <family val="2"/>
        <scheme val="minor"/>
      </rPr>
      <t xml:space="preserve">Fanconi anemia. </t>
    </r>
    <r>
      <rPr>
        <sz val="11"/>
        <color indexed="8"/>
        <rFont val="Calibri"/>
        <family val="2"/>
        <scheme val="minor"/>
      </rPr>
      <t xml:space="preserve">Nuclease required for the repair of DNA interstrand cross-links (ICL) recruited at sites of DNA damage by monoubiquitinated FANCD2. </t>
    </r>
  </si>
  <si>
    <t>operates in a postreplication repair or a cell cycle checkpoint function; ICL repair; the maintenance of normal chromosome stability.</t>
  </si>
  <si>
    <t xml:space="preserve">Cell surface glycoprotein serine protease that participates in ECM degradation and involved in many cellular processes including tissue remodeling, fibrosis, wound healing, inflammation and tumor growth, on substrates such as alpha-2-antiplasmin SERPINF2 and SPRY2. </t>
  </si>
  <si>
    <t xml:space="preserve">Tumor suppressor. TCA cycle. Hydrates fumarate to form malate. Individuals with hemizygous germline fumarate hydratase (FH) mutations are predisposed to renal cancer (HLRCC). </t>
  </si>
  <si>
    <t xml:space="preserve">Fibronectins bind cell surfaces and various compounds including collagen, fibrin, heparin, DNA, and actin. Fibronectins are involved in cell adhesion, cell motility, opsonization, wound healing, and maintenance of cell shape. </t>
  </si>
  <si>
    <t>Binds to folate and reduces folic acid derivatives and mediates delivery of 5-methyltetrahydrofolate and folate analogs into the interior of cells. </t>
  </si>
  <si>
    <t>involved in diverse intracellular signaling pathways and regulates cell-cycle arrest, apoptosis, DNA damage repair, and detoxification of reactive oxygen species by regulating specific gene settings; FOXO is known to be a direct phosphorylation (inhibitory) target of the protein kinase Akt</t>
  </si>
  <si>
    <t xml:space="preserve">Regulates MYC expression by binding to a single-stranded far-upstream element (FUSE) upstream of the MYC promoter. </t>
  </si>
  <si>
    <t>A regulator of p38 MAPKs, affects PCNA interaction with some CDKs; stimulates DNA excision repair</t>
  </si>
  <si>
    <t xml:space="preserve">Ligand for tyrosine-protein kinase receptors TYRO3, AXL, and MER (TAM) whose signaling is implicated in full and sustained platelet activation and other cell growth and survival, cell adhesion and cell migration. </t>
  </si>
  <si>
    <t xml:space="preserve">May be involved in spermatogenesis. GGNBP2 may function as a corepressor to inhibit ERa's transcriptional activity and consequently inhibits tumorigenic potential of breast cancer cells; inhibition of IL-6/STAT3 signaling activation (30450530); </t>
  </si>
  <si>
    <t xml:space="preserve">transcriptional activator. Regulates normal development; mediates SHH signaling </t>
  </si>
  <si>
    <t>Functions as a GC-rich promoter-specific transactivating transcription factor.</t>
  </si>
  <si>
    <t>Orphan receptor; retinoic acid-inducible;  interaction between retinoid and G-protein signaling pathways; as an interactor of EphA2 and β1‐integrin (27715394); mediates the hypoxia-induced adaptive response (30143543)</t>
  </si>
  <si>
    <t>a key component of cellular antioxidant regulation, protects cells and enzymes from oxidative damage, by catalyzing the reduction of hydrogen peroxide, lipid peroxides and organic hydroperoxide, by glutathione.</t>
  </si>
  <si>
    <t xml:space="preserve">Cytokine that may play an important role during carcinogenesis and metanephric kidney organogenesis, as a  bone morphogenetic protein (BMP) antagonist </t>
  </si>
  <si>
    <t>catalyzes the second step of glutathione biosynthesis, which is the ATP-dependent conversion of gamma-L-glutamyl-L-cysteine to glutathione. Defects in this gene are a cause of glutathione synthetase deficiency</t>
  </si>
  <si>
    <t>Variant histone H2A. Plays a central role in transcription regulation, DNA repair. Required for checkpoint response to IR; and for DSB repair when modified by C-terminal phosphorylation.</t>
  </si>
  <si>
    <t>A novel member of the HECT (homologous to E6-AP carboxyl terminus) domain family of E3s. Mediates ubiquitination of TRIOBP faciliting cell cycle progression.</t>
  </si>
  <si>
    <t>Secreted by mesenchymal cells, acts on cells of mainly epithelial origin; functions in angiogenesis, tumorigenesis, and tissue regeneration; secretion in the tumor microenvironment contributes to the innate and acquired resistance to RAF inhibitors.</t>
  </si>
  <si>
    <t xml:space="preserve">Transcriptional repressor involved in down-regulation of SIRT1 and thereby is involved in regulation of p53/TP53-dependent apoptotic DNA-damage responses. Regulation of SIRT1 transcription in response to nutrient deprivation. </t>
  </si>
  <si>
    <t xml:space="preserve">phosphorylates p53 at Ser46 for specific activation of proapoptotic target genes, including p53AIP1, PIG3, Bax, Noxa, and KILLER/DR5 and contributes to the regulation of p53-induced apoptosis. </t>
  </si>
  <si>
    <t>Multifunctional redox sensitive protein. Binds to DNA to promote the assembly of proteins with a specific DNA target site; involved in replication, transcription, DNA repair etc. Promotes autophagy by disrupting the interaction between Beclin-1 and its negative regulator Bcl-2 by competitively binding to Beclin-1</t>
  </si>
  <si>
    <t>In the first committed step of the mevalonate pathway, HMG-CoA reductase (HMGCR) converts HMG-CoA to mevalonic acid. The products of the mevalonate pathway include sterol isoprenoids such as cholesterol, and non-sterol isoprenoids such as dolichol, heme-A, isopentenyl, and ubiquinone</t>
  </si>
  <si>
    <t>Heme oxygenase cleaves the heme ring at the alpha methene bridge to form biliverdin. Biliverdin is subsequently converted to bilirubin by biliverdin reductase. Modulates cytokine production, cell proliferation, and apoptosis (excess of free heme sensitizes cells to undergo apoptosis)</t>
  </si>
  <si>
    <t>Transcription factor of genes in normal mesodermal and endodermal developments; directly suppresses SMAD6 expression (33174391)</t>
  </si>
  <si>
    <r>
      <rPr>
        <sz val="11"/>
        <color rgb="FF000000"/>
        <rFont val="Calibri"/>
        <family val="2"/>
        <scheme val="minor"/>
      </rPr>
      <t>T</t>
    </r>
    <r>
      <rPr>
        <sz val="11"/>
        <color indexed="8"/>
        <rFont val="Calibri"/>
        <family val="2"/>
        <scheme val="minor"/>
      </rPr>
      <t>ranscription factor which is part of a developmental regulatory system; binds preferentially to methylated DNA</t>
    </r>
  </si>
  <si>
    <t>Sequence-specific transcription factor which is part of a developmental regulatory system that provides cells with specific positional identities on the anterior-posterior axis; miR-375-HOXB3-CDCA3/DNMT3B regulatory pathway (29439669)</t>
  </si>
  <si>
    <t>stress-inducible and DNA-binding transcription factor that plays a central role in the transcriptional activation of the heat shock response (HSR), leading to the expression of a large class of molecular chaperones heat shock proteins (HSPs) that protect cells from cellular insults' damage</t>
  </si>
  <si>
    <t>Molecular chaperone that promotes the maturation, structural maintenance and proper regulation of specific target proteins involved for instance in cell cycle control and signal transduction.</t>
  </si>
  <si>
    <t>As HSP90AA1</t>
  </si>
  <si>
    <t xml:space="preserve">Molecular chaperone implicated in a wide variety of cellular processes, including protection of the proteome from stress, folding and transport of newly synthesized polypeptides, activation of proteolysis of misfolded proteins and the formation and dissociation of protein complexes. </t>
  </si>
  <si>
    <t>a cell surface glycoprotein which is typically expressed on endothelial cells and cells of the immune system. It binds to integrins of type CD11a/CD18, or CD11b/CD18 and is also exploited by Rhinovirus as a receptor.</t>
  </si>
  <si>
    <t xml:space="preserve">RNA-binding factor that recruits target transcripts to cytoplasmic protein-RNA complexes (mRNPs). Regulates mRNAs such as PTEN, ACTB, MAPK4, MKI67, c-MYC, and CD44. Plays important roles in cell proliferation and growth of normal tissues and tumor tissues, as well as tumor cell adhesion, apoptosis, migration, and invasion. </t>
  </si>
  <si>
    <t>Serine kinase that plays an essential role in the NF-kappa-B signaling pathway which is activated by multiple stimuli such as inflammatory cytokines, bacterial or viral products, DNA damage or other cellular stresses</t>
  </si>
  <si>
    <t>Part of the receptor for interleukin 6. Binds to IL6 with low affinity, but does not transduce a signal. Signal activation necessitates an association with IL6ST.</t>
  </si>
  <si>
    <t>receptor for collagen; recognizes the proline-hydroxylated sequence G-F-P-G-E-R in collagen. also receptor for fibronectin. </t>
  </si>
  <si>
    <t xml:space="preserve">It binds to an α subunit to form a heterodimeric integrin complex regulation of cell growth and motility. </t>
  </si>
  <si>
    <t>This protein noncovalently binds to an alpha subunit to form a heterodimeric integrin complex.</t>
  </si>
  <si>
    <t>Involved in cell differentiation; inhibits cell growth in human breast cancer via enhancing autophagy induction (31438969); a transcriptional target of PKA-CREB, regulates autophagic flux via interaction with the vacuolar ATPase (25951193)</t>
  </si>
  <si>
    <t>p300/CBP-associated factor (PCAF); has significant histone acetyltransferase activity with core histones (H3 and H4), and also with nucleosome core particles. Also acetylates non-histone proteins, such as ACLY, PLK4, RRP9/U3-55K and TBX5. Inhibits cell-cycle progression and counteracts the mitogenic activity of the adenoviral oncoprotein E1A</t>
  </si>
  <si>
    <t>Catalytic subunit of the NuA4; acetylation of nucleosomal histones H4 and H2A; involved in growth induction, tumor suppressor mediated growth arrest and replicative senescence, apoptosis, and DNA repair; also acetylates non-histone proteins, such as ATM, NR1D2, RAN, FOXP3, ULK1 and RUBCNL/Pacer; BMI1 interacts with a cluster of E-box elements on the MDR1 promoter and recruits TIP60 resulting in acetylation of histone H2A and H3 (27295567).</t>
  </si>
  <si>
    <t>Histone acetyltransferase which may be involved in transcriptional activation; acetylation of nucleosomal histone H4; may influence the function of ATM; can also acetylate TP53/p53 at 'Lys-120'; KAT8 regulates G2/M cell cycle arrest through AKT/ERK-cyclin D1 signaling (23638218).</t>
  </si>
  <si>
    <t>Histone demethylase that specifically demethylates 'Lys-4' of histone H3, thereby playing a central role in histone code; regulates a translational program that controls p53 protein expression (30388705)</t>
  </si>
  <si>
    <t>Tyrosine-protein kinase that acts as a cell-surface receptor for VEGFA, VEGFC and VEGFD. Plays an essential role in the regulation of angiogenesis, vascular development, vascular permeability, and embryonic hematopoiesis. </t>
  </si>
  <si>
    <t>a substrate adapter protein for the E3 ubiquitin ligase complex formed by CUL3 and RBX1 and targets NFE2L2/NRF2 for ubiquitination and degradation by the proteasome</t>
  </si>
  <si>
    <t>localized to the Golgi apparatus; microtubule-associated motor protein; functions in mitosis, migration, and intracellular transport; activates JAK/STAT3 (31841120)</t>
  </si>
  <si>
    <t>Tyrosine-protein kinase that acts as a cell-surface receptor for the cytokine KITLG/SCF and regulates cell survival and proliferation, stem cell maintenance</t>
  </si>
  <si>
    <t>transcription factor, involved in cell proliferation and mediates cell survival and tumorigenesis.</t>
  </si>
  <si>
    <t>Plays a role in the establishment of the epidermal barrier on plantar skin; inhibits cell cycle (10082575); loss of KRT10 leads to MAPK (15482487)</t>
  </si>
  <si>
    <t>Cytokeratin. Together with KRT19, helps to link the contractile apparatus to dystrophin at the costameres of striated muscle.</t>
  </si>
  <si>
    <t>As part of the Regulator complex it is involved in amino acid sensing and activation of mTORC1; when complexed to BIRC5, interferes with apoptosome assembly, preventing recruitment of pro-caspase-9 to oligomerized APAF1</t>
  </si>
  <si>
    <t xml:space="preserve">Serine/threonine-protein kinase, negative regulator of YAP1 in the Hippo signaling pathway that plays a pivotal role in organ size control and tumor suppression by restricting proliferation and promoting apoptosis. </t>
  </si>
  <si>
    <t>Galactose-specific lectin which binds IgE. May mediate with the alpha-3, beta-1 integrin the stimulation by CSPG4 of endothelial cells migration. </t>
  </si>
  <si>
    <t>Suppressor of microRNA (miRNA) biogenesis, including that of let-7 and possibly of miR107, miR-143 and miR-200c. Binds primary let-7 transcripts (pri-let-7), including pri-let-7g and pri-let-7a-1, and sequesters them in the nucleolus, away from the microprocessor complex, hence preventing their processing into mature miRNA</t>
  </si>
  <si>
    <t>cell surface aminopeptidase. Degrades peptide hormones such as oxytocin, vasopressin and angiotensin III; resides in GLUT4 vesicles, migrates to the cell membrane to facilitate glucose uptake in response to insulin stimulation (17233921).  </t>
  </si>
  <si>
    <t>Endocytic receptor involved in endocytosis. Modulates microglial polarization through Shc1/PI3K/Akt pathway (30703614). Involved in cellular lipid homeostasis. </t>
  </si>
  <si>
    <t>Adapter protein able to interact with different proteins and involved in different biological processes. interaction between REV3L and REV1, mediating TLS </t>
  </si>
  <si>
    <t>the small Mafs behave as transcriptional repressors when they dimerize among themselves but serve as transcriptional activators by dimerizing with NFE2, NFE2L1 and NFE2L2; associated with detoxification in oxidative stress situations</t>
  </si>
  <si>
    <t xml:space="preserve">vesicular trafficking; involved in reorganisation of lipid rafts for signalling and/or intracellular transport (11739628); apical transport of proteins in polarized epithelial cells; myelin biogenesis and/or myelin function; T-cell differentiation.  </t>
  </si>
  <si>
    <t>Mediates signaling for differentiation and survival; apoptosis signaling through mitochondria-dependent caspase activation; innate immune response (ASK1). </t>
  </si>
  <si>
    <t>induced by TGF beta and morphogenetic protein (BMP); in response to IL-1, this protein forms a kinase complex including TRAF6, MAP3K7P1/TAB1 and MAP3K7P2/TAB2; this complex is required for the activation of NFkB</t>
  </si>
  <si>
    <t>involved in various processes such as cell proliferation, differentiation, migration, transformation and programmed cell death. proinflammatory cytokines or physical stress stimulate the stress-activated protein kinase/c-Jun N-terminal kinase (SAP/JNK) signaling pathway. Phosphorylates a number of transcription factors, primarily components of AP-1 such as JUN, JDP2 and ATF2 and thus regulates AP-1 transcriptional activity</t>
  </si>
  <si>
    <t>In the stress-activated protein kinase/c-Jun N-terminal kinase (SAP/JNK) signaling pathway, two dual specificity kinases MAP2K4/MKK4 and MAP2K7/MKK7 phosphorylate and activate MAPK9/JNK2. In turn, MAPK9/JNK2 phosphorylates a number of transcription factors, primarily components of AP-1 such as JUN and ATF2 and thus regulates AP-1 transcriptional activity. </t>
  </si>
  <si>
    <t>Involved in the regulation of apoptosis versus cell survival, and in the maintenance of viability but not of proliferation. Mediates its effects by interactions with a number of other regulators of apoptosis. Isoform 1 inhibits apoptosis. Isoform 2 promotes apoptosis</t>
  </si>
  <si>
    <t xml:space="preserve">Essential component of a MLL/SET1 histone methyltransferase (HMT) complex, a complex that specifically methylates 'Lys-4' of histone H3 (H3K4). Functions as a transcriptional regulator. </t>
  </si>
  <si>
    <t xml:space="preserve">Following activation by ligand, interacts with the PI3-kinase subunit PIK3R1, PLCG1, SRC, GRB2, STAT3 or the adapter GAB1. Recruitment of these downstream effectors by MET leads to the activation of several signaling cascades including the RAS-ERK, PI3 kinase-AKT, or PLCgamma-PKC. </t>
  </si>
  <si>
    <t>S-adenosyl-L-methionine-dependent methyltransferase that mediates N3-methylcytidine modification of residue 32 of the tRNA anticodon loop of tRNA(Ser); regulates pluripotency and tumor cell growth (32923617)</t>
  </si>
  <si>
    <t>Depending on the concentration of calcium, MICU1 acts both as an activator or inhibitor of mitochondrial calcium uptake; drives aerobic glycolysis in ovarian cancer</t>
  </si>
  <si>
    <r>
      <rPr>
        <b/>
        <sz val="11"/>
        <color indexed="8"/>
        <rFont val="Calibri"/>
        <family val="2"/>
        <scheme val="minor"/>
      </rPr>
      <t>1)</t>
    </r>
    <r>
      <rPr>
        <sz val="11"/>
        <color indexed="8"/>
        <rFont val="Calibri"/>
        <family val="2"/>
        <scheme val="minor"/>
      </rPr>
      <t xml:space="preserve"> Increases cell migration by inducing filopodia formation. </t>
    </r>
    <r>
      <rPr>
        <b/>
        <sz val="11"/>
        <color indexed="8"/>
        <rFont val="Calibri"/>
        <family val="2"/>
        <scheme val="minor"/>
      </rPr>
      <t>2)</t>
    </r>
    <r>
      <rPr>
        <sz val="11"/>
        <color indexed="8"/>
        <rFont val="Calibri"/>
        <family val="2"/>
        <scheme val="minor"/>
      </rPr>
      <t xml:space="preserve"> Regulates apoptosis through control of CASP3. </t>
    </r>
    <r>
      <rPr>
        <b/>
        <sz val="11"/>
        <color indexed="8"/>
        <rFont val="Calibri"/>
        <family val="2"/>
        <scheme val="minor"/>
      </rPr>
      <t>3)</t>
    </r>
    <r>
      <rPr>
        <sz val="11"/>
        <color indexed="8"/>
        <rFont val="Calibri"/>
        <family val="2"/>
        <scheme val="minor"/>
      </rPr>
      <t xml:space="preserve"> Involved in a redox-related process.</t>
    </r>
  </si>
  <si>
    <t xml:space="preserve">Regulates the expression of genes with essential roles in cell differentiation, proliferation and survival. </t>
  </si>
  <si>
    <t>Heterodimerizes with PMS2 to form MutL alpha, a component of the post-replicative MMR; also involved in NHEJ (22451719)</t>
  </si>
  <si>
    <t>Thermolysin-like specificity, but is almost confined to acting on polypeptides of up to 30 amino acids</t>
  </si>
  <si>
    <t>Endopeptidase that degrades various components of the extracellular matrix; facilitates the invasion of glioma cells</t>
  </si>
  <si>
    <t>mediates the homeostasis of ECM and are up-regulated in almost every type of human cancer, involved in tissue remodeling, and cancer cell invasion and metastasis</t>
  </si>
  <si>
    <t>Degrades casein, gelatins of types I, III, IV, and V, and fibronectin. Activates procollagenase; also known to cleave non-ECM proteins, such as E-cadherin and Fas ligand (FasL) (28239354)</t>
  </si>
  <si>
    <t>Knockdown results in fork stabilization and PARPi resistance</t>
  </si>
  <si>
    <t>Mismatch repair, platinum pathway; forms two different heterodimers: MutS alpha (MSH2-MSH6 heterodimer) and MutS beta (MSH2-MSH3 heterodimer) which binds to DNA mismatches thereby initiating DNA repair.</t>
  </si>
  <si>
    <t>Mismatch repair. Heterodimerizes with MSH2 to form MutS beta which binds to DNA mismatches thereby initiating DNA repair; plays an important role in repairing DNA double strand breaks, beyond its function in MMR (21285347)</t>
  </si>
  <si>
    <r>
      <rPr>
        <sz val="11"/>
        <color rgb="FF000000"/>
        <rFont val="Calibri"/>
        <family val="2"/>
        <scheme val="minor"/>
      </rPr>
      <t>H</t>
    </r>
    <r>
      <rPr>
        <sz val="11"/>
        <color indexed="8"/>
        <rFont val="Calibri"/>
        <family val="2"/>
        <scheme val="minor"/>
      </rPr>
      <t xml:space="preserve">eterodimerizes with MSH2 to form MutS alpha, which binds to DNA mismatches thereby initiating DNA repair. </t>
    </r>
  </si>
  <si>
    <t>Membrane glycoprotein frequently over-expressed in various malignancies, may play a role in cellular adhesion; its cleavage product, Megakaryocyte-potentiating factor (MPF) potentiates megakaryocyte colony formation in vitro; promotes EMT (28288645)</t>
  </si>
  <si>
    <t xml:space="preserve">Transcriptional repressor, the homeodomain of Msx1 functions as a protein-protein interacting motif rather than a DNA-binding domain and is essential for stabilization, nuclear accumulation, and apoptotic function of wild-type p53 (15705871). </t>
  </si>
  <si>
    <t>Downregulates SLC1A2/EAAT2 promoter; activates NF-kappa-B </t>
  </si>
  <si>
    <t>Controls the activity of MTR in the folate metabolism by transferring the methyl group of methyltetrahydrofolate to homocysteine via the methionine synthase. Folate is a key factor regulating the SAM available for DNA methylation</t>
  </si>
  <si>
    <t>provides a protective, lubricating barrier against particles and infectious agents at mucosal surfaces; mesothelin binding to MUC16 promotes pancreatic cancer cell motility and invasion via MMP-7 activation (23694968); suppresses apoptosis (21785467)</t>
  </si>
  <si>
    <t>a secreted mucin, contributes to the lubricating and viscoelastic properties of whole saliva and cervical mucus; Alteration in expression is a hallmark of numerous epithelial cancers and has often been correlated to bad prognosis of the tumor (28972071)</t>
  </si>
  <si>
    <t>Involved in oxidative DNA damage repair. Initiates repair of A*oxoG to C*G by removing the inappropriately paired adenine base from the DNA backbone. Possesses both adenine and 2-OH-A DNA glycosylase activities.</t>
  </si>
  <si>
    <t>Transcription factor that activates the transcription of growth-related genes. Binds to the VEGFA promoter, promoting VEGFA production and subsequent sprouting angiogenesis</t>
  </si>
  <si>
    <t>an important transcriptional regulator in maintaining embryonic stem (ES) cell pluripotency; facilitating EMT (30373858)</t>
  </si>
  <si>
    <t>aspartic peptidase, anti-apoptotic protein that promotes resistance to cisplatin by degradation of the tumor suppressor p53, which is a regulator of the cyclin kinase inhibitors as p21 and p27</t>
  </si>
  <si>
    <t>See AKR1C1</t>
  </si>
  <si>
    <t xml:space="preserve">Catalyzes the conversion of aldehydes and ketones to alcohols. </t>
  </si>
  <si>
    <t>Essential effector of NLRP3 inflammasome-dependent CASP1 activation and IL1B and IL18 secretion in response to non-canonical activators, such as UVB radiation, cholera enterotoxin subunit B and cytosolic LPS</t>
  </si>
  <si>
    <t>G2/M checkpoint response to DNA damage; controls degradation of CDC25A by directly phosphorylating it on residues whose phosphorylation is required for BTRC-mediated polyubiquitination and degradation</t>
  </si>
  <si>
    <t>intermediate filament protein required for survival, renewal and mitogen-stimulated proliferation of neural progenitor cells. CSC marker; Cdk5-mediated nestin phosphorylation releases a pool of soluble nestin; binds to Keap1 to protect Nrf2 (31695040)</t>
  </si>
  <si>
    <t>Stimulates the GTPase activity of Ras. NF1 shows greater affinity for Ras GAP, but lower specific activity. May be a regulator of Ras activity.</t>
  </si>
  <si>
    <t xml:space="preserve">NF-kappa-B is a pleiotropic transcription factor present in almost all cell types and is the endpoint of a series of signal transduction events that are initiated by a vast array of stimuli related to many biological processes </t>
  </si>
  <si>
    <t>Sulfated glycoprotein widely distributed in basement membranes and tightly associated with laminin. Nidogens are linkers connecting collagen IV and laminin networks; binds to integrin α3β1 (1527019)</t>
  </si>
  <si>
    <t>Produces nitric oxide (NO) which is a messenger molecule; typically, eNOS and nNOS produce NO at low or physiological levels, which plays important roles in the normal regulation of the cardiovascular and neural systems. NOS2-derived NO may induce apoptosis in cancer cells, while the lower concentration of NO typically generated by NOS1 may inhibit apoptosis and promote chemoresistance.  </t>
  </si>
  <si>
    <t>Produces nitric oxide (NO) which is a messenger molecule; iNOS typically produces toxicity-associated NO </t>
  </si>
  <si>
    <t>platinum pathway/DT-diaphorase/detoxicating</t>
  </si>
  <si>
    <t xml:space="preserve">a nuclear receptor and transcription factor activated by variety of endogenous and xenobiotic compounds. affects drug metabolism/efflux and drug-drug interaction by activating transcription of genes such as MDR1, P450 ect.  </t>
  </si>
  <si>
    <t>acts concomitantly with NURR1 in regulating the expression of delayed-early genes during liver regeneration. </t>
  </si>
  <si>
    <t xml:space="preserve">Bifunctional DNA N-glycosylase with associated apurinic/apyrimidinic (AP) lyase function that catalyzes the first step in base excision repair (BER), the primary repair pathway for the repair of oxidative DNA damage. </t>
  </si>
  <si>
    <t>a 13-amino acid peptide acting as a neurotransmitter in the central nervous system and local hormone in the gastrointestinal tract. activates NTSR1, NTSR2 (G-protein–coupled receptor and NTSR3 (gp95/sortilin) (sorting protein of Vps10p-domain)</t>
  </si>
  <si>
    <t xml:space="preserve">nucleocytoplasmic transport; plays a role in mitotic cell cycle progression by regulating centrosome segregation; a subset of the FG-repeat–containing NUPs (including NUP62) function in transcriptional regulation at intranuclear sites distal to the NPC (22074739); </t>
  </si>
  <si>
    <t>Phosphorylates the proto-oncogene RAF1 and stimulates its kinase activity. Promotes cell survival by phosphorylating the BCL2 antagonist of cell death BAD. Phosphorylates CTNND1, probably to regulate cytoskeletal organization and cell morphology.</t>
  </si>
  <si>
    <t>Plays a critical role in homologous recombination repair (HRR) through its ability to recruit BRCA2 and RAD51 to DNA breaks. Strongly stimulates the DNA strand-invasion activity of RAD51, stabilizes the nucleoprotein filament against a disruptive BRC3-BRC4 polypeptide and helps RAD51 to overcome the suppressive effect of replication protein A (RPA)</t>
  </si>
  <si>
    <t xml:space="preserve">Component of actin-containing microfilaments that control cell shape, adhesion, and contraction; integral component of adherens junctions and plays a role in the localization of E-cadherin to the junctions </t>
  </si>
  <si>
    <t>Functions as a spatial regulator of RAF1 kinase by sequestering it to the Golgi; demonstrated tumor suppressor effects via inhibition of Raf/MEK/ERK signaling (32021448); interacts with Nrf2 and Keap1 and promotes their association (27212020)</t>
  </si>
  <si>
    <t>catalyzes the hydrolysis of the endo- and exo-glycosidic bonds within the PAR polymers. Required to prevent detrimental accumulation of poly(ADP-ribose) upon prolonged replicative stress</t>
  </si>
  <si>
    <t>transcription factor, normally expressed in fetal kidney but downregulated at birth. functions to suppress programmed cell death during nephrogenesis</t>
  </si>
  <si>
    <t>A regulator of DNA repair during DNA replication. Following DNA damage, the interaction with PCNA is disrupted, facilitating the interaction between monoubiquitinated PCNA and the translesion DNA synthesis DNA polymerase eta (POLH) at stalled replisomes</t>
  </si>
  <si>
    <t xml:space="preserve">Inhibits translation initiation and cap-dependent translation; down-regulates the expression of MAP4K1, thus inhibiting events important in driving invasion, namely, MAPK85 activation and consequent JUN-dependent transcription (16449643). </t>
  </si>
  <si>
    <t xml:space="preserve">Tyrosine-protein kinase that acts as a cell-surface receptor for PDGFA, PDGFB and PDGFC and plays an essential role in the regulation of embryonic development, cell proliferation, survival and chemotaxis. </t>
  </si>
  <si>
    <t>catalyzes the deglycation of the Maillard adducts formed between amino groups of proteins or nucleotides and reactive carbonyl groups of glyoxals; functions as a protein deglycase that repairs methylglyoxal- and glyoxal-glycated proteins; inhibits p53 by sequestering p53 from promoters (23149933)</t>
  </si>
  <si>
    <t>Phosphorylates and activates a subgroup of the AGC family of protein kinases: (PKB/AKT1, PKB/AKT2, PKB/AKT3), p70 S6 kinase (RPS6KB1), p90 S6 kinase (RPS6KA1, RPS6KA2 and RPS6KA3), cyclic AMP-kinase (PRKACA), PKC (PRKCD and PRKCZ), SGK1, SGK2 and SGK3, p21-activated kinase-1 (PAK1), protein kinase PKN (PKN1 and PKN2).</t>
  </si>
  <si>
    <t>catalyzes the dephosphorylation of pyridoxine 5'-phosphate (PNP) and pyridoxamine 5'-phosphate (PMP)</t>
  </si>
  <si>
    <t>Phosphoinositide-3-kinase (PI3K) phosphorylates phosphatidylinositol (PI) and its phosphorylated derivatives at position 3 of the inositol ring to produce 3-phosphoinositides</t>
  </si>
  <si>
    <t xml:space="preserve">Binds to activated (phosphorylated) protein-Tyr kinases, through its SH2 domain, and acts as an adapter, mediating the association of the p110 catalytic unit to the plasma membrane. Stabilizes the PI3K protein heterodimers. </t>
  </si>
  <si>
    <t xml:space="preserve">Involved in cell survival and cell proliferation and thus provides a selective advantage in tumorigenesis. Involved in the regulation of MYC transcriptional activity, the regulation of cell cycle progression and by phosphorylation and inhibition of proapoptotic proteins (BAD, MAP3K5, FOXO3). </t>
  </si>
  <si>
    <t xml:space="preserve">Involved in cell survival and cell proliferation. Involved in the regulation of MYC transcriptional activity, cell cycle progression, cap-dependent protein translation and through survival signaling by phosphorylation of a pro-apoptotic protein, BAD. </t>
  </si>
  <si>
    <t>converts PEP to pyruvate; the ratio between the highly active tetrameric form and nearly inactive dimeric form determines whether glucose carbons are channeled to biosynthetic processes or used for glycolytic ATP production; in tumor cells, it tends to exist as dimer PKM2; acts as a protein kinase and phosphorylates proteins, including histones; and Bcl2 which prevents the subsequent degradation of Bcl2 (28035139).  </t>
  </si>
  <si>
    <t>important throughout M phase:  centrosome maturation, spindle assembly, the removal of cohesins, the inactivation of anaphase-promoting complex for mitotic exit and cytokinesis; suppresses the DNA damage response by inactivating the ATR/Chk1 pathway and the ATM/Chk2 pathway (16934469)</t>
  </si>
  <si>
    <t>A transcriptional target of p53 and activates a G2-M checkpoint; PLK2 physically binds to and phosphorylates TAp73 (26625870)</t>
  </si>
  <si>
    <t xml:space="preserve">Contributes to p53/TP53-dependent apoptosis after radiation exposure and chemotherapy. Promotes activation of caspases. </t>
  </si>
  <si>
    <r>
      <rPr>
        <sz val="11"/>
        <color rgb="FF000000"/>
        <rFont val="Calibri"/>
        <family val="2"/>
        <scheme val="minor"/>
      </rPr>
      <t>amyloidogenic</t>
    </r>
    <r>
      <rPr>
        <sz val="11"/>
        <color indexed="8"/>
        <rFont val="Calibri"/>
        <family val="2"/>
        <scheme val="minor"/>
      </rPr>
      <t xml:space="preserve"> protein that is expressed primarily in pigment cells of the skin and eye; undergoes proteolytic processing to generate </t>
    </r>
    <r>
      <rPr>
        <sz val="11"/>
        <color rgb="FF000000"/>
        <rFont val="Calibri"/>
        <family val="2"/>
        <scheme val="minor"/>
      </rPr>
      <t>fibrils</t>
    </r>
    <r>
      <rPr>
        <sz val="11"/>
        <color indexed="8"/>
        <rFont val="Calibri"/>
        <family val="2"/>
        <scheme val="minor"/>
      </rPr>
      <t xml:space="preserve"> in MVB </t>
    </r>
  </si>
  <si>
    <t>Heterodimerizes with MLH1 to form MutL alpha. DNA repair is initiated by MutS alpha (MSH2-MSH6) or MutS beta (MSH2-MSH3) binding to a dsDNA mismatch, then MutL alpha is recruited to the heteroduplex.</t>
  </si>
  <si>
    <t xml:space="preserve">A disulfide-linked secretory protein expressed in bone tissues as well as an ECM protein (12235007); supports the adhesion and migration </t>
  </si>
  <si>
    <t>Transcription factor that binds to the octamer motif (5'-ATTTGCAT-3'). A well‐known stem cell marker and functional role in mediating chemoresistance</t>
  </si>
  <si>
    <t>deactivates both p53 and Chk1 through site-specific dephosphorylation</t>
  </si>
  <si>
    <t>Regulatory subunit of the cAMP-dependent protein kinases involved in cAMP signaling in cells.</t>
  </si>
  <si>
    <t>A dsRNA-binding protein that impacts miRNA maturation through interactions with Dicer (23661684); activates EIF2AK2/PKR in the absence of dsRNA (11752660)</t>
  </si>
  <si>
    <t>cell surface marker,  identifies cancer-initiating cells in a number of other malignancies, plays a role in cell differentiation, proliferation and apoptosis</t>
  </si>
  <si>
    <t>Cationic trypsinogen 1. trypsin activates protease-activated receptor-2 (PAR-2); leading to ERK pathway (16691544, 20947888); degrading ECM upon activation</t>
  </si>
  <si>
    <t>a chemotactic phospholipid mediator that possesses potent inflammatory activity; promotes ovarian cancer cell proliferation and invasion; activates PKA, FAK and JAK2 (14617636)</t>
  </si>
  <si>
    <t>Acts as a receptor for sonic hedgehog (SHH), indian hedgehog (IHH) and desert hedgehog (DHH). Associates with the smoothened protein (SMO) to transduce the hedgehog's proteins signal.</t>
  </si>
  <si>
    <t>Tumor suppressor. Dual-specificity protein phosphatase; also a lipid phosphatase, removing the phosphate in the D3 position of the inositol ring from PIP3, PIP2, PI3-P and IP4</t>
  </si>
  <si>
    <t>Receptor for prostaglandin E2 (PGE2). The activity of this receptor can couple to both the inhibition of adenylate cyclase mediated by G(i) proteins, and to an elevation of intracellular calcium; an important mediator of immune regulation, epithelial cell growth and invasion</t>
  </si>
  <si>
    <t>a small GTPase of the Rab11 subfamily involved in endosomal recycling and trafficking pathways; involved in the regulation of cell survival. Promotes invasive migration of cells in which it functions to localize and maintain integrin alpha-V/beta-1 at the tips of extending pseudopodia</t>
  </si>
  <si>
    <t xml:space="preserve">Protein transport. Probably involved in vesicular traffic; binding of cisplatin to the
N-terminus of Ctr1 is followed by internalization which therefore represents the means for cisplatin uptake. </t>
  </si>
  <si>
    <t>a marker of recycling endosomes, key regulators of intracellular membrane trafficking; the translocation of TMEM205 may allow the exocytosis of platinum containing vesicles (12698203)</t>
  </si>
  <si>
    <t>Plasma membrane-associated small GTPase which cycles between active GTP-bound and inactive GDP-bound states. In its active state, binds to a variety of effector proteins to regulate cellular responses such as secretory processes, phagocytosis of apoptotic cells, epithelial cell polarization, neuron adhesion, migration and differentiation, and growth-factor induced formation of membrane ruffles</t>
  </si>
  <si>
    <t xml:space="preserve">Plays an important role in homologous strand exchange through HR. Binds to single and double-stranded DNA and exhibits DNA-dependent ATPase activity. Catalyzes the recognition of homology and strand exchange between homologous DNA partners to form a joint molecule between a processed DNA break and the repair template. </t>
  </si>
  <si>
    <t xml:space="preserve">Involved in the homologous recombination repair (HRR) pathway of double-stranded DNA breaks arising during DNA replication or induced by DNA-damaging agents. </t>
  </si>
  <si>
    <t xml:space="preserve">Essential for the homologous recombination (HR) pathway of DNA repair. Involved in the homologous recombination repair (HRR) pathway of double-stranded DNA breaks arising during DNA replication or induced by DNA-damaging agents. </t>
  </si>
  <si>
    <t>Potential tumor suppressor. Required for death receptor-dependent apoptosis. Mediates activation of STK3/MST2 and STK4/MST1 during Fas-induced apoptosis by preventing their dephosphorylation. A proapoptotic Ras effector and plays an important role in the apoptotic DNA damage response (DDR)</t>
  </si>
  <si>
    <t xml:space="preserve">Key regulator of entry into cell division that acts as a tumor suppressor. Promotes G0-G1 transition when phosphorylated by CDK3/cyclin-C. Acts as a transcription repressor of E2F1 target genes. </t>
  </si>
  <si>
    <t>regulates alternative splicing; SPF45 activation via MAP kinases may connect extracellular stimuli to alternative splicing events that may impact cancer.</t>
  </si>
  <si>
    <t>Cold-inducible mRNA binding protein that enhances global protein synthesis at both physiological and mild hypothermic temperatures. Reduces the relative abundance of microRNAs when overexpressed.</t>
  </si>
  <si>
    <t xml:space="preserve">DNA helicase that may play a role in the repair of DNA that is damaged by ultraviolet light or other mutagens. </t>
  </si>
  <si>
    <t xml:space="preserve">Receptor tyrosine-protein kinase involved in numerous cellular mechanisms including cell proliferation, neuronal navigation, cell migration, and cell differentiation upon binding with glial cell derived neurotrophic factor family ligands. </t>
  </si>
  <si>
    <t>transduces cell-death signals (programmed necrosis) following death receptors ligation. Conversely, the lysine (K) 63‐linked polyubiquitin chains serve as a docking site to mediate the formation of a complex upstream of NF‐κB that promotes the activation of pro‐survival signaling</t>
  </si>
  <si>
    <t>Polycomb repressive complex 1 (PRC1) core member Ring1b/Rnf2, with ubiquitin E3 ligase activity towards histone H2A at lysine 119, is essential for early embryogenesis. Important for the transcription repression of various genes involved in development and diifferentiation</t>
  </si>
  <si>
    <t>Has very low kinase activity in vitro. Receptor for ligand WNT5A which activates downstream NFkB signaling pathway and may result in the inhibition of WNT3A-mediated signaling</t>
  </si>
  <si>
    <t>early formation of chondrocytes; acts as a receptor for wnt ligand WNT5A which may result in the inhibition of WNT3A-mediated signaling (25029443).</t>
  </si>
  <si>
    <t>Component of the large ribosomal subunit; Alt-RPL36 downregulates the PI3K-AKT-mTOR signaling pathway by interacting with TMEM24 (33479206)</t>
  </si>
  <si>
    <t>Promotes G1/S phase progression during cell cycle via upregulation of the levels of cyclin D1 and CDK4 and promotes cell survival in co-operation with GNL1 (30061673); plays a critical role in the regulation of ‘non-ribosomal function’ like modulating p53-MDM2 pathways</t>
  </si>
  <si>
    <t>Ribosomal protein S4 is encoded by more than one gene, namely this gene and ribosomal protein S4, Y-linked (RPS4Y). Physically associates with SLFN11 and blocks the mTOR signaling pathway (32292519)</t>
  </si>
  <si>
    <t>Assembly and/or stability of the 40S ribosomal subunit. Also functions as a cell surface receptor for laminin: cell adhesion to the basement membrane and  signaling transduction pathways. </t>
  </si>
  <si>
    <t>The RUNX family of transcription factors, RUNX1-3, are essential regulators of cell fate during development. Binds to enhancers and promoters of LCK, IL3 and GM-CSF. Upregulates CDKN1A promoter activity following TGF-beta stimulation</t>
  </si>
  <si>
    <t>Involved in the regulation of a number of cellular processes such as cell cycle progression and differentiation. </t>
  </si>
  <si>
    <t>secreted by epithelial cells of the skin and is a key antimicrobial protein; regulates cell cycle progression and differentiation. High-molecular weight forms require transglutaminase activity (16778811)</t>
  </si>
  <si>
    <t>Tumor suppressor which functions to suppress MRTFA-induced SRF transcriptional activity. May function in the RHOA-DIAPH1 signal transduction pathway and regulate cell migration through transcriptional regulation of ITGB1. Inhibition of RIF1 by SCAI allows BRCA1-mediated repair (28700933)</t>
  </si>
  <si>
    <t>Iron-sulfur protein (IP) subunit of succinate dehydrogenase (SDH) that is involved in complex II of the mitochondrial electron transport chain and is responsible for transferring electrons from succinate to ubiquinone (coenzyme Q).</t>
  </si>
  <si>
    <t>Membrane-anchoring subunit of succinate dehydrogenase (SDH) that is involved in complex II of the mitochondrial electron transport chain and is responsible for transferring electrons from succinate to ubiquinone (coenzyme Q).</t>
  </si>
  <si>
    <t xml:space="preserve">Protease that catalyzes two essential functions in the SUMO pathway: maturation and deconjugation. </t>
  </si>
  <si>
    <t>papain-like cysteine protease inhibitor to modulate the host immune response against tumor cells; an inhibitor of UV-induced apoptosis via suppression of the activity of JNK1, it confers resistance to drug-induced apoptosis by inhibiting lysosomal cathepsin proteases</t>
  </si>
  <si>
    <t>Histone methyltransferase that specifically trimethylates 'Lys-36' of histone H3 (H3K36me3) using dimethylated 'Lys-36' (H3K36me2) as a substrate; MSH6 interacts with the H3K36me3 mark (23622243)</t>
  </si>
  <si>
    <t>14-3-3 protein sigma, when bound to KRT17, regulates protein synthesis and epithelial cell growth by stimulating Akt/mTOR pathway. May also regulate MDM2 autoubiquitination and degradation and thereby activate p53/TP53</t>
  </si>
  <si>
    <t>extracellular signaling molecules that antagonize Wnt signaling</t>
  </si>
  <si>
    <t>hormonal regulation of several ion channels and pumps; anti-apoptotic kinase: phosphorylates and inactivates the Foxo3a/FKRHL1; GSK3B which inhibits B-catenin; p53; IkB</t>
  </si>
  <si>
    <t>Isoform p66Shc does not mediate Ras activation, acts as a downstream target of the tumor suppressor p53 and is indispensable for the ability of stress-activated p53 to induce elevation of intracellular oxidants, cytochrome c release and apoptosis. </t>
  </si>
  <si>
    <t>longevity gene, induced by caloric restriction, regulates various cellular functions including DNA repair, cell survival and metabolism via the deacetylation of target proteins such as histone and p53</t>
  </si>
  <si>
    <t>Sodium-dependent amino acids transporter that takes in all neutral amino acids, including glutamine, asparagine, and branched-chain and aromatic amino acids, and excludes methylated, anionic, and cationic amino acids</t>
  </si>
  <si>
    <t>converts free long-chain fatty acids into fatty acyl-CoA esters, and thereby plays a key role in lipid biosynthesis and fatty acid degradation. </t>
  </si>
  <si>
    <t>cisplatin uptake/transporter</t>
  </si>
  <si>
    <t xml:space="preserve">Required for the function of light chain amino-acid transporters. When associated with SLC7A6 or SLC7A7 acts as an arginine/glutamine exchanger. It associates with integrins and mediates integrin-dependent signaling related to normal cell growth and tumorigenesis. </t>
  </si>
  <si>
    <t>Mediates the Na+-independent uptake of organic anions, involved in the clearance of bile acids and organic anions from the liver. Of particular importance for hepatic drug elimination</t>
  </si>
  <si>
    <t>several distinct roles in protecting genome stability by resolving diverse forms of deleterious DNA structures originating from replication and recombination intermediates and from DNA damage.</t>
  </si>
  <si>
    <t xml:space="preserve">In muscle physiology, plays a central role in the balance between atrophy and hypertrophy. When recruited by MSTN, promotes atrophy response via phosphorylated SMAD2/4. MSTN decrease causes SMAD4 release and subsequent recruitment by the BMP pathway to promote hypertrophy via phosphorylated SMAD1/5/8. </t>
  </si>
  <si>
    <t>transcriptional activation and repression of select genes by chromatin remodeling, component of SWI/SNF chromatin remodeling complexes; involved in antioxidant and redox signaling (33014273)</t>
  </si>
  <si>
    <t xml:space="preserve">G protein-coupled receptor that probably associates with the patched protein (PTCH) and initiates a signaling cascade leading to the activation and nuclear translocation of Gli which mediates transcription of genes controlling cell proliferation, differentiation and survival. </t>
  </si>
  <si>
    <t>Destroys radicals which are normally produced within the cells and which are toxic to biological systems.</t>
  </si>
  <si>
    <t>transcription factor in the regulation of embryonic development and in the determination of the cell fate; interferes with Wnt/β-catenin signaling (22767186)</t>
  </si>
  <si>
    <t>Transcription factor that plays a key role in chondrocytes differentiation and skeletal development. A master transcription factor that regulates development and stem cell programs.</t>
  </si>
  <si>
    <t>calcium binding glycoprotein; antiadhesive and antiproliferative; regulates cell growth through interactions with the ECM and cytokines. Binds copper, several types of collagen, albumin, thrombospondin, PDGF and cell membranes. </t>
  </si>
  <si>
    <t>transcriptional target of p53, inhibits tumor cell growth and migration/invasion; promotes cell apoptosis in vivo and in vitro</t>
  </si>
  <si>
    <t>Autophagy receptor required for selective macroautophagy (aggrephagy). Functions as a bridge between polyubiquitinated cargo and autophagosomes; p62 accumulation may activate transcription factor Nrf2 (25269472) and the activity of the nuclear factor kappa B (NF‐κB) (28498503)</t>
  </si>
  <si>
    <t>Serine/arginine-rich protein-specific kinase specifically phosphorylates serine in arginine/serine-rich RS domains and phosphorylates SR splicing factors and regulates splicing. </t>
  </si>
  <si>
    <r>
      <rPr>
        <b/>
        <sz val="11"/>
        <color theme="1"/>
        <rFont val="Calibri"/>
        <family val="2"/>
        <scheme val="minor"/>
      </rPr>
      <t>1) AATF</t>
    </r>
    <r>
      <rPr>
        <sz val="11"/>
        <color theme="1"/>
        <rFont val="Calibri"/>
        <family val="2"/>
        <scheme val="minor"/>
      </rPr>
      <t xml:space="preserve"> amplification is associated with increased resistance of lung cancer cell lines against </t>
    </r>
    <r>
      <rPr>
        <b/>
        <sz val="11"/>
        <color theme="1"/>
        <rFont val="Calibri"/>
        <family val="2"/>
        <scheme val="minor"/>
      </rPr>
      <t>cisplatin</t>
    </r>
    <r>
      <rPr>
        <sz val="11"/>
        <color theme="1"/>
        <rFont val="Calibri"/>
        <family val="2"/>
        <scheme val="minor"/>
      </rPr>
      <t>. </t>
    </r>
    <r>
      <rPr>
        <b/>
        <sz val="11"/>
        <color theme="1"/>
        <rFont val="Calibri"/>
        <family val="2"/>
        <scheme val="minor"/>
      </rPr>
      <t>2)</t>
    </r>
    <r>
      <rPr>
        <sz val="11"/>
        <color theme="1"/>
        <rFont val="Calibri"/>
        <family val="2"/>
        <scheme val="minor"/>
      </rPr>
      <t xml:space="preserve"> </t>
    </r>
    <r>
      <rPr>
        <b/>
        <sz val="11"/>
        <color theme="1"/>
        <rFont val="Calibri"/>
        <family val="2"/>
        <scheme val="minor"/>
      </rPr>
      <t>p53</t>
    </r>
    <r>
      <rPr>
        <sz val="11"/>
        <color theme="1"/>
        <rFont val="Calibri"/>
        <family val="2"/>
        <scheme val="minor"/>
      </rPr>
      <t xml:space="preserve"> expression might be increased by the apoptosis-antagonizing transcription factor (</t>
    </r>
    <r>
      <rPr>
        <b/>
        <sz val="11"/>
        <color theme="1"/>
        <rFont val="Calibri"/>
        <family val="2"/>
        <scheme val="minor"/>
      </rPr>
      <t>AATF</t>
    </r>
    <r>
      <rPr>
        <sz val="11"/>
        <color theme="1"/>
        <rFont val="Calibri"/>
        <family val="2"/>
        <scheme val="minor"/>
      </rPr>
      <t>, also known as CHE-1), which is phosphorylated and activated by</t>
    </r>
    <r>
      <rPr>
        <b/>
        <sz val="11"/>
        <color theme="1"/>
        <rFont val="Calibri"/>
        <family val="2"/>
        <scheme val="minor"/>
      </rPr>
      <t xml:space="preserve"> CHK2</t>
    </r>
    <r>
      <rPr>
        <sz val="11"/>
        <color theme="1"/>
        <rFont val="Calibri"/>
        <family val="2"/>
        <scheme val="minor"/>
      </rPr>
      <t xml:space="preserve"> and </t>
    </r>
    <r>
      <rPr>
        <b/>
        <sz val="11"/>
        <color theme="1"/>
        <rFont val="Calibri"/>
        <family val="2"/>
        <scheme val="minor"/>
      </rPr>
      <t>ATM</t>
    </r>
    <r>
      <rPr>
        <sz val="11"/>
        <color theme="1"/>
        <rFont val="Calibri"/>
        <family val="2"/>
        <scheme val="minor"/>
      </rPr>
      <t xml:space="preserve"> in response to DNA-damaging agents. </t>
    </r>
    <r>
      <rPr>
        <b/>
        <sz val="11"/>
        <color theme="1"/>
        <rFont val="Calibri"/>
        <family val="2"/>
        <scheme val="minor"/>
      </rPr>
      <t>3) AATF</t>
    </r>
    <r>
      <rPr>
        <sz val="11"/>
        <color theme="1"/>
        <rFont val="Calibri"/>
        <family val="2"/>
        <scheme val="minor"/>
      </rPr>
      <t xml:space="preserve"> negatively regulates </t>
    </r>
    <r>
      <rPr>
        <b/>
        <sz val="11"/>
        <color theme="1"/>
        <rFont val="Calibri"/>
        <family val="2"/>
        <scheme val="minor"/>
      </rPr>
      <t>p53</t>
    </r>
    <r>
      <rPr>
        <sz val="11"/>
        <color theme="1"/>
        <rFont val="Calibri"/>
        <family val="2"/>
        <scheme val="minor"/>
      </rPr>
      <t xml:space="preserve">-driven apoptosis by preventing efficient DNA damage-induced transactivation of the pro-apoptotic p53 target genes </t>
    </r>
    <r>
      <rPr>
        <b/>
        <sz val="11"/>
        <color theme="1"/>
        <rFont val="Calibri"/>
        <family val="2"/>
        <scheme val="minor"/>
      </rPr>
      <t>PUMA, BAX</t>
    </r>
    <r>
      <rPr>
        <sz val="11"/>
        <color theme="1"/>
        <rFont val="Calibri"/>
        <family val="2"/>
        <scheme val="minor"/>
      </rPr>
      <t xml:space="preserve"> and </t>
    </r>
    <r>
      <rPr>
        <b/>
        <sz val="11"/>
        <color theme="1"/>
        <rFont val="Calibri"/>
        <family val="2"/>
        <scheme val="minor"/>
      </rPr>
      <t>BAK</t>
    </r>
    <r>
      <rPr>
        <sz val="11"/>
        <color theme="1"/>
        <rFont val="Calibri"/>
        <family val="2"/>
        <scheme val="minor"/>
      </rPr>
      <t xml:space="preserve">. </t>
    </r>
    <r>
      <rPr>
        <b/>
        <sz val="11"/>
        <color theme="1"/>
        <rFont val="Calibri"/>
        <family val="2"/>
        <scheme val="minor"/>
      </rPr>
      <t>4) AATF</t>
    </r>
    <r>
      <rPr>
        <sz val="11"/>
        <color theme="1"/>
        <rFont val="Calibri"/>
        <family val="2"/>
        <scheme val="minor"/>
      </rPr>
      <t xml:space="preserve"> amplification in tumours results in worse prognosis of </t>
    </r>
    <r>
      <rPr>
        <b/>
        <sz val="11"/>
        <color theme="1"/>
        <rFont val="Calibri"/>
        <family val="2"/>
        <scheme val="minor"/>
      </rPr>
      <t>neuroblastoma</t>
    </r>
    <r>
      <rPr>
        <sz val="11"/>
        <color theme="1"/>
        <rFont val="Calibri"/>
        <family val="2"/>
        <scheme val="minor"/>
      </rPr>
      <t xml:space="preserve"> patients. </t>
    </r>
  </si>
  <si>
    <r>
      <rPr>
        <b/>
        <sz val="11"/>
        <color theme="1"/>
        <rFont val="Calibri"/>
        <family val="2"/>
        <scheme val="minor"/>
      </rPr>
      <t>1)</t>
    </r>
    <r>
      <rPr>
        <sz val="11"/>
        <color theme="1"/>
        <rFont val="Calibri"/>
        <family val="2"/>
        <scheme val="minor"/>
      </rPr>
      <t xml:space="preserve"> The mRNA for </t>
    </r>
    <r>
      <rPr>
        <b/>
        <sz val="11"/>
        <color theme="1"/>
        <rFont val="Calibri"/>
        <family val="2"/>
        <scheme val="minor"/>
      </rPr>
      <t>MDR-1</t>
    </r>
    <r>
      <rPr>
        <sz val="11"/>
        <color theme="1"/>
        <rFont val="Calibri"/>
        <family val="2"/>
        <scheme val="minor"/>
      </rPr>
      <t xml:space="preserve"> was uniquely overexpressed in the cisplatin-resistant cell line A2780-CR9 initially treated with low doses of</t>
    </r>
    <r>
      <rPr>
        <b/>
        <sz val="11"/>
        <color theme="1"/>
        <rFont val="Calibri"/>
        <family val="2"/>
        <scheme val="minor"/>
      </rPr>
      <t xml:space="preserve"> cisplatin</t>
    </r>
    <r>
      <rPr>
        <sz val="11"/>
        <color theme="1"/>
        <rFont val="Calibri"/>
        <family val="2"/>
        <scheme val="minor"/>
      </rPr>
      <t xml:space="preserve"> and paclitaxel, but was not amplified in A2780 (P &lt; 0.01). </t>
    </r>
    <r>
      <rPr>
        <b/>
        <sz val="11"/>
        <color theme="1"/>
        <rFont val="Calibri"/>
        <family val="2"/>
        <scheme val="minor"/>
      </rPr>
      <t xml:space="preserve">2) </t>
    </r>
    <r>
      <rPr>
        <sz val="11"/>
        <color theme="1"/>
        <rFont val="Calibri"/>
        <family val="2"/>
        <scheme val="minor"/>
      </rPr>
      <t xml:space="preserve">Inhibition of P-gp and GST expression by siRNA enhanced the intracellular accumulation of and restored sensitivity to DDP. In </t>
    </r>
    <r>
      <rPr>
        <b/>
        <sz val="11"/>
        <color theme="1"/>
        <rFont val="Calibri"/>
        <family val="2"/>
        <scheme val="minor"/>
      </rPr>
      <t xml:space="preserve">3) </t>
    </r>
    <r>
      <rPr>
        <sz val="11"/>
        <color theme="1"/>
        <rFont val="Calibri"/>
        <family val="2"/>
        <scheme val="minor"/>
      </rPr>
      <t xml:space="preserve">8/16 paired </t>
    </r>
    <r>
      <rPr>
        <b/>
        <sz val="11"/>
        <color theme="1"/>
        <rFont val="Calibri"/>
        <family val="2"/>
        <scheme val="minor"/>
      </rPr>
      <t>esophageal</t>
    </r>
    <r>
      <rPr>
        <sz val="11"/>
        <color theme="1"/>
        <rFont val="Calibri"/>
        <family val="2"/>
        <scheme val="minor"/>
      </rPr>
      <t xml:space="preserve"> biopsies, there was an increase in </t>
    </r>
    <r>
      <rPr>
        <b/>
        <sz val="11"/>
        <color theme="1"/>
        <rFont val="Calibri"/>
        <family val="2"/>
        <scheme val="minor"/>
      </rPr>
      <t>MDR1</t>
    </r>
    <r>
      <rPr>
        <sz val="11"/>
        <color theme="1"/>
        <rFont val="Calibri"/>
        <family val="2"/>
        <scheme val="minor"/>
      </rPr>
      <t xml:space="preserve"> following epirubicin + </t>
    </r>
    <r>
      <rPr>
        <b/>
        <sz val="11"/>
        <color theme="1"/>
        <rFont val="Calibri"/>
        <family val="2"/>
        <scheme val="minor"/>
      </rPr>
      <t>cisplatin</t>
    </r>
    <r>
      <rPr>
        <sz val="11"/>
        <color theme="1"/>
        <rFont val="Calibri"/>
        <family val="2"/>
        <scheme val="minor"/>
      </rPr>
      <t xml:space="preserve"> + 5-fluorouracil (ECF) chemotherapy. </t>
    </r>
    <r>
      <rPr>
        <b/>
        <sz val="11"/>
        <color theme="1"/>
        <rFont val="Calibri"/>
        <family val="2"/>
        <scheme val="minor"/>
      </rPr>
      <t>4) P-glycoprotein</t>
    </r>
    <r>
      <rPr>
        <sz val="11"/>
        <color theme="1"/>
        <rFont val="Calibri"/>
        <family val="2"/>
        <scheme val="minor"/>
      </rPr>
      <t xml:space="preserve"> negative cases responded significantly better to </t>
    </r>
    <r>
      <rPr>
        <b/>
        <sz val="11"/>
        <color theme="1"/>
        <rFont val="Calibri"/>
        <family val="2"/>
        <scheme val="minor"/>
      </rPr>
      <t>cisplatin</t>
    </r>
    <r>
      <rPr>
        <sz val="11"/>
        <color theme="1"/>
        <rFont val="Calibri"/>
        <family val="2"/>
        <scheme val="minor"/>
      </rPr>
      <t xml:space="preserve">-based chemotherapy (P &lt; .001) in advanced </t>
    </r>
    <r>
      <rPr>
        <b/>
        <sz val="11"/>
        <color theme="1"/>
        <rFont val="Calibri"/>
        <family val="2"/>
        <scheme val="minor"/>
      </rPr>
      <t>ovarian</t>
    </r>
    <r>
      <rPr>
        <sz val="11"/>
        <color theme="1"/>
        <rFont val="Calibri"/>
        <family val="2"/>
        <scheme val="minor"/>
      </rPr>
      <t xml:space="preserve"> cancer. In the multivariate survival analysis </t>
    </r>
    <r>
      <rPr>
        <b/>
        <sz val="11"/>
        <color theme="1"/>
        <rFont val="Calibri"/>
        <family val="2"/>
        <scheme val="minor"/>
      </rPr>
      <t>P-glycoprotein</t>
    </r>
    <r>
      <rPr>
        <sz val="11"/>
        <color theme="1"/>
        <rFont val="Calibri"/>
        <family val="2"/>
        <scheme val="minor"/>
      </rPr>
      <t xml:space="preserve"> expression was an independent predictor of both overall (P = .045) and progression free (P = .006) survival. </t>
    </r>
    <r>
      <rPr>
        <b/>
        <sz val="11"/>
        <color theme="1"/>
        <rFont val="Calibri"/>
        <family val="2"/>
        <scheme val="minor"/>
      </rPr>
      <t xml:space="preserve">5) </t>
    </r>
    <r>
      <rPr>
        <sz val="11"/>
        <color theme="1"/>
        <rFont val="Calibri"/>
        <family val="2"/>
        <scheme val="minor"/>
      </rPr>
      <t xml:space="preserve">gene polymorphisms in </t>
    </r>
    <r>
      <rPr>
        <b/>
        <sz val="11"/>
        <color theme="1"/>
        <rFont val="Calibri"/>
        <family val="2"/>
        <scheme val="minor"/>
      </rPr>
      <t xml:space="preserve">MDR1G2677T/A </t>
    </r>
    <r>
      <rPr>
        <sz val="11"/>
        <color theme="1"/>
        <rFont val="Calibri"/>
        <family val="2"/>
        <scheme val="minor"/>
      </rPr>
      <t xml:space="preserve">may be a predictive marker of </t>
    </r>
    <r>
      <rPr>
        <b/>
        <sz val="11"/>
        <color theme="1"/>
        <rFont val="Calibri"/>
        <family val="2"/>
        <scheme val="minor"/>
      </rPr>
      <t>platinum</t>
    </r>
    <r>
      <rPr>
        <sz val="11"/>
        <color theme="1"/>
        <rFont val="Calibri"/>
        <family val="2"/>
        <scheme val="minor"/>
      </rPr>
      <t xml:space="preserve">-based treatment response and of secondary effects, especially gastrointestinal toxicity for advanced </t>
    </r>
    <r>
      <rPr>
        <b/>
        <sz val="11"/>
        <color theme="1"/>
        <rFont val="Calibri"/>
        <family val="2"/>
        <scheme val="minor"/>
      </rPr>
      <t>NSCLC</t>
    </r>
    <r>
      <rPr>
        <sz val="11"/>
        <color theme="1"/>
        <rFont val="Calibri"/>
        <family val="2"/>
        <scheme val="minor"/>
      </rPr>
      <t xml:space="preserve"> patients.</t>
    </r>
  </si>
  <si>
    <r>
      <rPr>
        <b/>
        <sz val="11"/>
        <color theme="1"/>
        <rFont val="Calibri"/>
        <family val="2"/>
        <scheme val="minor"/>
      </rPr>
      <t>1)</t>
    </r>
    <r>
      <rPr>
        <sz val="11"/>
        <color theme="1"/>
        <rFont val="Calibri"/>
        <family val="2"/>
        <scheme val="minor"/>
      </rPr>
      <t xml:space="preserve"> Compared to differentiated/adherent cells (AC), </t>
    </r>
    <r>
      <rPr>
        <b/>
        <sz val="11"/>
        <color theme="1"/>
        <rFont val="Calibri"/>
        <family val="2"/>
        <scheme val="minor"/>
      </rPr>
      <t>MPM</t>
    </r>
    <r>
      <rPr>
        <sz val="11"/>
        <color theme="1"/>
        <rFont val="Calibri"/>
        <family val="2"/>
        <scheme val="minor"/>
      </rPr>
      <t xml:space="preserve">-initiating cells (ICs) had upregulated the drug efflux transporter </t>
    </r>
    <r>
      <rPr>
        <b/>
        <sz val="11"/>
        <color theme="1"/>
        <rFont val="Calibri"/>
        <family val="2"/>
        <scheme val="minor"/>
      </rPr>
      <t>ABCB5</t>
    </r>
    <r>
      <rPr>
        <sz val="11"/>
        <color theme="1"/>
        <rFont val="Calibri"/>
        <family val="2"/>
        <scheme val="minor"/>
      </rPr>
      <t xml:space="preserve"> that determined resistance to </t>
    </r>
    <r>
      <rPr>
        <b/>
        <sz val="11"/>
        <color theme="1"/>
        <rFont val="Calibri"/>
        <family val="2"/>
        <scheme val="minor"/>
      </rPr>
      <t>cisplatin</t>
    </r>
    <r>
      <rPr>
        <sz val="11"/>
        <color theme="1"/>
        <rFont val="Calibri"/>
        <family val="2"/>
        <scheme val="minor"/>
      </rPr>
      <t xml:space="preserve"> and pemetrexed. </t>
    </r>
    <r>
      <rPr>
        <b/>
        <sz val="11"/>
        <color theme="1"/>
        <rFont val="Calibri"/>
        <family val="2"/>
        <scheme val="minor"/>
      </rPr>
      <t>2) ABCB5</t>
    </r>
    <r>
      <rPr>
        <sz val="11"/>
        <color theme="1"/>
        <rFont val="Calibri"/>
        <family val="2"/>
        <scheme val="minor"/>
      </rPr>
      <t xml:space="preserve">-knocked-out (KO) IC clones were resensitized to the drugs in vitro and in patient-derived xenografts. </t>
    </r>
    <r>
      <rPr>
        <b/>
        <sz val="11"/>
        <color theme="1"/>
        <rFont val="Calibri"/>
        <family val="2"/>
        <scheme val="minor"/>
      </rPr>
      <t>3) ABCB5</t>
    </r>
    <r>
      <rPr>
        <sz val="11"/>
        <color theme="1"/>
        <rFont val="Calibri"/>
        <family val="2"/>
        <scheme val="minor"/>
      </rPr>
      <t xml:space="preserve"> was transcriptionally activated by the </t>
    </r>
    <r>
      <rPr>
        <b/>
        <sz val="11"/>
        <color theme="1"/>
        <rFont val="Calibri"/>
        <family val="2"/>
        <scheme val="minor"/>
      </rPr>
      <t>Wnt/GSK3β/β-catenin/c-myc</t>
    </r>
    <r>
      <rPr>
        <sz val="11"/>
        <color theme="1"/>
        <rFont val="Calibri"/>
        <family val="2"/>
        <scheme val="minor"/>
      </rPr>
      <t xml:space="preserve"> axis that also increased </t>
    </r>
    <r>
      <rPr>
        <b/>
        <sz val="11"/>
        <color theme="1"/>
        <rFont val="Calibri"/>
        <family val="2"/>
        <scheme val="minor"/>
      </rPr>
      <t>IL-8</t>
    </r>
    <r>
      <rPr>
        <sz val="11"/>
        <color theme="1"/>
        <rFont val="Calibri"/>
        <family val="2"/>
        <scheme val="minor"/>
      </rPr>
      <t xml:space="preserve"> and </t>
    </r>
    <r>
      <rPr>
        <b/>
        <sz val="11"/>
        <color theme="1"/>
        <rFont val="Calibri"/>
        <family val="2"/>
        <scheme val="minor"/>
      </rPr>
      <t>IL-1β</t>
    </r>
    <r>
      <rPr>
        <sz val="11"/>
        <color theme="1"/>
        <rFont val="Calibri"/>
        <family val="2"/>
        <scheme val="minor"/>
      </rPr>
      <t xml:space="preserve"> production. </t>
    </r>
    <r>
      <rPr>
        <b/>
        <sz val="11"/>
        <color theme="1"/>
        <rFont val="Calibri"/>
        <family val="2"/>
        <scheme val="minor"/>
      </rPr>
      <t>4)</t>
    </r>
    <r>
      <rPr>
        <sz val="11"/>
        <color theme="1"/>
        <rFont val="Calibri"/>
        <family val="2"/>
        <scheme val="minor"/>
      </rPr>
      <t xml:space="preserve"> IL-8 and IL-1β-KO IC clones reduced the c-myc-driven transcription of </t>
    </r>
    <r>
      <rPr>
        <b/>
        <sz val="11"/>
        <color theme="1"/>
        <rFont val="Calibri"/>
        <family val="2"/>
        <scheme val="minor"/>
      </rPr>
      <t>ABCB5</t>
    </r>
    <r>
      <rPr>
        <sz val="11"/>
        <color theme="1"/>
        <rFont val="Calibri"/>
        <family val="2"/>
        <scheme val="minor"/>
      </rPr>
      <t xml:space="preserve"> and reacquired chemosensitivity. </t>
    </r>
    <r>
      <rPr>
        <b/>
        <sz val="11"/>
        <color theme="1"/>
        <rFont val="Calibri"/>
        <family val="2"/>
        <scheme val="minor"/>
      </rPr>
      <t>5) ABCB5</t>
    </r>
    <r>
      <rPr>
        <sz val="11"/>
        <color theme="1"/>
        <rFont val="Calibri"/>
        <family val="2"/>
        <scheme val="minor"/>
      </rPr>
      <t xml:space="preserve">-KO clones had lower IL-8 and IL-1β secretion, and c-myc transcriptional activity, suggesting that either Wnt/GSK3β/β-catenin and IL-8/IL-1β signaling drive c-myc-mediated transcription of ABCB5. </t>
    </r>
    <r>
      <rPr>
        <b/>
        <sz val="11"/>
        <color theme="1"/>
        <rFont val="Calibri"/>
        <family val="2"/>
        <scheme val="minor"/>
      </rPr>
      <t>6) ABCB5</t>
    </r>
    <r>
      <rPr>
        <sz val="11"/>
        <color theme="1"/>
        <rFont val="Calibri"/>
        <family val="2"/>
        <scheme val="minor"/>
      </rPr>
      <t xml:space="preserve"> correlated with lower time-to-progression and overall survival in MPM </t>
    </r>
    <r>
      <rPr>
        <b/>
        <sz val="11"/>
        <color theme="1"/>
        <rFont val="Calibri"/>
        <family val="2"/>
        <scheme val="minor"/>
      </rPr>
      <t>patients</t>
    </r>
    <r>
      <rPr>
        <sz val="11"/>
        <color theme="1"/>
        <rFont val="Calibri"/>
        <family val="2"/>
        <scheme val="minor"/>
      </rPr>
      <t xml:space="preserve"> treated with </t>
    </r>
    <r>
      <rPr>
        <b/>
        <sz val="11"/>
        <color theme="1"/>
        <rFont val="Calibri"/>
        <family val="2"/>
        <scheme val="minor"/>
      </rPr>
      <t>cisplatin</t>
    </r>
    <r>
      <rPr>
        <sz val="11"/>
        <color theme="1"/>
        <rFont val="Calibri"/>
        <family val="2"/>
        <scheme val="minor"/>
      </rPr>
      <t xml:space="preserve"> and pemetrexed. </t>
    </r>
  </si>
  <si>
    <r>
      <rPr>
        <b/>
        <sz val="11"/>
        <color theme="1"/>
        <rFont val="Calibri"/>
        <family val="2"/>
        <scheme val="minor"/>
      </rPr>
      <t xml:space="preserve">1) </t>
    </r>
    <r>
      <rPr>
        <sz val="11"/>
        <color theme="1"/>
        <rFont val="Calibri"/>
        <family val="2"/>
        <scheme val="minor"/>
      </rPr>
      <t xml:space="preserve">99 non-small cell </t>
    </r>
    <r>
      <rPr>
        <b/>
        <sz val="11"/>
        <color theme="1"/>
        <rFont val="Calibri"/>
        <family val="2"/>
        <scheme val="minor"/>
      </rPr>
      <t>lung</t>
    </r>
    <r>
      <rPr>
        <sz val="11"/>
        <color theme="1"/>
        <rFont val="Calibri"/>
        <family val="2"/>
        <scheme val="minor"/>
      </rPr>
      <t xml:space="preserve"> cancer NSCLC fresh tissue samples were tested for chemosensitivity by MTT assay. </t>
    </r>
    <r>
      <rPr>
        <b/>
        <sz val="11"/>
        <color theme="1"/>
        <rFont val="Calibri"/>
        <family val="2"/>
        <scheme val="minor"/>
      </rPr>
      <t>2)</t>
    </r>
    <r>
      <rPr>
        <sz val="11"/>
        <color theme="1"/>
        <rFont val="Calibri"/>
        <family val="2"/>
        <scheme val="minor"/>
      </rPr>
      <t xml:space="preserve"> cDNA microarray was done with 5 samples with highest resistance and 6 samples with highest sensitivity. </t>
    </r>
    <r>
      <rPr>
        <b/>
        <sz val="11"/>
        <color theme="1"/>
        <rFont val="Calibri"/>
        <family val="2"/>
        <scheme val="minor"/>
      </rPr>
      <t xml:space="preserve">3) </t>
    </r>
    <r>
      <rPr>
        <sz val="11"/>
        <color theme="1"/>
        <rFont val="Calibri"/>
        <family val="2"/>
        <scheme val="minor"/>
      </rPr>
      <t>44 genes were upregulated and 168 downregulated in the chemotherapy-resistant group.</t>
    </r>
    <r>
      <rPr>
        <b/>
        <sz val="11"/>
        <color theme="1"/>
        <rFont val="Calibri"/>
        <family val="2"/>
        <scheme val="minor"/>
      </rPr>
      <t> 4) ABCC3</t>
    </r>
    <r>
      <rPr>
        <sz val="11"/>
        <color theme="1"/>
        <rFont val="Calibri"/>
        <family val="2"/>
        <scheme val="minor"/>
      </rPr>
      <t> was one of the most up-regulated genes in the resistant group. </t>
    </r>
    <r>
      <rPr>
        <b/>
        <sz val="11"/>
        <color theme="1"/>
        <rFont val="Calibri"/>
        <family val="2"/>
        <scheme val="minor"/>
      </rPr>
      <t>5) ABCC3</t>
    </r>
    <r>
      <rPr>
        <sz val="11"/>
        <color theme="1"/>
        <rFont val="Calibri"/>
        <family val="2"/>
        <scheme val="minor"/>
      </rPr>
      <t>-positive expression correlated with lymph node involvement, advanced TNM stage, more malignant histological type, multiple-resistance to anti-cancer drugs, and reduced OS. </t>
    </r>
    <r>
      <rPr>
        <b/>
        <sz val="11"/>
        <color theme="1"/>
        <rFont val="Calibri"/>
        <family val="2"/>
        <scheme val="minor"/>
      </rPr>
      <t>6)</t>
    </r>
    <r>
      <rPr>
        <sz val="11"/>
        <color theme="1"/>
        <rFont val="Calibri"/>
        <family val="2"/>
        <scheme val="minor"/>
      </rPr>
      <t xml:space="preserve"> The two </t>
    </r>
    <r>
      <rPr>
        <b/>
        <sz val="11"/>
        <color theme="1"/>
        <rFont val="Calibri"/>
        <family val="2"/>
        <scheme val="minor"/>
      </rPr>
      <t>MRP3</t>
    </r>
    <r>
      <rPr>
        <sz val="11"/>
        <color theme="1"/>
        <rFont val="Calibri"/>
        <family val="2"/>
        <scheme val="minor"/>
      </rPr>
      <t xml:space="preserve"> antisense transfectants showed 2- to 5-fold increases in drug sensitivity to etoposide and </t>
    </r>
    <r>
      <rPr>
        <b/>
        <sz val="11"/>
        <color theme="1"/>
        <rFont val="Calibri"/>
        <family val="2"/>
        <scheme val="minor"/>
      </rPr>
      <t>cisplatin</t>
    </r>
    <r>
      <rPr>
        <sz val="11"/>
        <color theme="1"/>
        <rFont val="Calibri"/>
        <family val="2"/>
        <scheme val="minor"/>
      </rPr>
      <t xml:space="preserve"> compared with </t>
    </r>
    <r>
      <rPr>
        <b/>
        <sz val="11"/>
        <color theme="1"/>
        <rFont val="Calibri"/>
        <family val="2"/>
        <scheme val="minor"/>
      </rPr>
      <t>glioma</t>
    </r>
    <r>
      <rPr>
        <sz val="11"/>
        <color theme="1"/>
        <rFont val="Calibri"/>
        <family val="2"/>
        <scheme val="minor"/>
      </rPr>
      <t xml:space="preserve"> NHG2 cells. </t>
    </r>
    <r>
      <rPr>
        <b/>
        <sz val="11"/>
        <color theme="1"/>
        <rFont val="Calibri"/>
        <family val="2"/>
        <scheme val="minor"/>
      </rPr>
      <t>7)</t>
    </r>
    <r>
      <rPr>
        <sz val="11"/>
        <color theme="1"/>
        <rFont val="Calibri"/>
        <family val="2"/>
        <scheme val="minor"/>
      </rPr>
      <t xml:space="preserve"> Two </t>
    </r>
    <r>
      <rPr>
        <b/>
        <sz val="11"/>
        <color theme="1"/>
        <rFont val="Calibri"/>
        <family val="2"/>
        <scheme val="minor"/>
      </rPr>
      <t>MRP3</t>
    </r>
    <r>
      <rPr>
        <sz val="11"/>
        <color theme="1"/>
        <rFont val="Calibri"/>
        <family val="2"/>
        <scheme val="minor"/>
      </rPr>
      <t xml:space="preserve"> cDNA sense transfectants of pig </t>
    </r>
    <r>
      <rPr>
        <b/>
        <sz val="11"/>
        <color theme="1"/>
        <rFont val="Calibri"/>
        <family val="2"/>
        <scheme val="minor"/>
      </rPr>
      <t>kidney</t>
    </r>
    <r>
      <rPr>
        <sz val="11"/>
        <color theme="1"/>
        <rFont val="Calibri"/>
        <family val="2"/>
        <scheme val="minor"/>
      </rPr>
      <t xml:space="preserve"> cell lines showed 4- to 6-fold drug resistance to etoposide, but only 1.4- to 1.5-fold to </t>
    </r>
    <r>
      <rPr>
        <b/>
        <sz val="11"/>
        <color theme="1"/>
        <rFont val="Calibri"/>
        <family val="2"/>
        <scheme val="minor"/>
      </rPr>
      <t>cisplatin</t>
    </r>
    <r>
      <rPr>
        <sz val="11"/>
        <color theme="1"/>
        <rFont val="Calibri"/>
        <family val="2"/>
        <scheme val="minor"/>
      </rPr>
      <t xml:space="preserve">. </t>
    </r>
    <r>
      <rPr>
        <b/>
        <sz val="11"/>
        <color theme="1"/>
        <rFont val="Calibri"/>
        <family val="2"/>
        <scheme val="minor"/>
      </rPr>
      <t xml:space="preserve">8) </t>
    </r>
    <r>
      <rPr>
        <sz val="11"/>
        <color theme="1"/>
        <rFont val="Calibri"/>
        <family val="2"/>
        <scheme val="minor"/>
      </rPr>
      <t xml:space="preserve">In situ hybridization revealed that glioma cells were stained with </t>
    </r>
    <r>
      <rPr>
        <b/>
        <sz val="11"/>
        <color theme="1"/>
        <rFont val="Calibri"/>
        <family val="2"/>
        <scheme val="minor"/>
      </rPr>
      <t>MRP3</t>
    </r>
    <r>
      <rPr>
        <sz val="11"/>
        <color theme="1"/>
        <rFont val="Calibri"/>
        <family val="2"/>
        <scheme val="minor"/>
      </rPr>
      <t xml:space="preserve"> probe. </t>
    </r>
    <r>
      <rPr>
        <b/>
        <sz val="11"/>
        <color theme="1"/>
        <rFont val="Calibri"/>
        <family val="2"/>
        <scheme val="minor"/>
      </rPr>
      <t>MRP3</t>
    </r>
    <r>
      <rPr>
        <sz val="11"/>
        <color theme="1"/>
        <rFont val="Calibri"/>
        <family val="2"/>
        <scheme val="minor"/>
      </rPr>
      <t xml:space="preserve"> may modulate drug sensitivity to certain anticancer agents in human </t>
    </r>
    <r>
      <rPr>
        <b/>
        <sz val="11"/>
        <color theme="1"/>
        <rFont val="Calibri"/>
        <family val="2"/>
        <scheme val="minor"/>
      </rPr>
      <t>glioma</t>
    </r>
    <r>
      <rPr>
        <sz val="11"/>
        <color theme="1"/>
        <rFont val="Calibri"/>
        <family val="2"/>
        <scheme val="minor"/>
      </rPr>
      <t>s.</t>
    </r>
  </si>
  <si>
    <r>
      <rPr>
        <b/>
        <sz val="11"/>
        <color theme="1"/>
        <rFont val="Calibri"/>
        <family val="2"/>
        <scheme val="minor"/>
      </rPr>
      <t>1)</t>
    </r>
    <r>
      <rPr>
        <sz val="11"/>
        <color theme="1"/>
        <rFont val="Calibri"/>
        <family val="2"/>
        <scheme val="minor"/>
      </rPr>
      <t xml:space="preserve"> As ABCC1 </t>
    </r>
    <r>
      <rPr>
        <b/>
        <sz val="11"/>
        <color theme="1"/>
        <rFont val="Calibri"/>
        <family val="2"/>
        <scheme val="minor"/>
      </rPr>
      <t>2)</t>
    </r>
    <r>
      <rPr>
        <sz val="11"/>
        <color theme="1"/>
        <rFont val="Calibri"/>
        <family val="2"/>
        <scheme val="minor"/>
      </rPr>
      <t xml:space="preserve"> We observed suggestive associations between survival and </t>
    </r>
    <r>
      <rPr>
        <b/>
        <sz val="11"/>
        <color theme="1"/>
        <rFont val="Calibri"/>
        <family val="2"/>
        <scheme val="minor"/>
      </rPr>
      <t>GSTT1</t>
    </r>
    <r>
      <rPr>
        <sz val="11"/>
        <color theme="1"/>
        <rFont val="Calibri"/>
        <family val="2"/>
        <scheme val="minor"/>
      </rPr>
      <t xml:space="preserve"> copy number (P = 0.017), and </t>
    </r>
    <r>
      <rPr>
        <b/>
        <sz val="11"/>
        <color theme="1"/>
        <rFont val="Calibri"/>
        <family val="2"/>
        <scheme val="minor"/>
      </rPr>
      <t>GSTA5, GSTM4,</t>
    </r>
    <r>
      <rPr>
        <sz val="11"/>
        <color theme="1"/>
        <rFont val="Calibri"/>
        <family val="2"/>
        <scheme val="minor"/>
      </rPr>
      <t xml:space="preserve"> and </t>
    </r>
    <r>
      <rPr>
        <b/>
        <sz val="11"/>
        <color theme="1"/>
        <rFont val="Calibri"/>
        <family val="2"/>
        <scheme val="minor"/>
      </rPr>
      <t>ABCC4</t>
    </r>
    <r>
      <rPr>
        <sz val="11"/>
        <color theme="1"/>
        <rFont val="Calibri"/>
        <family val="2"/>
        <scheme val="minor"/>
      </rPr>
      <t xml:space="preserve"> SNPs, adjusted for covariates (P = 0.018, 0.002, and 0.002, respectively) or not (P = 0.005, 0.011, and 0.002). </t>
    </r>
    <r>
      <rPr>
        <b/>
        <sz val="11"/>
        <color theme="1"/>
        <rFont val="Calibri"/>
        <family val="2"/>
        <scheme val="minor"/>
      </rPr>
      <t>3)</t>
    </r>
    <r>
      <rPr>
        <sz val="11"/>
        <color theme="1"/>
        <rFont val="Calibri"/>
        <family val="2"/>
        <scheme val="minor"/>
      </rPr>
      <t xml:space="preserve"> GSTM4, GSTT1, and </t>
    </r>
    <r>
      <rPr>
        <b/>
        <sz val="11"/>
        <color theme="1"/>
        <rFont val="Calibri"/>
        <family val="2"/>
        <scheme val="minor"/>
      </rPr>
      <t>ABCC4</t>
    </r>
    <r>
      <rPr>
        <sz val="11"/>
        <color theme="1"/>
        <rFont val="Calibri"/>
        <family val="2"/>
        <scheme val="minor"/>
      </rPr>
      <t xml:space="preserve"> overexpression significantly decreased </t>
    </r>
    <r>
      <rPr>
        <b/>
        <sz val="11"/>
        <color theme="1"/>
        <rFont val="Calibri"/>
        <family val="2"/>
        <scheme val="minor"/>
      </rPr>
      <t>cisplatin</t>
    </r>
    <r>
      <rPr>
        <sz val="11"/>
        <color theme="1"/>
        <rFont val="Calibri"/>
        <family val="2"/>
        <scheme val="minor"/>
      </rPr>
      <t xml:space="preserve"> sensitivity in </t>
    </r>
    <r>
      <rPr>
        <b/>
        <sz val="11"/>
        <color theme="1"/>
        <rFont val="Calibri"/>
        <family val="2"/>
        <scheme val="minor"/>
      </rPr>
      <t>lung</t>
    </r>
    <r>
      <rPr>
        <sz val="11"/>
        <color theme="1"/>
        <rFont val="Calibri"/>
        <family val="2"/>
        <scheme val="minor"/>
      </rPr>
      <t xml:space="preserve"> cancer and HEK293T cell lines.</t>
    </r>
  </si>
  <si>
    <r>
      <rPr>
        <b/>
        <sz val="11"/>
        <color theme="1"/>
        <rFont val="Calibri"/>
        <family val="2"/>
        <scheme val="minor"/>
      </rPr>
      <t xml:space="preserve">1) </t>
    </r>
    <r>
      <rPr>
        <sz val="11"/>
        <color theme="1"/>
        <rFont val="Calibri"/>
        <family val="2"/>
        <scheme val="minor"/>
      </rPr>
      <t xml:space="preserve">miR-128 expression was significantly reduced in the </t>
    </r>
    <r>
      <rPr>
        <b/>
        <sz val="11"/>
        <color theme="1"/>
        <rFont val="Calibri"/>
        <family val="2"/>
        <scheme val="minor"/>
      </rPr>
      <t>cisplatin</t>
    </r>
    <r>
      <rPr>
        <sz val="11"/>
        <color theme="1"/>
        <rFont val="Calibri"/>
        <family val="2"/>
        <scheme val="minor"/>
      </rPr>
      <t xml:space="preserve">-resistant human epithelial </t>
    </r>
    <r>
      <rPr>
        <b/>
        <sz val="11"/>
        <color theme="1"/>
        <rFont val="Calibri"/>
        <family val="2"/>
        <scheme val="minor"/>
      </rPr>
      <t>ovarian</t>
    </r>
    <r>
      <rPr>
        <sz val="11"/>
        <color theme="1"/>
        <rFont val="Calibri"/>
        <family val="2"/>
        <scheme val="minor"/>
      </rPr>
      <t xml:space="preserve"> cancer cell line SKOV3/CP and </t>
    </r>
    <r>
      <rPr>
        <b/>
        <sz val="11"/>
        <color theme="1"/>
        <rFont val="Calibri"/>
        <family val="2"/>
        <scheme val="minor"/>
      </rPr>
      <t>2)</t>
    </r>
    <r>
      <rPr>
        <sz val="11"/>
        <color theme="1"/>
        <rFont val="Calibri"/>
        <family val="2"/>
        <scheme val="minor"/>
      </rPr>
      <t xml:space="preserve"> decreased upon treatment with </t>
    </r>
    <r>
      <rPr>
        <b/>
        <sz val="11"/>
        <color theme="1"/>
        <rFont val="Calibri"/>
        <family val="2"/>
        <scheme val="minor"/>
      </rPr>
      <t>cisplatin</t>
    </r>
    <r>
      <rPr>
        <sz val="11"/>
        <color theme="1"/>
        <rFont val="Calibri"/>
        <family val="2"/>
        <scheme val="minor"/>
      </rPr>
      <t xml:space="preserve"> in a concentration-dependent manner in SKOV3, OVCAR3, and </t>
    </r>
    <r>
      <rPr>
        <b/>
        <sz val="11"/>
        <color theme="1"/>
        <rFont val="Calibri"/>
        <family val="2"/>
        <scheme val="minor"/>
      </rPr>
      <t>PEO14</t>
    </r>
    <r>
      <rPr>
        <sz val="11"/>
        <color theme="1"/>
        <rFont val="Calibri"/>
        <family val="2"/>
        <scheme val="minor"/>
      </rPr>
      <t xml:space="preserve"> cells. </t>
    </r>
    <r>
      <rPr>
        <b/>
        <sz val="11"/>
        <color theme="1"/>
        <rFont val="Calibri"/>
        <family val="2"/>
        <scheme val="minor"/>
      </rPr>
      <t xml:space="preserve">3) </t>
    </r>
    <r>
      <rPr>
        <sz val="11"/>
        <color theme="1"/>
        <rFont val="Calibri"/>
        <family val="2"/>
        <scheme val="minor"/>
      </rPr>
      <t xml:space="preserve">Overexpression of miR-128 resensitized SKOV3/CP cells to </t>
    </r>
    <r>
      <rPr>
        <b/>
        <sz val="11"/>
        <color theme="1"/>
        <rFont val="Calibri"/>
        <family val="2"/>
        <scheme val="minor"/>
      </rPr>
      <t>cisplatin</t>
    </r>
    <r>
      <rPr>
        <sz val="11"/>
        <color theme="1"/>
        <rFont val="Calibri"/>
        <family val="2"/>
        <scheme val="minor"/>
      </rPr>
      <t xml:space="preserve"> and </t>
    </r>
    <r>
      <rPr>
        <b/>
        <sz val="11"/>
        <color theme="1"/>
        <rFont val="Calibri"/>
        <family val="2"/>
        <scheme val="minor"/>
      </rPr>
      <t>4)</t>
    </r>
    <r>
      <rPr>
        <sz val="11"/>
        <color theme="1"/>
        <rFont val="Calibri"/>
        <family val="2"/>
        <scheme val="minor"/>
      </rPr>
      <t xml:space="preserve"> reduced the expression of cisplatin-resistant-related proteins </t>
    </r>
    <r>
      <rPr>
        <b/>
        <sz val="11"/>
        <color theme="1"/>
        <rFont val="Calibri"/>
        <family val="2"/>
        <scheme val="minor"/>
      </rPr>
      <t>ABCC5</t>
    </r>
    <r>
      <rPr>
        <sz val="11"/>
        <color theme="1"/>
        <rFont val="Calibri"/>
        <family val="2"/>
        <scheme val="minor"/>
      </rPr>
      <t xml:space="preserve"> and Bmi-1. </t>
    </r>
    <r>
      <rPr>
        <b/>
        <sz val="11"/>
        <color theme="1"/>
        <rFont val="Calibri"/>
        <family val="2"/>
        <scheme val="minor"/>
      </rPr>
      <t>5) Cisplatin</t>
    </r>
    <r>
      <rPr>
        <sz val="11"/>
        <color theme="1"/>
        <rFont val="Calibri"/>
        <family val="2"/>
        <scheme val="minor"/>
      </rPr>
      <t xml:space="preserve"> combined with miR-128 agomirs inhibited the growth of SKOV3/CP xenograft tumors more effectively than </t>
    </r>
    <r>
      <rPr>
        <b/>
        <sz val="11"/>
        <color theme="1"/>
        <rFont val="Calibri"/>
        <family val="2"/>
        <scheme val="minor"/>
      </rPr>
      <t>cisplatin</t>
    </r>
    <r>
      <rPr>
        <sz val="11"/>
        <color theme="1"/>
        <rFont val="Calibri"/>
        <family val="2"/>
        <scheme val="minor"/>
      </rPr>
      <t xml:space="preserve"> alone. </t>
    </r>
    <r>
      <rPr>
        <b/>
        <sz val="11"/>
        <color theme="1"/>
        <rFont val="Calibri"/>
        <family val="2"/>
        <scheme val="minor"/>
      </rPr>
      <t>6)</t>
    </r>
    <r>
      <rPr>
        <sz val="11"/>
        <color theme="1"/>
        <rFont val="Calibri"/>
        <family val="2"/>
        <scheme val="minor"/>
      </rPr>
      <t xml:space="preserve"> Diminished expression of </t>
    </r>
    <r>
      <rPr>
        <b/>
        <sz val="11"/>
        <color theme="1"/>
        <rFont val="Calibri"/>
        <family val="2"/>
        <scheme val="minor"/>
      </rPr>
      <t>ABCC5</t>
    </r>
    <r>
      <rPr>
        <sz val="11"/>
        <color theme="1"/>
        <rFont val="Calibri"/>
        <family val="2"/>
        <scheme val="minor"/>
      </rPr>
      <t xml:space="preserve"> and Bmi-1 and higher cisplatin concentrations were observed in tumor tissue of mice treated with miR-128 agomirs in addition to </t>
    </r>
    <r>
      <rPr>
        <b/>
        <sz val="11"/>
        <color theme="1"/>
        <rFont val="Calibri"/>
        <family val="2"/>
        <scheme val="minor"/>
      </rPr>
      <t>cisplatin</t>
    </r>
    <r>
      <rPr>
        <sz val="11"/>
        <color theme="1"/>
        <rFont val="Calibri"/>
        <family val="2"/>
        <scheme val="minor"/>
      </rPr>
      <t xml:space="preserve">. </t>
    </r>
    <r>
      <rPr>
        <b/>
        <sz val="11"/>
        <color theme="1"/>
        <rFont val="Calibri"/>
        <family val="2"/>
        <scheme val="minor"/>
      </rPr>
      <t>7)</t>
    </r>
    <r>
      <rPr>
        <sz val="11"/>
        <color theme="1"/>
        <rFont val="Calibri"/>
        <family val="2"/>
        <scheme val="minor"/>
      </rPr>
      <t xml:space="preserve"> The </t>
    </r>
    <r>
      <rPr>
        <b/>
        <sz val="11"/>
        <color theme="1"/>
        <rFont val="Calibri"/>
        <family val="2"/>
        <scheme val="minor"/>
      </rPr>
      <t>MRP5</t>
    </r>
    <r>
      <rPr>
        <sz val="11"/>
        <color theme="1"/>
        <rFont val="Calibri"/>
        <family val="2"/>
        <scheme val="minor"/>
      </rPr>
      <t xml:space="preserve"> expression levels in normal </t>
    </r>
    <r>
      <rPr>
        <b/>
        <sz val="11"/>
        <color theme="1"/>
        <rFont val="Calibri"/>
        <family val="2"/>
        <scheme val="minor"/>
      </rPr>
      <t>lung</t>
    </r>
    <r>
      <rPr>
        <sz val="11"/>
        <color theme="1"/>
        <rFont val="Calibri"/>
        <family val="2"/>
        <scheme val="minor"/>
      </rPr>
      <t xml:space="preserve"> tissues and in tumors from patients exposed to </t>
    </r>
    <r>
      <rPr>
        <b/>
        <sz val="11"/>
        <color theme="1"/>
        <rFont val="Calibri"/>
        <family val="2"/>
        <scheme val="minor"/>
      </rPr>
      <t>platinum</t>
    </r>
    <r>
      <rPr>
        <sz val="11"/>
        <color theme="1"/>
        <rFont val="Calibri"/>
        <family val="2"/>
        <scheme val="minor"/>
      </rPr>
      <t xml:space="preserve"> drugs during their lifetime were significantly higher than those in tissues from non-exposed patients. On the other hand, the </t>
    </r>
    <r>
      <rPr>
        <b/>
        <sz val="11"/>
        <color theme="1"/>
        <rFont val="Calibri"/>
        <family val="2"/>
        <scheme val="minor"/>
      </rPr>
      <t>MRP5</t>
    </r>
    <r>
      <rPr>
        <sz val="11"/>
        <color theme="1"/>
        <rFont val="Calibri"/>
        <family val="2"/>
        <scheme val="minor"/>
      </rPr>
      <t xml:space="preserve"> expression levels were not rapidly induced by </t>
    </r>
    <r>
      <rPr>
        <b/>
        <sz val="11"/>
        <color theme="1"/>
        <rFont val="Calibri"/>
        <family val="2"/>
        <scheme val="minor"/>
      </rPr>
      <t>platinum</t>
    </r>
    <r>
      <rPr>
        <sz val="11"/>
        <color theme="1"/>
        <rFont val="Calibri"/>
        <family val="2"/>
        <scheme val="minor"/>
      </rPr>
      <t xml:space="preserve"> drugs either in lung cancer cell lines or in PMN within 24 hr. </t>
    </r>
    <r>
      <rPr>
        <b/>
        <sz val="11"/>
        <color theme="1"/>
        <rFont val="Calibri"/>
        <family val="2"/>
        <scheme val="minor"/>
      </rPr>
      <t xml:space="preserve">8) </t>
    </r>
    <r>
      <rPr>
        <sz val="11"/>
        <color theme="1"/>
        <rFont val="Calibri"/>
        <family val="2"/>
        <scheme val="minor"/>
      </rPr>
      <t xml:space="preserve">The </t>
    </r>
    <r>
      <rPr>
        <b/>
        <sz val="11"/>
        <color theme="1"/>
        <rFont val="Calibri"/>
        <family val="2"/>
        <scheme val="minor"/>
      </rPr>
      <t>cisplatin</t>
    </r>
    <r>
      <rPr>
        <sz val="11"/>
        <color theme="1"/>
        <rFont val="Calibri"/>
        <family val="2"/>
        <scheme val="minor"/>
      </rPr>
      <t xml:space="preserve">-resistant </t>
    </r>
    <r>
      <rPr>
        <b/>
        <sz val="11"/>
        <color theme="1"/>
        <rFont val="Calibri"/>
        <family val="2"/>
        <scheme val="minor"/>
      </rPr>
      <t>hepatocellula</t>
    </r>
    <r>
      <rPr>
        <sz val="11"/>
        <color theme="1"/>
        <rFont val="Calibri"/>
        <family val="2"/>
        <scheme val="minor"/>
      </rPr>
      <t xml:space="preserve">r carcinoma cells showed 14.1-fold higher resistance to </t>
    </r>
    <r>
      <rPr>
        <b/>
        <sz val="11"/>
        <color theme="1"/>
        <rFont val="Calibri"/>
        <family val="2"/>
        <scheme val="minor"/>
      </rPr>
      <t>cisplatin</t>
    </r>
    <r>
      <rPr>
        <sz val="11"/>
        <color theme="1"/>
        <rFont val="Calibri"/>
        <family val="2"/>
        <scheme val="minor"/>
      </rPr>
      <t xml:space="preserve">, and they expressed higher levels of MRP2 (6.29-fold), MRP3 (3.2-fold), MRP4 (11.3-fold) and </t>
    </r>
    <r>
      <rPr>
        <b/>
        <sz val="11"/>
        <color theme="1"/>
        <rFont val="Calibri"/>
        <family val="2"/>
        <scheme val="minor"/>
      </rPr>
      <t xml:space="preserve">MRP5 </t>
    </r>
    <r>
      <rPr>
        <sz val="11"/>
        <color theme="1"/>
        <rFont val="Calibri"/>
        <family val="2"/>
        <scheme val="minor"/>
      </rPr>
      <t xml:space="preserve">(3.39-fold) mRNAs than the parent cells. </t>
    </r>
  </si>
  <si>
    <r>
      <rPr>
        <b/>
        <sz val="11"/>
        <color theme="1"/>
        <rFont val="Calibri"/>
        <family val="2"/>
        <scheme val="minor"/>
      </rPr>
      <t>1)</t>
    </r>
    <r>
      <rPr>
        <sz val="11"/>
        <color theme="1"/>
        <rFont val="Calibri"/>
        <family val="2"/>
        <scheme val="minor"/>
      </rPr>
      <t xml:space="preserve"> The side-population (SP) cells from ascites derived from </t>
    </r>
    <r>
      <rPr>
        <b/>
        <sz val="11"/>
        <color theme="1"/>
        <rFont val="Calibri"/>
        <family val="2"/>
        <scheme val="minor"/>
      </rPr>
      <t xml:space="preserve">ovarian </t>
    </r>
    <r>
      <rPr>
        <sz val="11"/>
        <color theme="1"/>
        <rFont val="Calibri"/>
        <family val="2"/>
        <scheme val="minor"/>
      </rPr>
      <t xml:space="preserve">cancer patients expressed </t>
    </r>
    <r>
      <rPr>
        <b/>
        <sz val="11"/>
        <color theme="1"/>
        <rFont val="Calibri"/>
        <family val="2"/>
        <scheme val="minor"/>
      </rPr>
      <t>ABCG2/BCRP1</t>
    </r>
    <r>
      <rPr>
        <sz val="11"/>
        <color theme="1"/>
        <rFont val="Calibri"/>
        <family val="2"/>
        <scheme val="minor"/>
      </rPr>
      <t xml:space="preserve">, OCT4, STELLAR, and NANOG, detected by immunocytochemistry and RT-PCR. </t>
    </r>
    <r>
      <rPr>
        <b/>
        <sz val="11"/>
        <color theme="1"/>
        <rFont val="Calibri"/>
        <family val="2"/>
        <scheme val="minor"/>
      </rPr>
      <t xml:space="preserve">2) </t>
    </r>
    <r>
      <rPr>
        <sz val="11"/>
        <color theme="1"/>
        <rFont val="Calibri"/>
        <family val="2"/>
        <scheme val="minor"/>
      </rPr>
      <t xml:space="preserve">ABCG2/BCRP1 expression was higher in SP than in non-SP cells. </t>
    </r>
    <r>
      <rPr>
        <b/>
        <sz val="11"/>
        <color theme="1"/>
        <rFont val="Calibri"/>
        <family val="2"/>
        <scheme val="minor"/>
      </rPr>
      <t xml:space="preserve">3) </t>
    </r>
    <r>
      <rPr>
        <sz val="11"/>
        <color theme="1"/>
        <rFont val="Calibri"/>
        <family val="2"/>
        <scheme val="minor"/>
      </rPr>
      <t xml:space="preserve">Xenogeneic mice inoculated with SP cells yielded more tumours than did mice inoculated with non-SP cells. </t>
    </r>
    <r>
      <rPr>
        <b/>
        <sz val="11"/>
        <color theme="1"/>
        <rFont val="Calibri"/>
        <family val="2"/>
        <scheme val="minor"/>
      </rPr>
      <t xml:space="preserve">4) </t>
    </r>
    <r>
      <rPr>
        <sz val="11"/>
        <color theme="1"/>
        <rFont val="Calibri"/>
        <family val="2"/>
        <scheme val="minor"/>
      </rPr>
      <t xml:space="preserve">SP cell culture resulted in extensive cell proliferation, which was markedly more than in non-SP cells. </t>
    </r>
    <r>
      <rPr>
        <b/>
        <sz val="11"/>
        <color theme="1"/>
        <rFont val="Calibri"/>
        <family val="2"/>
        <scheme val="minor"/>
      </rPr>
      <t xml:space="preserve">5) </t>
    </r>
    <r>
      <rPr>
        <sz val="11"/>
        <color theme="1"/>
        <rFont val="Calibri"/>
        <family val="2"/>
        <scheme val="minor"/>
      </rPr>
      <t xml:space="preserve">SP cells resisted </t>
    </r>
    <r>
      <rPr>
        <b/>
        <sz val="11"/>
        <color theme="1"/>
        <rFont val="Calibri"/>
        <family val="2"/>
        <scheme val="minor"/>
      </rPr>
      <t>chemotherapy</t>
    </r>
    <r>
      <rPr>
        <sz val="11"/>
        <color theme="1"/>
        <rFont val="Calibri"/>
        <family val="2"/>
        <scheme val="minor"/>
      </rPr>
      <t xml:space="preserve"> compared with non-SP cells, both in vivo and in vitro. </t>
    </r>
    <r>
      <rPr>
        <b/>
        <sz val="11"/>
        <color theme="1"/>
        <rFont val="Calibri"/>
        <family val="2"/>
        <scheme val="minor"/>
      </rPr>
      <t xml:space="preserve">6) </t>
    </r>
    <r>
      <rPr>
        <sz val="11"/>
        <color theme="1"/>
        <rFont val="Calibri"/>
        <family val="2"/>
        <scheme val="minor"/>
      </rPr>
      <t xml:space="preserve">The C421A variant (CA+AA versus CC) in ABCG2 was associated with a 6-month longer median PFS (22.7 versus 16.8 months, p=0.041). </t>
    </r>
    <r>
      <rPr>
        <b/>
        <sz val="11"/>
        <color theme="1"/>
        <rFont val="Calibri"/>
        <family val="2"/>
        <scheme val="minor"/>
      </rPr>
      <t xml:space="preserve">7) </t>
    </r>
    <r>
      <rPr>
        <sz val="11"/>
        <color theme="1"/>
        <rFont val="Calibri"/>
        <family val="2"/>
        <scheme val="minor"/>
      </rPr>
      <t xml:space="preserve">the response rate to </t>
    </r>
    <r>
      <rPr>
        <b/>
        <sz val="11"/>
        <color theme="1"/>
        <rFont val="Calibri"/>
        <family val="2"/>
        <scheme val="minor"/>
      </rPr>
      <t>Pt</t>
    </r>
    <r>
      <rPr>
        <sz val="11"/>
        <color theme="1"/>
        <rFont val="Calibri"/>
        <family val="2"/>
        <scheme val="minor"/>
      </rPr>
      <t xml:space="preserve">-based chemotherapy of patients with </t>
    </r>
    <r>
      <rPr>
        <b/>
        <sz val="11"/>
        <color theme="1"/>
        <rFont val="Calibri"/>
        <family val="2"/>
        <scheme val="minor"/>
      </rPr>
      <t>BCRP</t>
    </r>
    <r>
      <rPr>
        <sz val="11"/>
        <color theme="1"/>
        <rFont val="Calibri"/>
        <family val="2"/>
        <scheme val="minor"/>
      </rPr>
      <t xml:space="preserve">-negative tumors was 44%, as opposed to 24% in patients with BCRP-positive tumors. </t>
    </r>
    <r>
      <rPr>
        <b/>
        <sz val="11"/>
        <color theme="1"/>
        <rFont val="Calibri"/>
        <family val="2"/>
        <scheme val="minor"/>
      </rPr>
      <t xml:space="preserve">8) </t>
    </r>
    <r>
      <rPr>
        <sz val="11"/>
        <color theme="1"/>
        <rFont val="Calibri"/>
        <family val="2"/>
        <scheme val="minor"/>
      </rPr>
      <t>BCRP-positive patients had also shorter PFS (P = 0.0003) and overall survival (P = 0.004) than BCRP-negative patients. Multivariate analysis confirmed BCRP status as an independent variable related to PFS (P = 0.001).</t>
    </r>
  </si>
  <si>
    <r>
      <rPr>
        <b/>
        <sz val="11"/>
        <color theme="1"/>
        <rFont val="Calibri"/>
        <family val="2"/>
        <scheme val="minor"/>
      </rPr>
      <t>1)</t>
    </r>
    <r>
      <rPr>
        <sz val="11"/>
        <color theme="1"/>
        <rFont val="Calibri"/>
        <family val="2"/>
        <scheme val="minor"/>
      </rPr>
      <t xml:space="preserve"> shRNA knockdown of </t>
    </r>
    <r>
      <rPr>
        <b/>
        <sz val="11"/>
        <color theme="1"/>
        <rFont val="Calibri"/>
        <family val="2"/>
        <scheme val="minor"/>
      </rPr>
      <t>ABHD2</t>
    </r>
    <r>
      <rPr>
        <sz val="11"/>
        <color theme="1"/>
        <rFont val="Calibri"/>
        <family val="2"/>
        <scheme val="minor"/>
      </rPr>
      <t xml:space="preserve"> in OVCA420 cells increased phosphorylated p38 and ERK, </t>
    </r>
    <r>
      <rPr>
        <b/>
        <sz val="11"/>
        <color theme="1"/>
        <rFont val="Calibri"/>
        <family val="2"/>
        <scheme val="minor"/>
      </rPr>
      <t>platinum</t>
    </r>
    <r>
      <rPr>
        <sz val="11"/>
        <color theme="1"/>
        <rFont val="Calibri"/>
        <family val="2"/>
        <scheme val="minor"/>
      </rPr>
      <t xml:space="preserve"> resistance, and</t>
    </r>
    <r>
      <rPr>
        <b/>
        <sz val="11"/>
        <color theme="1"/>
        <rFont val="Calibri"/>
        <family val="2"/>
        <scheme val="minor"/>
      </rPr>
      <t xml:space="preserve"> </t>
    </r>
    <r>
      <rPr>
        <sz val="11"/>
        <color theme="1"/>
        <rFont val="Calibri"/>
        <family val="2"/>
        <scheme val="minor"/>
      </rPr>
      <t xml:space="preserve">side population (SP) cells. </t>
    </r>
    <r>
      <rPr>
        <b/>
        <sz val="11"/>
        <color theme="1"/>
        <rFont val="Calibri"/>
        <family val="2"/>
        <scheme val="minor"/>
      </rPr>
      <t xml:space="preserve">2) </t>
    </r>
    <r>
      <rPr>
        <sz val="11"/>
        <color theme="1"/>
        <rFont val="Calibri"/>
        <family val="2"/>
        <scheme val="minor"/>
      </rPr>
      <t xml:space="preserve">Overexpression of </t>
    </r>
    <r>
      <rPr>
        <b/>
        <sz val="11"/>
        <color theme="1"/>
        <rFont val="Calibri"/>
        <family val="2"/>
        <scheme val="minor"/>
      </rPr>
      <t>ABHD2</t>
    </r>
    <r>
      <rPr>
        <sz val="11"/>
        <color theme="1"/>
        <rFont val="Calibri"/>
        <family val="2"/>
        <scheme val="minor"/>
      </rPr>
      <t xml:space="preserve"> decreased resistance to anoikis and the amount of phosphorylated p38 and ERK in OVCA420 and SKOV3 cells. </t>
    </r>
    <r>
      <rPr>
        <b/>
        <sz val="11"/>
        <color theme="1"/>
        <rFont val="Calibri"/>
        <family val="2"/>
        <scheme val="minor"/>
      </rPr>
      <t xml:space="preserve">3) </t>
    </r>
    <r>
      <rPr>
        <sz val="11"/>
        <color theme="1"/>
        <rFont val="Calibri"/>
        <family val="2"/>
        <scheme val="minor"/>
      </rPr>
      <t xml:space="preserve">In clinical serous </t>
    </r>
    <r>
      <rPr>
        <b/>
        <sz val="11"/>
        <color theme="1"/>
        <rFont val="Calibri"/>
        <family val="2"/>
        <scheme val="minor"/>
      </rPr>
      <t>ovarian</t>
    </r>
    <r>
      <rPr>
        <sz val="11"/>
        <color theme="1"/>
        <rFont val="Calibri"/>
        <family val="2"/>
        <scheme val="minor"/>
      </rPr>
      <t xml:space="preserve"> cancer specimens, low expression of ABHD2 was associated with platinum resistance and poor prognosis. </t>
    </r>
  </si>
  <si>
    <r>
      <rPr>
        <b/>
        <sz val="11"/>
        <color theme="1"/>
        <rFont val="Calibri"/>
        <family val="2"/>
        <scheme val="minor"/>
      </rPr>
      <t>1) CDDP</t>
    </r>
    <r>
      <rPr>
        <sz val="11"/>
        <color theme="1"/>
        <rFont val="Calibri"/>
        <family val="2"/>
        <scheme val="minor"/>
      </rPr>
      <t xml:space="preserve"> induced </t>
    </r>
    <r>
      <rPr>
        <b/>
        <sz val="11"/>
        <color theme="1"/>
        <rFont val="Calibri"/>
        <family val="2"/>
        <scheme val="minor"/>
      </rPr>
      <t>p-c-ABL(Y412)</t>
    </r>
    <r>
      <rPr>
        <sz val="11"/>
        <color theme="1"/>
        <rFont val="Calibri"/>
        <family val="2"/>
        <scheme val="minor"/>
      </rPr>
      <t xml:space="preserve"> and </t>
    </r>
    <r>
      <rPr>
        <b/>
        <sz val="11"/>
        <color theme="1"/>
        <rFont val="Calibri"/>
        <family val="2"/>
        <scheme val="minor"/>
      </rPr>
      <t>p-p73β(Y99)</t>
    </r>
    <r>
      <rPr>
        <sz val="11"/>
        <color theme="1"/>
        <rFont val="Calibri"/>
        <family val="2"/>
        <scheme val="minor"/>
      </rPr>
      <t xml:space="preserve">. </t>
    </r>
    <r>
      <rPr>
        <b/>
        <sz val="11"/>
        <color theme="1"/>
        <rFont val="Calibri"/>
        <family val="2"/>
        <scheme val="minor"/>
      </rPr>
      <t xml:space="preserve">2) </t>
    </r>
    <r>
      <rPr>
        <sz val="11"/>
        <color theme="1"/>
        <rFont val="Calibri"/>
        <family val="2"/>
        <scheme val="minor"/>
      </rPr>
      <t>a disruption of c-ABL/p73β protein interactions due to association with c-ABL in the cytoplasm, thereby blocking nuclear accumulation of c-ABL and phosphorylation of p73β in response to DNA damage. </t>
    </r>
    <r>
      <rPr>
        <b/>
        <sz val="11"/>
        <color theme="1"/>
        <rFont val="Calibri"/>
        <family val="2"/>
        <scheme val="minor"/>
      </rPr>
      <t xml:space="preserve">3) </t>
    </r>
    <r>
      <rPr>
        <sz val="11"/>
        <color theme="1"/>
        <rFont val="Calibri"/>
        <family val="2"/>
        <scheme val="minor"/>
      </rPr>
      <t xml:space="preserve">The DNA mismatch repair system plays an important part in the recognition of cisplatin adducts, and activation of both the JNK and </t>
    </r>
    <r>
      <rPr>
        <b/>
        <sz val="11"/>
        <color theme="1"/>
        <rFont val="Calibri"/>
        <family val="2"/>
        <scheme val="minor"/>
      </rPr>
      <t>c-Abl</t>
    </r>
    <r>
      <rPr>
        <sz val="11"/>
        <color theme="1"/>
        <rFont val="Calibri"/>
        <family val="2"/>
        <scheme val="minor"/>
      </rPr>
      <t xml:space="preserve"> kinases in response to cisplatin damage. </t>
    </r>
    <r>
      <rPr>
        <b/>
        <sz val="11"/>
        <color theme="1"/>
        <rFont val="Calibri"/>
        <family val="2"/>
        <scheme val="minor"/>
      </rPr>
      <t>4)</t>
    </r>
    <r>
      <rPr>
        <sz val="11"/>
        <color theme="1"/>
        <rFont val="Calibri"/>
        <family val="2"/>
        <scheme val="minor"/>
      </rPr>
      <t xml:space="preserve"> Genetic disruption of Abl nuclear import reduces renal apoptosis in a mouse model of cisplatin-induced nephrotoxicity</t>
    </r>
  </si>
  <si>
    <r>
      <rPr>
        <b/>
        <sz val="11"/>
        <color theme="1"/>
        <rFont val="Calibri"/>
        <family val="2"/>
        <scheme val="minor"/>
      </rPr>
      <t>1)</t>
    </r>
    <r>
      <rPr>
        <sz val="11"/>
        <color theme="1"/>
        <rFont val="Calibri"/>
        <family val="2"/>
        <scheme val="minor"/>
      </rPr>
      <t xml:space="preserve"> Real-time live metabolomics revealed that </t>
    </r>
    <r>
      <rPr>
        <b/>
        <sz val="11"/>
        <color theme="1"/>
        <rFont val="Calibri"/>
        <family val="2"/>
        <scheme val="minor"/>
      </rPr>
      <t>Cisplatin</t>
    </r>
    <r>
      <rPr>
        <sz val="11"/>
        <color theme="1"/>
        <rFont val="Calibri"/>
        <family val="2"/>
        <scheme val="minor"/>
      </rPr>
      <t xml:space="preserve">-resitant T24R </t>
    </r>
    <r>
      <rPr>
        <b/>
        <sz val="11"/>
        <color theme="1"/>
        <rFont val="Calibri"/>
        <family val="2"/>
        <scheme val="minor"/>
      </rPr>
      <t>bladder</t>
    </r>
    <r>
      <rPr>
        <sz val="11"/>
        <color theme="1"/>
        <rFont val="Calibri"/>
        <family val="2"/>
        <scheme val="minor"/>
      </rPr>
      <t xml:space="preserve"> cancer cells consume more glucose, leading to higher production of glucose-derived </t>
    </r>
    <r>
      <rPr>
        <u/>
        <sz val="11"/>
        <color theme="1"/>
        <rFont val="Calibri"/>
        <family val="2"/>
        <scheme val="minor"/>
      </rPr>
      <t>acetate and fatty acids</t>
    </r>
    <r>
      <rPr>
        <sz val="11"/>
        <color theme="1"/>
        <rFont val="Calibri"/>
        <family val="2"/>
        <scheme val="minor"/>
      </rPr>
      <t>. </t>
    </r>
    <r>
      <rPr>
        <b/>
        <sz val="11"/>
        <color theme="1"/>
        <rFont val="Calibri"/>
        <family val="2"/>
        <scheme val="minor"/>
      </rPr>
      <t>2)</t>
    </r>
    <r>
      <rPr>
        <sz val="11"/>
        <color theme="1"/>
        <rFont val="Calibri"/>
        <family val="2"/>
        <scheme val="minor"/>
      </rPr>
      <t xml:space="preserve"> The relevance of </t>
    </r>
    <r>
      <rPr>
        <b/>
        <sz val="11"/>
        <color theme="1"/>
        <rFont val="Calibri"/>
        <family val="2"/>
        <scheme val="minor"/>
      </rPr>
      <t>ACSS2</t>
    </r>
    <r>
      <rPr>
        <sz val="11"/>
        <color theme="1"/>
        <rFont val="Calibri"/>
        <family val="2"/>
        <scheme val="minor"/>
      </rPr>
      <t xml:space="preserve"> in cisplatin resistance was further confirmed by the abrogation of resistance by an ACSS2 inhibitor. </t>
    </r>
    <r>
      <rPr>
        <b/>
        <sz val="11"/>
        <color theme="1"/>
        <rFont val="Calibri"/>
        <family val="2"/>
        <scheme val="minor"/>
      </rPr>
      <t>3)</t>
    </r>
    <r>
      <rPr>
        <sz val="11"/>
        <color theme="1"/>
        <rFont val="Calibri"/>
        <family val="2"/>
        <scheme val="minor"/>
      </rPr>
      <t xml:space="preserve"> By the higher expression of ACSS2 in the patient tissues with cisplatin resistance. </t>
    </r>
  </si>
  <si>
    <r>
      <rPr>
        <b/>
        <sz val="11"/>
        <color theme="1"/>
        <rFont val="Calibri"/>
        <family val="2"/>
        <scheme val="minor"/>
      </rPr>
      <t xml:space="preserve">1) </t>
    </r>
    <r>
      <rPr>
        <sz val="11"/>
        <color theme="1"/>
        <rFont val="Calibri"/>
        <family val="2"/>
        <scheme val="minor"/>
      </rPr>
      <t xml:space="preserve">Significant changes in the expression of proteins involved in </t>
    </r>
    <r>
      <rPr>
        <b/>
        <sz val="11"/>
        <color theme="1"/>
        <rFont val="Calibri"/>
        <family val="2"/>
        <scheme val="minor"/>
      </rPr>
      <t>actin cytoskeletal signalling</t>
    </r>
    <r>
      <rPr>
        <sz val="11"/>
        <color theme="1"/>
        <rFont val="Calibri"/>
        <family val="2"/>
        <scheme val="minor"/>
      </rPr>
      <t xml:space="preserve">, integrin linked kinase (ILK) signalling, epithelial adherens junctions signalling and remodelling of epithelial adherens junctions pointed towards a mesenchymal phenotype developed by </t>
    </r>
    <r>
      <rPr>
        <b/>
        <sz val="11"/>
        <color theme="1"/>
        <rFont val="Calibri"/>
        <family val="2"/>
        <scheme val="minor"/>
      </rPr>
      <t>cisplatin</t>
    </r>
    <r>
      <rPr>
        <sz val="11"/>
        <color theme="1"/>
        <rFont val="Calibri"/>
        <family val="2"/>
        <scheme val="minor"/>
      </rPr>
      <t xml:space="preserve"> resistant SK-N-ASCis24. </t>
    </r>
    <r>
      <rPr>
        <b/>
        <sz val="11"/>
        <color theme="1"/>
        <rFont val="Calibri"/>
        <family val="2"/>
        <scheme val="minor"/>
      </rPr>
      <t>2)</t>
    </r>
    <r>
      <rPr>
        <sz val="11"/>
        <color theme="1"/>
        <rFont val="Calibri"/>
        <family val="2"/>
        <scheme val="minor"/>
      </rPr>
      <t xml:space="preserve"> Among these genes, elevated levels of </t>
    </r>
    <r>
      <rPr>
        <b/>
        <sz val="11"/>
        <color theme="1"/>
        <rFont val="Calibri"/>
        <family val="2"/>
        <scheme val="minor"/>
      </rPr>
      <t>MYH9</t>
    </r>
    <r>
      <rPr>
        <sz val="11"/>
        <color theme="1"/>
        <rFont val="Calibri"/>
        <family val="2"/>
        <scheme val="minor"/>
      </rPr>
      <t xml:space="preserve"> and </t>
    </r>
    <r>
      <rPr>
        <b/>
        <sz val="11"/>
        <color theme="1"/>
        <rFont val="Calibri"/>
        <family val="2"/>
        <scheme val="minor"/>
      </rPr>
      <t>ACTN4</t>
    </r>
    <r>
      <rPr>
        <sz val="11"/>
        <color theme="1"/>
        <rFont val="Calibri"/>
        <family val="2"/>
        <scheme val="minor"/>
      </rPr>
      <t xml:space="preserve"> and reduced levels of </t>
    </r>
    <r>
      <rPr>
        <b/>
        <sz val="11"/>
        <color theme="1"/>
        <rFont val="Calibri"/>
        <family val="2"/>
        <scheme val="minor"/>
      </rPr>
      <t>ROCK1</t>
    </r>
    <r>
      <rPr>
        <sz val="11"/>
        <color theme="1"/>
        <rFont val="Calibri"/>
        <family val="2"/>
        <scheme val="minor"/>
      </rPr>
      <t xml:space="preserve"> contribute to the increased ROCK1-independent migratory potential of SK-N-ASCis24. </t>
    </r>
    <r>
      <rPr>
        <b/>
        <sz val="11"/>
        <color theme="1"/>
        <rFont val="Calibri"/>
        <family val="2"/>
        <scheme val="minor"/>
      </rPr>
      <t>3) ACTN4</t>
    </r>
    <r>
      <rPr>
        <sz val="11"/>
        <color theme="1"/>
        <rFont val="Calibri"/>
        <family val="2"/>
        <scheme val="minor"/>
      </rPr>
      <t xml:space="preserve"> is one of the top 30 proteins associated with neoadjuvant chemotherapy resistance in docetaxel and </t>
    </r>
    <r>
      <rPr>
        <b/>
        <sz val="11"/>
        <color theme="1"/>
        <rFont val="Calibri"/>
        <family val="2"/>
        <scheme val="minor"/>
      </rPr>
      <t>carboplatin</t>
    </r>
    <r>
      <rPr>
        <sz val="11"/>
        <color theme="1"/>
        <rFont val="Calibri"/>
        <family val="2"/>
        <scheme val="minor"/>
      </rPr>
      <t xml:space="preserve">-treated </t>
    </r>
    <r>
      <rPr>
        <b/>
        <sz val="11"/>
        <color theme="1"/>
        <rFont val="Calibri"/>
        <family val="2"/>
        <scheme val="minor"/>
      </rPr>
      <t>TNCBC</t>
    </r>
    <r>
      <rPr>
        <sz val="11"/>
        <color theme="1"/>
        <rFont val="Calibri"/>
        <family val="2"/>
        <scheme val="minor"/>
      </rPr>
      <t xml:space="preserve">. </t>
    </r>
    <r>
      <rPr>
        <b/>
        <sz val="11"/>
        <color theme="1"/>
        <rFont val="Calibri"/>
        <family val="2"/>
        <scheme val="minor"/>
      </rPr>
      <t xml:space="preserve">4) </t>
    </r>
    <r>
      <rPr>
        <sz val="11"/>
        <color theme="1"/>
        <rFont val="Calibri"/>
        <family val="2"/>
        <scheme val="minor"/>
      </rPr>
      <t xml:space="preserve">High expression of </t>
    </r>
    <r>
      <rPr>
        <b/>
        <sz val="11"/>
        <color theme="1"/>
        <rFont val="Calibri"/>
        <family val="2"/>
        <scheme val="minor"/>
      </rPr>
      <t>actinin-4</t>
    </r>
    <r>
      <rPr>
        <sz val="11"/>
        <color theme="1"/>
        <rFont val="Calibri"/>
        <family val="2"/>
        <scheme val="minor"/>
      </rPr>
      <t xml:space="preserve"> was demonstrated in 137 (57%) </t>
    </r>
    <r>
      <rPr>
        <b/>
        <sz val="11"/>
        <color theme="1"/>
        <rFont val="Calibri"/>
        <family val="2"/>
        <scheme val="minor"/>
      </rPr>
      <t>ovarian</t>
    </r>
    <r>
      <rPr>
        <sz val="11"/>
        <color theme="1"/>
        <rFont val="Calibri"/>
        <family val="2"/>
        <scheme val="minor"/>
      </rPr>
      <t xml:space="preserve"> cancer cases and was associated with a high degree of residual disease after initial surgery, poor patient outcome in </t>
    </r>
    <r>
      <rPr>
        <b/>
        <sz val="11"/>
        <color theme="1"/>
        <rFont val="Calibri"/>
        <family val="2"/>
        <scheme val="minor"/>
      </rPr>
      <t>platinum</t>
    </r>
    <r>
      <rPr>
        <sz val="11"/>
        <color theme="1"/>
        <rFont val="Calibri"/>
        <family val="2"/>
        <scheme val="minor"/>
      </rPr>
      <t>-based chemotherapies,</t>
    </r>
    <r>
      <rPr>
        <b/>
        <sz val="11"/>
        <color theme="1"/>
        <rFont val="Calibri"/>
        <family val="2"/>
        <scheme val="minor"/>
      </rPr>
      <t xml:space="preserve"> </t>
    </r>
    <r>
      <rPr>
        <sz val="11"/>
        <color theme="1"/>
        <rFont val="Calibri"/>
        <family val="2"/>
        <scheme val="minor"/>
      </rPr>
      <t xml:space="preserve">and also with reduced </t>
    </r>
    <r>
      <rPr>
        <b/>
        <sz val="11"/>
        <color theme="1"/>
        <rFont val="Calibri"/>
        <family val="2"/>
        <scheme val="minor"/>
      </rPr>
      <t>E-cadherin</t>
    </r>
    <r>
      <rPr>
        <sz val="11"/>
        <color theme="1"/>
        <rFont val="Calibri"/>
        <family val="2"/>
        <scheme val="minor"/>
      </rPr>
      <t xml:space="preserve"> and preserved </t>
    </r>
    <r>
      <rPr>
        <b/>
        <sz val="11"/>
        <color theme="1"/>
        <rFont val="Calibri"/>
        <family val="2"/>
        <scheme val="minor"/>
      </rPr>
      <t>β-catenin expressions</t>
    </r>
    <r>
      <rPr>
        <sz val="11"/>
        <color theme="1"/>
        <rFont val="Calibri"/>
        <family val="2"/>
        <scheme val="minor"/>
      </rPr>
      <t xml:space="preserve">. </t>
    </r>
    <r>
      <rPr>
        <b/>
        <sz val="11"/>
        <color theme="1"/>
        <rFont val="Calibri"/>
        <family val="2"/>
        <scheme val="minor"/>
      </rPr>
      <t>5)</t>
    </r>
    <r>
      <rPr>
        <sz val="11"/>
        <color theme="1"/>
        <rFont val="Calibri"/>
        <family val="2"/>
        <scheme val="minor"/>
      </rPr>
      <t xml:space="preserve"> </t>
    </r>
    <r>
      <rPr>
        <b/>
        <sz val="11"/>
        <color theme="1"/>
        <rFont val="Calibri"/>
        <family val="2"/>
        <scheme val="minor"/>
      </rPr>
      <t>NHERF1</t>
    </r>
    <r>
      <rPr>
        <sz val="11"/>
        <color theme="1"/>
        <rFont val="Calibri"/>
        <family val="2"/>
        <scheme val="minor"/>
      </rPr>
      <t xml:space="preserve"> attenuated </t>
    </r>
    <r>
      <rPr>
        <b/>
        <sz val="11"/>
        <color theme="1"/>
        <rFont val="Calibri"/>
        <family val="2"/>
        <scheme val="minor"/>
      </rPr>
      <t>β-catenin</t>
    </r>
    <r>
      <rPr>
        <sz val="11"/>
        <color theme="1"/>
        <rFont val="Calibri"/>
        <family val="2"/>
        <scheme val="minor"/>
      </rPr>
      <t xml:space="preserve"> expression via suppression of </t>
    </r>
    <r>
      <rPr>
        <b/>
        <sz val="11"/>
        <color theme="1"/>
        <rFont val="Calibri"/>
        <family val="2"/>
        <scheme val="minor"/>
      </rPr>
      <t>α-actinin-4</t>
    </r>
    <r>
      <rPr>
        <sz val="11"/>
        <color theme="1"/>
        <rFont val="Calibri"/>
        <family val="2"/>
        <scheme val="minor"/>
      </rPr>
      <t xml:space="preserve"> expression; downregulation of NHERF1 was involved in the development and progression of </t>
    </r>
    <r>
      <rPr>
        <b/>
        <sz val="11"/>
        <color theme="1"/>
        <rFont val="Calibri"/>
        <family val="2"/>
        <scheme val="minor"/>
      </rPr>
      <t>cervical</t>
    </r>
    <r>
      <rPr>
        <sz val="11"/>
        <color theme="1"/>
        <rFont val="Calibri"/>
        <family val="2"/>
        <scheme val="minor"/>
      </rPr>
      <t xml:space="preserve"> cancer and may serve as a potential predictor of prognosis and </t>
    </r>
    <r>
      <rPr>
        <b/>
        <sz val="11"/>
        <color theme="1"/>
        <rFont val="Calibri"/>
        <family val="2"/>
        <scheme val="minor"/>
      </rPr>
      <t>cisplatin</t>
    </r>
    <r>
      <rPr>
        <sz val="11"/>
        <color theme="1"/>
        <rFont val="Calibri"/>
        <family val="2"/>
        <scheme val="minor"/>
      </rPr>
      <t xml:space="preserve"> response for CC patients. </t>
    </r>
  </si>
  <si>
    <r>
      <rPr>
        <b/>
        <sz val="11"/>
        <color theme="1"/>
        <rFont val="Calibri"/>
        <family val="2"/>
        <scheme val="minor"/>
      </rPr>
      <t>1)</t>
    </r>
    <r>
      <rPr>
        <sz val="11"/>
        <color theme="1"/>
        <rFont val="Calibri"/>
        <family val="2"/>
        <scheme val="minor"/>
      </rPr>
      <t xml:space="preserve"> </t>
    </r>
    <r>
      <rPr>
        <b/>
        <sz val="11"/>
        <color theme="1"/>
        <rFont val="Calibri"/>
        <family val="2"/>
        <scheme val="minor"/>
      </rPr>
      <t>miR-376c</t>
    </r>
    <r>
      <rPr>
        <sz val="11"/>
        <color theme="1"/>
        <rFont val="Calibri"/>
        <family val="2"/>
        <scheme val="minor"/>
      </rPr>
      <t xml:space="preserve"> targets </t>
    </r>
    <r>
      <rPr>
        <b/>
        <sz val="11"/>
        <color theme="1"/>
        <rFont val="Calibri"/>
        <family val="2"/>
        <scheme val="minor"/>
      </rPr>
      <t>ALK7</t>
    </r>
    <r>
      <rPr>
        <sz val="11"/>
        <color theme="1"/>
        <rFont val="Calibri"/>
        <family val="2"/>
        <scheme val="minor"/>
      </rPr>
      <t xml:space="preserve">, overexpression of miR-376c blocked </t>
    </r>
    <r>
      <rPr>
        <b/>
        <sz val="11"/>
        <color theme="1"/>
        <rFont val="Calibri"/>
        <family val="2"/>
        <scheme val="minor"/>
      </rPr>
      <t>cisplatin</t>
    </r>
    <r>
      <rPr>
        <sz val="11"/>
        <color theme="1"/>
        <rFont val="Calibri"/>
        <family val="2"/>
        <scheme val="minor"/>
      </rPr>
      <t xml:space="preserve">-induced cell death, whereas anti-miR-376c enhanced the effect of cisplatin in human </t>
    </r>
    <r>
      <rPr>
        <b/>
        <sz val="11"/>
        <color theme="1"/>
        <rFont val="Calibri"/>
        <family val="2"/>
        <scheme val="minor"/>
      </rPr>
      <t>ovarian</t>
    </r>
    <r>
      <rPr>
        <sz val="11"/>
        <color theme="1"/>
        <rFont val="Calibri"/>
        <family val="2"/>
        <scheme val="minor"/>
      </rPr>
      <t xml:space="preserve"> cancer cells, OV2008 and A2780s. </t>
    </r>
    <r>
      <rPr>
        <b/>
        <sz val="11"/>
        <color theme="1"/>
        <rFont val="Calibri"/>
        <family val="2"/>
        <scheme val="minor"/>
      </rPr>
      <t>2)</t>
    </r>
    <r>
      <rPr>
        <sz val="11"/>
        <color theme="1"/>
        <rFont val="Calibri"/>
        <family val="2"/>
        <scheme val="minor"/>
      </rPr>
      <t xml:space="preserve"> In serous carcinoma samples taken from </t>
    </r>
    <r>
      <rPr>
        <b/>
        <sz val="11"/>
        <color theme="1"/>
        <rFont val="Calibri"/>
        <family val="2"/>
        <scheme val="minor"/>
      </rPr>
      <t>ovarian</t>
    </r>
    <r>
      <rPr>
        <sz val="11"/>
        <color theme="1"/>
        <rFont val="Calibri"/>
        <family val="2"/>
        <scheme val="minor"/>
      </rPr>
      <t xml:space="preserve"> cancer patients who responded well to chemotherapy, strong ALK7 staining and low miR-376c expression was detected. By contrast, ALK7 expression was weak and miR-376c levels were high in samples from patients who responded poorly to chemotherapy.</t>
    </r>
    <r>
      <rPr>
        <b/>
        <sz val="11"/>
        <color theme="1"/>
        <rFont val="Calibri"/>
        <family val="2"/>
        <scheme val="minor"/>
      </rPr>
      <t xml:space="preserve"> 3) </t>
    </r>
    <r>
      <rPr>
        <sz val="11"/>
        <color theme="1"/>
        <rFont val="Calibri"/>
        <family val="2"/>
        <scheme val="minor"/>
      </rPr>
      <t xml:space="preserve">treatment with cisplatin led to an increase in expression of mRNA encoding Nodal and ALK7 but a decrease in miR-376c levels. </t>
    </r>
  </si>
  <si>
    <r>
      <rPr>
        <b/>
        <sz val="11"/>
        <color theme="1"/>
        <rFont val="Calibri"/>
        <family val="2"/>
        <scheme val="minor"/>
      </rPr>
      <t>1) ADAM10</t>
    </r>
    <r>
      <rPr>
        <sz val="11"/>
        <color theme="1"/>
        <rFont val="Calibri"/>
        <family val="2"/>
        <scheme val="minor"/>
      </rPr>
      <t xml:space="preserve"> is upregulated in several cancers and associates with malignant cancer progression. </t>
    </r>
    <r>
      <rPr>
        <b/>
        <sz val="11"/>
        <color theme="1"/>
        <rFont val="Calibri"/>
        <family val="2"/>
        <scheme val="minor"/>
      </rPr>
      <t>2) ADAM10</t>
    </r>
    <r>
      <rPr>
        <sz val="11"/>
        <color theme="1"/>
        <rFont val="Calibri"/>
        <family val="2"/>
        <scheme val="minor"/>
      </rPr>
      <t xml:space="preserve"> overexpression in 51 of 105 (48.5 %) </t>
    </r>
    <r>
      <rPr>
        <b/>
        <sz val="11"/>
        <color theme="1"/>
        <rFont val="Calibri"/>
        <family val="2"/>
        <scheme val="minor"/>
      </rPr>
      <t>bladde</t>
    </r>
    <r>
      <rPr>
        <sz val="11"/>
        <color theme="1"/>
        <rFont val="Calibri"/>
        <family val="2"/>
        <scheme val="minor"/>
      </rPr>
      <t xml:space="preserve">r cancer specimens. </t>
    </r>
    <r>
      <rPr>
        <b/>
        <sz val="11"/>
        <color theme="1"/>
        <rFont val="Calibri"/>
        <family val="2"/>
        <scheme val="minor"/>
      </rPr>
      <t xml:space="preserve">3) </t>
    </r>
    <r>
      <rPr>
        <sz val="11"/>
        <color theme="1"/>
        <rFont val="Calibri"/>
        <family val="2"/>
        <scheme val="minor"/>
      </rPr>
      <t xml:space="preserve">ADAM10 overexpression associated with advanced tumor stage (p = 0.001) and tumor grade (p = 0.018). </t>
    </r>
    <r>
      <rPr>
        <b/>
        <sz val="11"/>
        <color theme="1"/>
        <rFont val="Calibri"/>
        <family val="2"/>
        <scheme val="minor"/>
      </rPr>
      <t>4)</t>
    </r>
    <r>
      <rPr>
        <sz val="11"/>
        <color theme="1"/>
        <rFont val="Calibri"/>
        <family val="2"/>
        <scheme val="minor"/>
      </rPr>
      <t xml:space="preserve"> siRNA mediated ADAM10 depletion decreased cell proliferation, migration, and invasion and increased the level of </t>
    </r>
    <r>
      <rPr>
        <b/>
        <sz val="11"/>
        <color theme="1"/>
        <rFont val="Calibri"/>
        <family val="2"/>
        <scheme val="minor"/>
      </rPr>
      <t>cisplatin</t>
    </r>
    <r>
      <rPr>
        <sz val="11"/>
        <color theme="1"/>
        <rFont val="Calibri"/>
        <family val="2"/>
        <scheme val="minor"/>
      </rPr>
      <t>-induced apoptosis. </t>
    </r>
    <r>
      <rPr>
        <b/>
        <sz val="11"/>
        <color theme="1"/>
        <rFont val="Calibri"/>
        <family val="2"/>
        <scheme val="minor"/>
      </rPr>
      <t>5)</t>
    </r>
    <r>
      <rPr>
        <sz val="11"/>
        <color theme="1"/>
        <rFont val="Calibri"/>
        <family val="2"/>
        <scheme val="minor"/>
      </rPr>
      <t xml:space="preserve"> CD147 shedding mediated by ADAM10 leads to further procession of residual CD147 in the lysosome produces nuclear-localized CD147-ICD (intracellular domain of CD147), which contributes to </t>
    </r>
    <r>
      <rPr>
        <b/>
        <sz val="11"/>
        <color theme="1"/>
        <rFont val="Calibri"/>
        <family val="2"/>
        <scheme val="minor"/>
      </rPr>
      <t>autophagy</t>
    </r>
    <r>
      <rPr>
        <sz val="11"/>
        <color theme="1"/>
        <rFont val="Calibri"/>
        <family val="2"/>
        <scheme val="minor"/>
      </rPr>
      <t xml:space="preserve"> through </t>
    </r>
    <r>
      <rPr>
        <b/>
        <sz val="11"/>
        <color theme="1"/>
        <rFont val="Calibri"/>
        <family val="2"/>
        <scheme val="minor"/>
      </rPr>
      <t>NF-κB–TRAIL–caspase8–ATG3</t>
    </r>
    <r>
      <rPr>
        <sz val="11"/>
        <color theme="1"/>
        <rFont val="Calibri"/>
        <family val="2"/>
        <scheme val="minor"/>
      </rPr>
      <t xml:space="preserve"> axis.</t>
    </r>
  </si>
  <si>
    <r>
      <rPr>
        <b/>
        <sz val="11"/>
        <color theme="1"/>
        <rFont val="Calibri"/>
        <family val="2"/>
        <scheme val="minor"/>
      </rPr>
      <t>1) EGFR</t>
    </r>
    <r>
      <rPr>
        <sz val="11"/>
        <color theme="1"/>
        <rFont val="Calibri"/>
        <family val="2"/>
        <scheme val="minor"/>
      </rPr>
      <t xml:space="preserve"> ligands like amphiregulin (</t>
    </r>
    <r>
      <rPr>
        <b/>
        <sz val="11"/>
        <color theme="1"/>
        <rFont val="Calibri"/>
        <family val="2"/>
        <scheme val="minor"/>
      </rPr>
      <t>AREG</t>
    </r>
    <r>
      <rPr>
        <sz val="11"/>
        <color theme="1"/>
        <rFont val="Calibri"/>
        <family val="2"/>
        <scheme val="minor"/>
      </rPr>
      <t>) has recently been detected in ascites of advanced stage</t>
    </r>
    <r>
      <rPr>
        <b/>
        <sz val="11"/>
        <color theme="1"/>
        <rFont val="Calibri"/>
        <family val="2"/>
        <scheme val="minor"/>
      </rPr>
      <t xml:space="preserve"> ovarian </t>
    </r>
    <r>
      <rPr>
        <sz val="11"/>
        <color theme="1"/>
        <rFont val="Calibri"/>
        <family val="2"/>
        <scheme val="minor"/>
      </rPr>
      <t xml:space="preserve">cancer patients. </t>
    </r>
    <r>
      <rPr>
        <b/>
        <sz val="11"/>
        <color theme="1"/>
        <rFont val="Calibri"/>
        <family val="2"/>
        <scheme val="minor"/>
      </rPr>
      <t>2)</t>
    </r>
    <r>
      <rPr>
        <sz val="11"/>
        <color theme="1"/>
        <rFont val="Calibri"/>
        <family val="2"/>
        <scheme val="minor"/>
      </rPr>
      <t xml:space="preserve"> </t>
    </r>
    <r>
      <rPr>
        <b/>
        <sz val="11"/>
        <color theme="1"/>
        <rFont val="Calibri"/>
        <family val="2"/>
        <scheme val="minor"/>
      </rPr>
      <t>ADAM17</t>
    </r>
    <r>
      <rPr>
        <sz val="11"/>
        <color theme="1"/>
        <rFont val="Calibri"/>
        <family val="2"/>
        <scheme val="minor"/>
      </rPr>
      <t xml:space="preserve"> as an essential upstream regulator of AREG release under chemotherapeutic treatment in ovarian cancer cell lines and patient derived cells.</t>
    </r>
    <r>
      <rPr>
        <b/>
        <sz val="11"/>
        <color theme="1"/>
        <rFont val="Calibri"/>
        <family val="2"/>
        <scheme val="minor"/>
      </rPr>
      <t xml:space="preserve"> 3) </t>
    </r>
    <r>
      <rPr>
        <sz val="11"/>
        <color theme="1"/>
        <rFont val="Calibri"/>
        <family val="2"/>
        <scheme val="minor"/>
      </rPr>
      <t xml:space="preserve">ADAM17 inhibition sensitized cancer cells to cisplatin-induced apoptosis. </t>
    </r>
    <r>
      <rPr>
        <b/>
        <sz val="11"/>
        <color theme="1"/>
        <rFont val="Calibri"/>
        <family val="2"/>
        <scheme val="minor"/>
      </rPr>
      <t>4)</t>
    </r>
    <r>
      <rPr>
        <sz val="11"/>
        <color theme="1"/>
        <rFont val="Calibri"/>
        <family val="2"/>
        <scheme val="minor"/>
      </rPr>
      <t xml:space="preserve"> In </t>
    </r>
    <r>
      <rPr>
        <b/>
        <sz val="11"/>
        <color theme="1"/>
        <rFont val="Calibri"/>
        <family val="2"/>
        <scheme val="minor"/>
      </rPr>
      <t>oral</t>
    </r>
    <r>
      <rPr>
        <sz val="11"/>
        <color theme="1"/>
        <rFont val="Calibri"/>
        <family val="2"/>
        <scheme val="minor"/>
      </rPr>
      <t xml:space="preserve"> squamous cell carcinoma (OSCC), high CD44, ABCB1 and ADAM17 expressions were correlated with higher tumour grades and poor differentiation and show significant correlation in their co‐expression. </t>
    </r>
  </si>
  <si>
    <r>
      <rPr>
        <b/>
        <sz val="11"/>
        <color theme="1"/>
        <rFont val="Calibri"/>
        <family val="2"/>
        <scheme val="minor"/>
      </rPr>
      <t>1) ADAM9</t>
    </r>
    <r>
      <rPr>
        <sz val="11"/>
        <color theme="1"/>
        <rFont val="Calibri"/>
        <family val="2"/>
        <scheme val="minor"/>
      </rPr>
      <t xml:space="preserve"> is over-expressed in human </t>
    </r>
    <r>
      <rPr>
        <b/>
        <sz val="11"/>
        <color theme="1"/>
        <rFont val="Calibri"/>
        <family val="2"/>
        <scheme val="minor"/>
      </rPr>
      <t>ovarian</t>
    </r>
    <r>
      <rPr>
        <sz val="11"/>
        <color theme="1"/>
        <rFont val="Calibri"/>
        <family val="2"/>
        <scheme val="minor"/>
      </rPr>
      <t xml:space="preserve"> clear cell carcinomas and suppresses cisplatin-induced cell death. </t>
    </r>
    <r>
      <rPr>
        <b/>
        <sz val="11"/>
        <color theme="1"/>
        <rFont val="Calibri"/>
        <family val="2"/>
        <scheme val="minor"/>
      </rPr>
      <t>2)</t>
    </r>
    <r>
      <rPr>
        <sz val="11"/>
        <color theme="1"/>
        <rFont val="Calibri"/>
        <family val="2"/>
        <scheme val="minor"/>
      </rPr>
      <t xml:space="preserve"> When two clear cell carcinoma cell lines (RMG-I and TOV21G cells) with ADAM9m expression were treated with cisplatin, viability was significantly reduced and apoptosis increased in ADAM9m knockdown cells compared with mock transfectants. </t>
    </r>
  </si>
  <si>
    <r>
      <rPr>
        <b/>
        <sz val="11"/>
        <color theme="1"/>
        <rFont val="Calibri"/>
        <family val="2"/>
        <scheme val="minor"/>
      </rPr>
      <t>1)</t>
    </r>
    <r>
      <rPr>
        <sz val="11"/>
        <color theme="1"/>
        <rFont val="Calibri"/>
        <family val="2"/>
        <scheme val="minor"/>
      </rPr>
      <t xml:space="preserve"> </t>
    </r>
    <r>
      <rPr>
        <b/>
        <sz val="11"/>
        <color theme="1"/>
        <rFont val="Calibri"/>
        <family val="2"/>
        <scheme val="minor"/>
      </rPr>
      <t>AGR3</t>
    </r>
    <r>
      <rPr>
        <sz val="11"/>
        <color theme="1"/>
        <rFont val="Calibri"/>
        <family val="2"/>
        <scheme val="minor"/>
      </rPr>
      <t xml:space="preserve"> protein is expressed in four distinct </t>
    </r>
    <r>
      <rPr>
        <b/>
        <sz val="11"/>
        <color theme="1"/>
        <rFont val="Calibri"/>
        <family val="2"/>
        <scheme val="minor"/>
      </rPr>
      <t>ovarian</t>
    </r>
    <r>
      <rPr>
        <sz val="11"/>
        <color theme="1"/>
        <rFont val="Calibri"/>
        <family val="2"/>
        <scheme val="minor"/>
      </rPr>
      <t xml:space="preserve"> cancer subtypes and </t>
    </r>
    <r>
      <rPr>
        <b/>
        <sz val="11"/>
        <color theme="1"/>
        <rFont val="Calibri"/>
        <family val="2"/>
        <scheme val="minor"/>
      </rPr>
      <t>2)</t>
    </r>
    <r>
      <rPr>
        <sz val="11"/>
        <color theme="1"/>
        <rFont val="Calibri"/>
        <family val="2"/>
        <scheme val="minor"/>
      </rPr>
      <t xml:space="preserve"> is not linked to oestrogen receptor expression, </t>
    </r>
    <r>
      <rPr>
        <b/>
        <sz val="11"/>
        <color theme="1"/>
        <rFont val="Calibri"/>
        <family val="2"/>
        <scheme val="minor"/>
      </rPr>
      <t>3)</t>
    </r>
    <r>
      <rPr>
        <sz val="11"/>
        <color theme="1"/>
        <rFont val="Calibri"/>
        <family val="2"/>
        <scheme val="minor"/>
      </rPr>
      <t xml:space="preserve"> may act as a novel biomarker for ovarian cancer, in particular the endometrioid, clear cell, and mucinous subtype. </t>
    </r>
    <r>
      <rPr>
        <b/>
        <sz val="11"/>
        <color theme="1"/>
        <rFont val="Calibri"/>
        <family val="2"/>
        <scheme val="minor"/>
      </rPr>
      <t>4)</t>
    </r>
    <r>
      <rPr>
        <sz val="11"/>
        <color theme="1"/>
        <rFont val="Calibri"/>
        <family val="2"/>
        <scheme val="minor"/>
      </rPr>
      <t xml:space="preserve"> In mouse xenograft systems, cells that over-produce AGR3 were resistant and continued to grow in the presence of </t>
    </r>
    <r>
      <rPr>
        <b/>
        <sz val="11"/>
        <color theme="1"/>
        <rFont val="Calibri"/>
        <family val="2"/>
        <scheme val="minor"/>
      </rPr>
      <t>cisplatin</t>
    </r>
    <r>
      <rPr>
        <sz val="11"/>
        <color theme="1"/>
        <rFont val="Calibri"/>
        <family val="2"/>
        <scheme val="minor"/>
      </rPr>
      <t xml:space="preserve">. </t>
    </r>
  </si>
  <si>
    <r>
      <rPr>
        <b/>
        <sz val="11"/>
        <color theme="1"/>
        <rFont val="Calibri"/>
        <family val="2"/>
        <scheme val="minor"/>
      </rPr>
      <t>1)</t>
    </r>
    <r>
      <rPr>
        <sz val="11"/>
        <color theme="1"/>
        <rFont val="Calibri"/>
        <family val="2"/>
        <scheme val="minor"/>
      </rPr>
      <t xml:space="preserve"> in chemosensitive </t>
    </r>
    <r>
      <rPr>
        <b/>
        <sz val="11"/>
        <color theme="1"/>
        <rFont val="Calibri"/>
        <family val="2"/>
        <scheme val="minor"/>
      </rPr>
      <t>ovarian</t>
    </r>
    <r>
      <rPr>
        <sz val="11"/>
        <color theme="1"/>
        <rFont val="Calibri"/>
        <family val="2"/>
        <scheme val="minor"/>
      </rPr>
      <t xml:space="preserve"> cancer cells, </t>
    </r>
    <r>
      <rPr>
        <b/>
        <sz val="11"/>
        <color theme="1"/>
        <rFont val="Calibri"/>
        <family val="2"/>
        <scheme val="minor"/>
      </rPr>
      <t>cisplatin</t>
    </r>
    <r>
      <rPr>
        <sz val="11"/>
        <color theme="1"/>
        <rFont val="Calibri"/>
        <family val="2"/>
        <scheme val="minor"/>
      </rPr>
      <t xml:space="preserve"> induces the mitochondrial release and nuclear translocation of </t>
    </r>
    <r>
      <rPr>
        <b/>
        <sz val="11"/>
        <color theme="1"/>
        <rFont val="Calibri"/>
        <family val="2"/>
        <scheme val="minor"/>
      </rPr>
      <t>AIF</t>
    </r>
    <r>
      <rPr>
        <sz val="11"/>
        <color theme="1"/>
        <rFont val="Calibri"/>
        <family val="2"/>
        <scheme val="minor"/>
      </rPr>
      <t xml:space="preserve">, and AIF-dependent apoptosis. </t>
    </r>
    <r>
      <rPr>
        <b/>
        <sz val="11"/>
        <color theme="1"/>
        <rFont val="Calibri"/>
        <family val="2"/>
        <scheme val="minor"/>
      </rPr>
      <t xml:space="preserve">2) </t>
    </r>
    <r>
      <rPr>
        <sz val="11"/>
        <color theme="1"/>
        <rFont val="Calibri"/>
        <family val="2"/>
        <scheme val="minor"/>
      </rPr>
      <t xml:space="preserve">Cisplatin failed to induce these effects in the chemoresistant variant cells. </t>
    </r>
    <r>
      <rPr>
        <b/>
        <sz val="11"/>
        <color theme="1"/>
        <rFont val="Calibri"/>
        <family val="2"/>
        <scheme val="minor"/>
      </rPr>
      <t>3)</t>
    </r>
    <r>
      <rPr>
        <sz val="11"/>
        <color theme="1"/>
        <rFont val="Calibri"/>
        <family val="2"/>
        <scheme val="minor"/>
      </rPr>
      <t xml:space="preserve"> Overexpression of AIF sensitised resistant cells to cisplatin-induced apoptosis. </t>
    </r>
    <r>
      <rPr>
        <b/>
        <sz val="11"/>
        <color theme="1"/>
        <rFont val="Calibri"/>
        <family val="2"/>
        <scheme val="minor"/>
      </rPr>
      <t xml:space="preserve">4) </t>
    </r>
    <r>
      <rPr>
        <sz val="11"/>
        <color theme="1"/>
        <rFont val="Calibri"/>
        <family val="2"/>
        <scheme val="minor"/>
      </rPr>
      <t xml:space="preserve">activation of Akt attenuated the cisplatin-induced mitochondrial release and nuclear accumulation of AIF and apoptosis in chemosensitive cells, </t>
    </r>
    <r>
      <rPr>
        <b/>
        <sz val="11"/>
        <color theme="1"/>
        <rFont val="Calibri"/>
        <family val="2"/>
        <scheme val="minor"/>
      </rPr>
      <t xml:space="preserve">5) </t>
    </r>
    <r>
      <rPr>
        <sz val="11"/>
        <color theme="1"/>
        <rFont val="Calibri"/>
        <family val="2"/>
        <scheme val="minor"/>
      </rPr>
      <t xml:space="preserve">inhibition of Akt activity facilitated these effects and sensitised chemoresistant cells to AIF-dependent, cisplatin-induced apoptosis. </t>
    </r>
  </si>
  <si>
    <r>
      <rPr>
        <b/>
        <sz val="11"/>
        <color theme="1"/>
        <rFont val="Calibri"/>
        <family val="2"/>
        <scheme val="minor"/>
      </rPr>
      <t xml:space="preserve">1) </t>
    </r>
    <r>
      <rPr>
        <sz val="11"/>
        <color theme="1"/>
        <rFont val="Calibri"/>
        <family val="2"/>
        <scheme val="minor"/>
      </rPr>
      <t xml:space="preserve">In the nonresistant </t>
    </r>
    <r>
      <rPr>
        <b/>
        <sz val="11"/>
        <color theme="1"/>
        <rFont val="Calibri"/>
        <family val="2"/>
        <scheme val="minor"/>
      </rPr>
      <t>gastrointestinal</t>
    </r>
    <r>
      <rPr>
        <sz val="11"/>
        <color theme="1"/>
        <rFont val="Calibri"/>
        <family val="2"/>
        <scheme val="minor"/>
      </rPr>
      <t xml:space="preserve"> cancer MKN45 cells, the sensitivity to </t>
    </r>
    <r>
      <rPr>
        <b/>
        <sz val="11"/>
        <color theme="1"/>
        <rFont val="Calibri"/>
        <family val="2"/>
        <scheme val="minor"/>
      </rPr>
      <t>CDDP</t>
    </r>
    <r>
      <rPr>
        <sz val="11"/>
        <color theme="1"/>
        <rFont val="Calibri"/>
        <family val="2"/>
        <scheme val="minor"/>
      </rPr>
      <t xml:space="preserve"> was decreased by overexpression of </t>
    </r>
    <r>
      <rPr>
        <b/>
        <sz val="11"/>
        <color theme="1"/>
        <rFont val="Calibri"/>
        <family val="2"/>
        <scheme val="minor"/>
      </rPr>
      <t xml:space="preserve">AKR1B10 </t>
    </r>
    <r>
      <rPr>
        <sz val="11"/>
        <color theme="1"/>
        <rFont val="Calibri"/>
        <family val="2"/>
        <scheme val="minor"/>
      </rPr>
      <t xml:space="preserve">and increased by silencing of </t>
    </r>
    <r>
      <rPr>
        <b/>
        <sz val="11"/>
        <color theme="1"/>
        <rFont val="Calibri"/>
        <family val="2"/>
        <scheme val="minor"/>
      </rPr>
      <t>AKR1B10</t>
    </r>
    <r>
      <rPr>
        <sz val="11"/>
        <color theme="1"/>
        <rFont val="Calibri"/>
        <family val="2"/>
        <scheme val="minor"/>
      </rPr>
      <t xml:space="preserve">, respectively. </t>
    </r>
    <r>
      <rPr>
        <b/>
        <sz val="11"/>
        <color theme="1"/>
        <rFont val="Calibri"/>
        <family val="2"/>
        <scheme val="minor"/>
      </rPr>
      <t xml:space="preserve">2) </t>
    </r>
    <r>
      <rPr>
        <sz val="11"/>
        <color theme="1"/>
        <rFont val="Calibri"/>
        <family val="2"/>
        <scheme val="minor"/>
      </rPr>
      <t xml:space="preserve">the AKR1B10 overexpression markedly suppressed accumulation and cytotoxicity of </t>
    </r>
    <r>
      <rPr>
        <b/>
        <sz val="11"/>
        <color theme="1"/>
        <rFont val="Calibri"/>
        <family val="2"/>
        <scheme val="minor"/>
      </rPr>
      <t>4-hydroxy-2-nonenal</t>
    </r>
    <r>
      <rPr>
        <sz val="11"/>
        <color theme="1"/>
        <rFont val="Calibri"/>
        <family val="2"/>
        <scheme val="minor"/>
      </rPr>
      <t xml:space="preserve"> that is produced during </t>
    </r>
    <r>
      <rPr>
        <b/>
        <sz val="11"/>
        <color theme="1"/>
        <rFont val="Calibri"/>
        <family val="2"/>
        <scheme val="minor"/>
      </rPr>
      <t>lipid peroxidation</t>
    </r>
    <r>
      <rPr>
        <sz val="11"/>
        <color theme="1"/>
        <rFont val="Calibri"/>
        <family val="2"/>
        <scheme val="minor"/>
      </rPr>
      <t xml:space="preserve"> by CDDP treatment, suggesting that the enzyme acts as a crucial factor for facilitation of the CDDP resistance through inhibiting induction of oxidative stress by the drug. </t>
    </r>
  </si>
  <si>
    <r>
      <rPr>
        <b/>
        <sz val="11"/>
        <color theme="1"/>
        <rFont val="Calibri"/>
        <family val="2"/>
        <scheme val="minor"/>
      </rPr>
      <t>1) AKR1C1</t>
    </r>
    <r>
      <rPr>
        <sz val="11"/>
        <color theme="1"/>
        <rFont val="Calibri"/>
        <family val="2"/>
        <scheme val="minor"/>
      </rPr>
      <t xml:space="preserve"> and </t>
    </r>
    <r>
      <rPr>
        <b/>
        <sz val="11"/>
        <color theme="1"/>
        <rFont val="Calibri"/>
        <family val="2"/>
        <scheme val="minor"/>
      </rPr>
      <t>AKR1C3</t>
    </r>
    <r>
      <rPr>
        <sz val="11"/>
        <color theme="1"/>
        <rFont val="Calibri"/>
        <family val="2"/>
        <scheme val="minor"/>
      </rPr>
      <t xml:space="preserve"> are highly induced with the </t>
    </r>
    <r>
      <rPr>
        <b/>
        <sz val="11"/>
        <color theme="1"/>
        <rFont val="Calibri"/>
        <family val="2"/>
        <scheme val="minor"/>
      </rPr>
      <t>CDDP</t>
    </r>
    <r>
      <rPr>
        <sz val="11"/>
        <color theme="1"/>
        <rFont val="Calibri"/>
        <family val="2"/>
        <scheme val="minor"/>
      </rPr>
      <t xml:space="preserve"> resistance. </t>
    </r>
    <r>
      <rPr>
        <b/>
        <sz val="11"/>
        <color theme="1"/>
        <rFont val="Calibri"/>
        <family val="2"/>
        <scheme val="minor"/>
      </rPr>
      <t xml:space="preserve">2) </t>
    </r>
    <r>
      <rPr>
        <sz val="11"/>
        <color theme="1"/>
        <rFont val="Calibri"/>
        <family val="2"/>
        <scheme val="minor"/>
      </rPr>
      <t xml:space="preserve">The resistance lowered the sensitivity toward cellular damages evoked by oxidative stress-derived </t>
    </r>
    <r>
      <rPr>
        <b/>
        <sz val="11"/>
        <color theme="1"/>
        <rFont val="Calibri"/>
        <family val="2"/>
        <scheme val="minor"/>
      </rPr>
      <t>aldehydes</t>
    </r>
    <r>
      <rPr>
        <sz val="11"/>
        <color theme="1"/>
        <rFont val="Calibri"/>
        <family val="2"/>
        <scheme val="minor"/>
      </rPr>
      <t xml:space="preserve">, 4-hydroxy-2-nonenal and 4-oxo-2-nonenal that are detoxified by AKR1C1 and AKR1C3. </t>
    </r>
    <r>
      <rPr>
        <b/>
        <sz val="11"/>
        <color theme="1"/>
        <rFont val="Calibri"/>
        <family val="2"/>
        <scheme val="minor"/>
      </rPr>
      <t xml:space="preserve">3) </t>
    </r>
    <r>
      <rPr>
        <sz val="11"/>
        <color theme="1"/>
        <rFont val="Calibri"/>
        <family val="2"/>
        <scheme val="minor"/>
      </rPr>
      <t xml:space="preserve">Overexpression of </t>
    </r>
    <r>
      <rPr>
        <b/>
        <sz val="11"/>
        <color theme="1"/>
        <rFont val="Calibri"/>
        <family val="2"/>
        <scheme val="minor"/>
      </rPr>
      <t>AKR1C1</t>
    </r>
    <r>
      <rPr>
        <sz val="11"/>
        <color theme="1"/>
        <rFont val="Calibri"/>
        <family val="2"/>
        <scheme val="minor"/>
      </rPr>
      <t xml:space="preserve"> or </t>
    </r>
    <r>
      <rPr>
        <b/>
        <sz val="11"/>
        <color theme="1"/>
        <rFont val="Calibri"/>
        <family val="2"/>
        <scheme val="minor"/>
      </rPr>
      <t>AKR1C3</t>
    </r>
    <r>
      <rPr>
        <sz val="11"/>
        <color theme="1"/>
        <rFont val="Calibri"/>
        <family val="2"/>
        <scheme val="minor"/>
      </rPr>
      <t xml:space="preserve"> in the parental HCT15 cells mitigated the cytotoxicity of the </t>
    </r>
    <r>
      <rPr>
        <b/>
        <sz val="11"/>
        <color theme="1"/>
        <rFont val="Calibri"/>
        <family val="2"/>
        <scheme val="minor"/>
      </rPr>
      <t>aldehydes</t>
    </r>
    <r>
      <rPr>
        <sz val="11"/>
        <color theme="1"/>
        <rFont val="Calibri"/>
        <family val="2"/>
        <scheme val="minor"/>
      </rPr>
      <t xml:space="preserve"> and </t>
    </r>
    <r>
      <rPr>
        <b/>
        <sz val="11"/>
        <color theme="1"/>
        <rFont val="Calibri"/>
        <family val="2"/>
        <scheme val="minor"/>
      </rPr>
      <t>CDDP</t>
    </r>
    <r>
      <rPr>
        <sz val="11"/>
        <color theme="1"/>
        <rFont val="Calibri"/>
        <family val="2"/>
        <scheme val="minor"/>
      </rPr>
      <t>. </t>
    </r>
    <r>
      <rPr>
        <b/>
        <sz val="11"/>
        <color theme="1"/>
        <rFont val="Calibri"/>
        <family val="2"/>
        <scheme val="minor"/>
      </rPr>
      <t xml:space="preserve">4) </t>
    </r>
    <r>
      <rPr>
        <sz val="11"/>
        <color theme="1"/>
        <rFont val="Calibri"/>
        <family val="2"/>
        <scheme val="minor"/>
      </rPr>
      <t xml:space="preserve">Knockdown of both </t>
    </r>
    <r>
      <rPr>
        <b/>
        <sz val="11"/>
        <color theme="1"/>
        <rFont val="Calibri"/>
        <family val="2"/>
        <scheme val="minor"/>
      </rPr>
      <t>AKR1C1</t>
    </r>
    <r>
      <rPr>
        <sz val="11"/>
        <color theme="1"/>
        <rFont val="Calibri"/>
        <family val="2"/>
        <scheme val="minor"/>
      </rPr>
      <t xml:space="preserve"> and </t>
    </r>
    <r>
      <rPr>
        <b/>
        <sz val="11"/>
        <color theme="1"/>
        <rFont val="Calibri"/>
        <family val="2"/>
        <scheme val="minor"/>
      </rPr>
      <t>AKR1C3</t>
    </r>
    <r>
      <rPr>
        <sz val="11"/>
        <color theme="1"/>
        <rFont val="Calibri"/>
        <family val="2"/>
        <scheme val="minor"/>
      </rPr>
      <t xml:space="preserve"> in the resistant cells or treatment of the cells with specific inhibitors of the AKRs increased the sensitivity to CDDP toxicity. </t>
    </r>
    <r>
      <rPr>
        <b/>
        <sz val="11"/>
        <color theme="1"/>
        <rFont val="Calibri"/>
        <family val="2"/>
        <scheme val="minor"/>
      </rPr>
      <t>5)</t>
    </r>
    <r>
      <rPr>
        <sz val="11"/>
        <color theme="1"/>
        <rFont val="Calibri"/>
        <family val="2"/>
        <scheme val="minor"/>
      </rPr>
      <t xml:space="preserve"> DDH overexpression was found in a statistically significantly higher percentage of cisplatin-resistant cases than in cisplatin-sensitive cases.</t>
    </r>
    <r>
      <rPr>
        <b/>
        <sz val="11"/>
        <color theme="1"/>
        <rFont val="Calibri"/>
        <family val="2"/>
        <scheme val="minor"/>
      </rPr>
      <t xml:space="preserve"> 6)</t>
    </r>
    <r>
      <rPr>
        <sz val="11"/>
        <color theme="1"/>
        <rFont val="Calibri"/>
        <family val="2"/>
        <scheme val="minor"/>
      </rPr>
      <t xml:space="preserve"> Using multivariate analysis, only DDH retained as an independent role in predicting a poor chance of response to cisplatin-based treatment. </t>
    </r>
    <r>
      <rPr>
        <b/>
        <sz val="11"/>
        <color theme="1"/>
        <rFont val="Calibri"/>
        <family val="2"/>
        <scheme val="minor"/>
      </rPr>
      <t xml:space="preserve">7) </t>
    </r>
    <r>
      <rPr>
        <sz val="11"/>
        <color theme="1"/>
        <rFont val="Calibri"/>
        <family val="2"/>
        <scheme val="minor"/>
      </rPr>
      <t>In the advance stage, the DDH-positive group has a shorter PFS as compared with DDH-negative group, and this result closely approaches the statistical significance.</t>
    </r>
  </si>
  <si>
    <r>
      <rPr>
        <b/>
        <sz val="11"/>
        <color theme="1"/>
        <rFont val="Calibri"/>
        <family val="2"/>
        <scheme val="minor"/>
      </rPr>
      <t xml:space="preserve">1) AKR1C2 </t>
    </r>
    <r>
      <rPr>
        <sz val="11"/>
        <color theme="1"/>
        <rFont val="Calibri"/>
        <family val="2"/>
        <scheme val="minor"/>
      </rPr>
      <t xml:space="preserve">expression was found to be up-regulated in </t>
    </r>
    <r>
      <rPr>
        <b/>
        <sz val="11"/>
        <color theme="1"/>
        <rFont val="Calibri"/>
        <family val="2"/>
        <scheme val="minor"/>
      </rPr>
      <t>ESCC</t>
    </r>
    <r>
      <rPr>
        <sz val="11"/>
        <color theme="1"/>
        <rFont val="Calibri"/>
        <family val="2"/>
        <scheme val="minor"/>
      </rPr>
      <t xml:space="preserve"> tissues and was significantly associated with pathological stage, lymph node metastasis and worse outcomes. </t>
    </r>
    <r>
      <rPr>
        <b/>
        <sz val="11"/>
        <color theme="1"/>
        <rFont val="Calibri"/>
        <family val="2"/>
        <scheme val="minor"/>
      </rPr>
      <t>2)</t>
    </r>
    <r>
      <rPr>
        <sz val="11"/>
        <color theme="1"/>
        <rFont val="Calibri"/>
        <family val="2"/>
        <scheme val="minor"/>
      </rPr>
      <t xml:space="preserve"> an ectopic expression of </t>
    </r>
    <r>
      <rPr>
        <b/>
        <sz val="11"/>
        <color theme="1"/>
        <rFont val="Calibri"/>
        <family val="2"/>
        <scheme val="minor"/>
      </rPr>
      <t>AKR1C2</t>
    </r>
    <r>
      <rPr>
        <sz val="11"/>
        <color theme="1"/>
        <rFont val="Calibri"/>
        <family val="2"/>
        <scheme val="minor"/>
      </rPr>
      <t xml:space="preserve"> in </t>
    </r>
    <r>
      <rPr>
        <b/>
        <sz val="11"/>
        <color theme="1"/>
        <rFont val="Calibri"/>
        <family val="2"/>
        <scheme val="minor"/>
      </rPr>
      <t>ESCC</t>
    </r>
    <r>
      <rPr>
        <sz val="11"/>
        <color theme="1"/>
        <rFont val="Calibri"/>
        <family val="2"/>
        <scheme val="minor"/>
      </rPr>
      <t xml:space="preserve"> cells resulted in increased proliferation, migration and </t>
    </r>
    <r>
      <rPr>
        <b/>
        <sz val="11"/>
        <color theme="1"/>
        <rFont val="Calibri"/>
        <family val="2"/>
        <scheme val="minor"/>
      </rPr>
      <t>cisplatin</t>
    </r>
    <r>
      <rPr>
        <sz val="11"/>
        <color theme="1"/>
        <rFont val="Calibri"/>
        <family val="2"/>
        <scheme val="minor"/>
      </rPr>
      <t xml:space="preserve"> resistance, while knockdown led to inversing effects. </t>
    </r>
    <r>
      <rPr>
        <b/>
        <sz val="11"/>
        <color theme="1"/>
        <rFont val="Calibri"/>
        <family val="2"/>
        <scheme val="minor"/>
      </rPr>
      <t>3) AKR1C2</t>
    </r>
    <r>
      <rPr>
        <sz val="11"/>
        <color theme="1"/>
        <rFont val="Calibri"/>
        <family val="2"/>
        <scheme val="minor"/>
      </rPr>
      <t xml:space="preserve"> activated the </t>
    </r>
    <r>
      <rPr>
        <b/>
        <sz val="11"/>
        <color theme="1"/>
        <rFont val="Calibri"/>
        <family val="2"/>
        <scheme val="minor"/>
      </rPr>
      <t>PI3K/AKT</t>
    </r>
    <r>
      <rPr>
        <sz val="11"/>
        <color theme="1"/>
        <rFont val="Calibri"/>
        <family val="2"/>
        <scheme val="minor"/>
      </rPr>
      <t xml:space="preserve"> signalling pathway, furthermore, the inhibitor of PI3K or the selective inhibitor of AKR1C2 enzyme activity could reverse the aggressiveness and showed synergistic antitumour effect when combined with </t>
    </r>
    <r>
      <rPr>
        <b/>
        <sz val="11"/>
        <color theme="1"/>
        <rFont val="Calibri"/>
        <family val="2"/>
        <scheme val="minor"/>
      </rPr>
      <t>cisplatin</t>
    </r>
    <r>
      <rPr>
        <sz val="11"/>
        <color theme="1"/>
        <rFont val="Calibri"/>
        <family val="2"/>
        <scheme val="minor"/>
      </rPr>
      <t xml:space="preserve">, both in vitro and in vivo. </t>
    </r>
    <r>
      <rPr>
        <b/>
        <sz val="11"/>
        <color theme="1"/>
        <rFont val="Calibri"/>
        <family val="2"/>
        <scheme val="minor"/>
      </rPr>
      <t xml:space="preserve">4) </t>
    </r>
    <r>
      <rPr>
        <sz val="11"/>
        <color theme="1"/>
        <rFont val="Calibri"/>
        <family val="2"/>
        <scheme val="minor"/>
      </rPr>
      <t xml:space="preserve">In the human HT1376 </t>
    </r>
    <r>
      <rPr>
        <b/>
        <sz val="11"/>
        <color theme="1"/>
        <rFont val="Calibri"/>
        <family val="2"/>
        <scheme val="minor"/>
      </rPr>
      <t>bladder</t>
    </r>
    <r>
      <rPr>
        <sz val="11"/>
        <color theme="1"/>
        <rFont val="Calibri"/>
        <family val="2"/>
        <scheme val="minor"/>
      </rPr>
      <t xml:space="preserve"> cancer cell line and the </t>
    </r>
    <r>
      <rPr>
        <b/>
        <sz val="11"/>
        <color theme="1"/>
        <rFont val="Calibri"/>
        <family val="2"/>
        <scheme val="minor"/>
      </rPr>
      <t>cisplatin</t>
    </r>
    <r>
      <rPr>
        <sz val="11"/>
        <color theme="1"/>
        <rFont val="Calibri"/>
        <family val="2"/>
        <scheme val="minor"/>
      </rPr>
      <t xml:space="preserve">-resistant HT1376-CisR subline: </t>
    </r>
    <r>
      <rPr>
        <b/>
        <sz val="11"/>
        <color theme="1"/>
        <rFont val="Calibri"/>
        <family val="2"/>
        <scheme val="minor"/>
      </rPr>
      <t>AKR1C2</t>
    </r>
    <r>
      <rPr>
        <sz val="11"/>
        <color theme="1"/>
        <rFont val="Calibri"/>
        <family val="2"/>
        <scheme val="minor"/>
      </rPr>
      <t xml:space="preserve"> was expressed in HT1376-CisR cells, but not in the parental cells. </t>
    </r>
    <r>
      <rPr>
        <b/>
        <sz val="11"/>
        <color theme="1"/>
        <rFont val="Calibri"/>
        <family val="2"/>
        <scheme val="minor"/>
      </rPr>
      <t>5)</t>
    </r>
    <r>
      <rPr>
        <sz val="11"/>
        <color theme="1"/>
        <rFont val="Calibri"/>
        <family val="2"/>
        <scheme val="minor"/>
      </rPr>
      <t xml:space="preserve"> Silencing of </t>
    </r>
    <r>
      <rPr>
        <b/>
        <sz val="11"/>
        <color theme="1"/>
        <rFont val="Calibri"/>
        <family val="2"/>
        <scheme val="minor"/>
      </rPr>
      <t>AKR1C2</t>
    </r>
    <r>
      <rPr>
        <sz val="11"/>
        <color theme="1"/>
        <rFont val="Calibri"/>
        <family val="2"/>
        <scheme val="minor"/>
      </rPr>
      <t xml:space="preserve"> mRNA or inhibition of </t>
    </r>
    <r>
      <rPr>
        <b/>
        <sz val="11"/>
        <color theme="1"/>
        <rFont val="Calibri"/>
        <family val="2"/>
        <scheme val="minor"/>
      </rPr>
      <t xml:space="preserve">AKR1C2 </t>
    </r>
    <r>
      <rPr>
        <sz val="11"/>
        <color theme="1"/>
        <rFont val="Calibri"/>
        <family val="2"/>
        <scheme val="minor"/>
      </rPr>
      <t xml:space="preserve">by 5β-cholanic acid resulted in a decrease in the survival of cells following </t>
    </r>
    <r>
      <rPr>
        <b/>
        <sz val="11"/>
        <color theme="1"/>
        <rFont val="Calibri"/>
        <family val="2"/>
        <scheme val="minor"/>
      </rPr>
      <t>cisplatin</t>
    </r>
    <r>
      <rPr>
        <sz val="11"/>
        <color theme="1"/>
        <rFont val="Calibri"/>
        <family val="2"/>
        <scheme val="minor"/>
      </rPr>
      <t xml:space="preserve"> exposure. </t>
    </r>
    <r>
      <rPr>
        <b/>
        <sz val="11"/>
        <color theme="1"/>
        <rFont val="Calibri"/>
        <family val="2"/>
        <scheme val="minor"/>
      </rPr>
      <t>6)</t>
    </r>
    <r>
      <rPr>
        <sz val="11"/>
        <color theme="1"/>
        <rFont val="Calibri"/>
        <family val="2"/>
        <scheme val="minor"/>
      </rPr>
      <t xml:space="preserve"> The ROS levels in HT1376-CisR cells were significantly lower than those in HT1376 cells and knockdown of AKR1C2 mRNA significantly restored ROS levels. </t>
    </r>
    <r>
      <rPr>
        <b/>
        <sz val="11"/>
        <color theme="1"/>
        <rFont val="Calibri"/>
        <family val="2"/>
        <scheme val="minor"/>
      </rPr>
      <t>7) Cisplatin</t>
    </r>
    <r>
      <rPr>
        <sz val="11"/>
        <color theme="1"/>
        <rFont val="Calibri"/>
        <family val="2"/>
        <scheme val="minor"/>
      </rPr>
      <t xml:space="preserve"> exposure did not increase intracellular ROS in HT1376-CisR cells, although the level of intracellular ROS increased in HT1376 cells following </t>
    </r>
    <r>
      <rPr>
        <b/>
        <sz val="11"/>
        <color theme="1"/>
        <rFont val="Calibri"/>
        <family val="2"/>
        <scheme val="minor"/>
      </rPr>
      <t>cisplatin</t>
    </r>
    <r>
      <rPr>
        <sz val="11"/>
        <color theme="1"/>
        <rFont val="Calibri"/>
        <family val="2"/>
        <scheme val="minor"/>
      </rPr>
      <t xml:space="preserve"> exposure. Silencing of </t>
    </r>
    <r>
      <rPr>
        <b/>
        <sz val="11"/>
        <color theme="1"/>
        <rFont val="Calibri"/>
        <family val="2"/>
        <scheme val="minor"/>
      </rPr>
      <t>AKR1C2</t>
    </r>
    <r>
      <rPr>
        <sz val="11"/>
        <color theme="1"/>
        <rFont val="Calibri"/>
        <family val="2"/>
        <scheme val="minor"/>
      </rPr>
      <t xml:space="preserve"> mRNA restored the ROS increase response to </t>
    </r>
    <r>
      <rPr>
        <b/>
        <sz val="11"/>
        <color theme="1"/>
        <rFont val="Calibri"/>
        <family val="2"/>
        <scheme val="minor"/>
      </rPr>
      <t>cisplatin</t>
    </r>
    <r>
      <rPr>
        <sz val="11"/>
        <color theme="1"/>
        <rFont val="Calibri"/>
        <family val="2"/>
        <scheme val="minor"/>
      </rPr>
      <t xml:space="preserve"> and menadione as an oxidative stressor in HT1376-CisR cells. </t>
    </r>
    <r>
      <rPr>
        <b/>
        <sz val="11"/>
        <color theme="1"/>
        <rFont val="Calibri"/>
        <family val="2"/>
        <scheme val="minor"/>
      </rPr>
      <t xml:space="preserve">8) </t>
    </r>
    <r>
      <rPr>
        <sz val="11"/>
        <color theme="1"/>
        <rFont val="Calibri"/>
        <family val="2"/>
        <scheme val="minor"/>
      </rPr>
      <t xml:space="preserve">the secreted protein </t>
    </r>
    <r>
      <rPr>
        <b/>
        <sz val="11"/>
        <color theme="1"/>
        <rFont val="Calibri"/>
        <family val="2"/>
        <scheme val="minor"/>
      </rPr>
      <t>DDH2</t>
    </r>
    <r>
      <rPr>
        <sz val="11"/>
        <color theme="1"/>
        <rFont val="Calibri"/>
        <family val="2"/>
        <scheme val="minor"/>
      </rPr>
      <t xml:space="preserve"> was overexpressed in </t>
    </r>
    <r>
      <rPr>
        <b/>
        <sz val="11"/>
        <color theme="1"/>
        <rFont val="Calibri"/>
        <family val="2"/>
        <scheme val="minor"/>
      </rPr>
      <t>lung</t>
    </r>
    <r>
      <rPr>
        <sz val="11"/>
        <color theme="1"/>
        <rFont val="Calibri"/>
        <family val="2"/>
        <scheme val="minor"/>
      </rPr>
      <t xml:space="preserve"> cancer A549/DDP line as compared to its DDP-sensitive parental A549. </t>
    </r>
    <r>
      <rPr>
        <b/>
        <sz val="11"/>
        <color theme="1"/>
        <rFont val="Calibri"/>
        <family val="2"/>
        <scheme val="minor"/>
      </rPr>
      <t xml:space="preserve">9) </t>
    </r>
    <r>
      <rPr>
        <sz val="11"/>
        <color theme="1"/>
        <rFont val="Calibri"/>
        <family val="2"/>
        <scheme val="minor"/>
      </rPr>
      <t xml:space="preserve">baseline serum </t>
    </r>
    <r>
      <rPr>
        <b/>
        <sz val="11"/>
        <color theme="1"/>
        <rFont val="Calibri"/>
        <family val="2"/>
        <scheme val="minor"/>
      </rPr>
      <t>DDH2</t>
    </r>
    <r>
      <rPr>
        <sz val="11"/>
        <color theme="1"/>
        <rFont val="Calibri"/>
        <family val="2"/>
        <scheme val="minor"/>
      </rPr>
      <t xml:space="preserve"> level in the </t>
    </r>
    <r>
      <rPr>
        <b/>
        <sz val="11"/>
        <color theme="1"/>
        <rFont val="Calibri"/>
        <family val="2"/>
        <scheme val="minor"/>
      </rPr>
      <t>NSCLC</t>
    </r>
    <r>
      <rPr>
        <sz val="11"/>
        <color theme="1"/>
        <rFont val="Calibri"/>
        <family val="2"/>
        <scheme val="minor"/>
      </rPr>
      <t xml:space="preserve"> patients with a progression disease was significantly higher than the patients of response or stable disease and serum </t>
    </r>
    <r>
      <rPr>
        <b/>
        <sz val="11"/>
        <color theme="1"/>
        <rFont val="Calibri"/>
        <family val="2"/>
        <scheme val="minor"/>
      </rPr>
      <t>DDH2</t>
    </r>
    <r>
      <rPr>
        <sz val="11"/>
        <color theme="1"/>
        <rFont val="Calibri"/>
        <family val="2"/>
        <scheme val="minor"/>
      </rPr>
      <t xml:space="preserve"> levels were significantly increased after </t>
    </r>
    <r>
      <rPr>
        <b/>
        <sz val="11"/>
        <color theme="1"/>
        <rFont val="Calibri"/>
        <family val="2"/>
        <scheme val="minor"/>
      </rPr>
      <t>cisplatin</t>
    </r>
    <r>
      <rPr>
        <sz val="11"/>
        <color theme="1"/>
        <rFont val="Calibri"/>
        <family val="2"/>
        <scheme val="minor"/>
      </rPr>
      <t>-based doublet chemotherapy.</t>
    </r>
  </si>
  <si>
    <r>
      <rPr>
        <b/>
        <sz val="11"/>
        <color theme="1"/>
        <rFont val="Calibri"/>
        <family val="2"/>
        <scheme val="minor"/>
      </rPr>
      <t xml:space="preserve">1) </t>
    </r>
    <r>
      <rPr>
        <sz val="11"/>
        <color theme="1"/>
        <rFont val="Calibri"/>
        <family val="2"/>
        <scheme val="minor"/>
      </rPr>
      <t xml:space="preserve">constitutively active </t>
    </r>
    <r>
      <rPr>
        <b/>
        <sz val="11"/>
        <color theme="1"/>
        <rFont val="Calibri"/>
        <family val="2"/>
        <scheme val="minor"/>
      </rPr>
      <t>AKT2</t>
    </r>
    <r>
      <rPr>
        <sz val="11"/>
        <color theme="1"/>
        <rFont val="Calibri"/>
        <family val="2"/>
        <scheme val="minor"/>
      </rPr>
      <t xml:space="preserve"> renders </t>
    </r>
    <r>
      <rPr>
        <b/>
        <sz val="11"/>
        <color theme="1"/>
        <rFont val="Calibri"/>
        <family val="2"/>
        <scheme val="minor"/>
      </rPr>
      <t>cisplatin</t>
    </r>
    <r>
      <rPr>
        <sz val="11"/>
        <color theme="1"/>
        <rFont val="Calibri"/>
        <family val="2"/>
        <scheme val="minor"/>
      </rPr>
      <t xml:space="preserve">-sensitive A2780S </t>
    </r>
    <r>
      <rPr>
        <b/>
        <sz val="11"/>
        <color theme="1"/>
        <rFont val="Calibri"/>
        <family val="2"/>
        <scheme val="minor"/>
      </rPr>
      <t>ovarian</t>
    </r>
    <r>
      <rPr>
        <sz val="11"/>
        <color theme="1"/>
        <rFont val="Calibri"/>
        <family val="2"/>
        <scheme val="minor"/>
      </rPr>
      <t xml:space="preserve"> cancer cells resistant to cisplatin,</t>
    </r>
    <r>
      <rPr>
        <b/>
        <sz val="11"/>
        <color theme="1"/>
        <rFont val="Calibri"/>
        <family val="2"/>
        <scheme val="minor"/>
      </rPr>
      <t xml:space="preserve"> 2)</t>
    </r>
    <r>
      <rPr>
        <sz val="11"/>
        <color theme="1"/>
        <rFont val="Calibri"/>
        <family val="2"/>
        <scheme val="minor"/>
      </rPr>
      <t xml:space="preserve"> phosphatidylinositol 3-kinase inhibitor or dominant negative AKT2 sensitizes A2780S and </t>
    </r>
    <r>
      <rPr>
        <b/>
        <sz val="11"/>
        <color theme="1"/>
        <rFont val="Calibri"/>
        <family val="2"/>
        <scheme val="minor"/>
      </rPr>
      <t>cisplatin</t>
    </r>
    <r>
      <rPr>
        <sz val="11"/>
        <color theme="1"/>
        <rFont val="Calibri"/>
        <family val="2"/>
        <scheme val="minor"/>
      </rPr>
      <t xml:space="preserve">-resistant A2780CP cells to cisplatin-induced apoptosis through regulation of the ASK1/JNK/p38 pathway. </t>
    </r>
    <r>
      <rPr>
        <b/>
        <sz val="11"/>
        <color theme="1"/>
        <rFont val="Calibri"/>
        <family val="2"/>
        <scheme val="minor"/>
      </rPr>
      <t xml:space="preserve">3) </t>
    </r>
    <r>
      <rPr>
        <sz val="11"/>
        <color theme="1"/>
        <rFont val="Calibri"/>
        <family val="2"/>
        <scheme val="minor"/>
      </rPr>
      <t xml:space="preserve">AKT2 interacts with and phosphorylates ASK1 at Ser-83 resulting in inhibition of its kinase activity. Accordingly, activated AKT2 blocked signaling down-stream of ASK1, including activation of JNK and p38 and the conversion of Bax to its active conformation. </t>
    </r>
    <r>
      <rPr>
        <b/>
        <sz val="11"/>
        <color theme="1"/>
        <rFont val="Calibri"/>
        <family val="2"/>
        <scheme val="minor"/>
      </rPr>
      <t xml:space="preserve">4) </t>
    </r>
    <r>
      <rPr>
        <sz val="11"/>
        <color theme="1"/>
        <rFont val="Calibri"/>
        <family val="2"/>
        <scheme val="minor"/>
      </rPr>
      <t xml:space="preserve">Overexpression of AKT2/Protein Kinase Bβ Leads to Up-Regulation of β1 Integrins, Increased Invasion, and Metastasis in Vivo. </t>
    </r>
  </si>
  <si>
    <r>
      <rPr>
        <b/>
        <sz val="11"/>
        <color theme="1"/>
        <rFont val="Calibri"/>
        <family val="2"/>
        <scheme val="minor"/>
      </rPr>
      <t>1)</t>
    </r>
    <r>
      <rPr>
        <sz val="11"/>
        <color theme="1"/>
        <rFont val="Calibri"/>
        <family val="2"/>
        <scheme val="minor"/>
      </rPr>
      <t xml:space="preserve"> </t>
    </r>
    <r>
      <rPr>
        <b/>
        <sz val="11"/>
        <color theme="1"/>
        <rFont val="Calibri"/>
        <family val="2"/>
        <scheme val="minor"/>
      </rPr>
      <t>ALDH1A1</t>
    </r>
    <r>
      <rPr>
        <sz val="11"/>
        <color theme="1"/>
        <rFont val="Calibri"/>
        <family val="2"/>
        <scheme val="minor"/>
      </rPr>
      <t xml:space="preserve"> is overexpressed in </t>
    </r>
    <r>
      <rPr>
        <b/>
        <sz val="11"/>
        <color theme="1"/>
        <rFont val="Calibri"/>
        <family val="2"/>
        <scheme val="minor"/>
      </rPr>
      <t>cisplatin</t>
    </r>
    <r>
      <rPr>
        <sz val="11"/>
        <color theme="1"/>
        <rFont val="Calibri"/>
        <family val="2"/>
        <scheme val="minor"/>
      </rPr>
      <t> resistant human</t>
    </r>
    <r>
      <rPr>
        <b/>
        <sz val="11"/>
        <color theme="1"/>
        <rFont val="Calibri"/>
        <family val="2"/>
        <scheme val="minor"/>
      </rPr>
      <t xml:space="preserve"> lung </t>
    </r>
    <r>
      <rPr>
        <sz val="11"/>
        <color theme="1"/>
        <rFont val="Calibri"/>
        <family val="2"/>
        <scheme val="minor"/>
      </rPr>
      <t xml:space="preserve">adenocarcinoma cell line A549/DDP, compared with A549. </t>
    </r>
    <r>
      <rPr>
        <b/>
        <sz val="11"/>
        <color theme="1"/>
        <rFont val="Calibri"/>
        <family val="2"/>
        <scheme val="minor"/>
      </rPr>
      <t>2)</t>
    </r>
    <r>
      <rPr>
        <sz val="11"/>
        <color theme="1"/>
        <rFont val="Calibri"/>
        <family val="2"/>
        <scheme val="minor"/>
      </rPr>
      <t xml:space="preserve"> </t>
    </r>
    <r>
      <rPr>
        <b/>
        <sz val="11"/>
        <color theme="1"/>
        <rFont val="Calibri"/>
        <family val="2"/>
        <scheme val="minor"/>
      </rPr>
      <t>ALDH1A1</t>
    </r>
    <r>
      <rPr>
        <sz val="11"/>
        <color theme="1"/>
        <rFont val="Calibri"/>
        <family val="2"/>
        <scheme val="minor"/>
      </rPr>
      <t xml:space="preserve"> depletion significantly decreased A549/DDP proliferation, increased apoptosis, and reduced </t>
    </r>
    <r>
      <rPr>
        <b/>
        <sz val="11"/>
        <color theme="1"/>
        <rFont val="Calibri"/>
        <family val="2"/>
        <scheme val="minor"/>
      </rPr>
      <t>cisplatin</t>
    </r>
    <r>
      <rPr>
        <sz val="11"/>
        <color theme="1"/>
        <rFont val="Calibri"/>
        <family val="2"/>
        <scheme val="minor"/>
      </rPr>
      <t xml:space="preserve"> resistance. </t>
    </r>
    <r>
      <rPr>
        <b/>
        <sz val="11"/>
        <color theme="1"/>
        <rFont val="Calibri"/>
        <family val="2"/>
        <scheme val="minor"/>
      </rPr>
      <t>3)</t>
    </r>
    <r>
      <rPr>
        <sz val="11"/>
        <color theme="1"/>
        <rFont val="Calibri"/>
        <family val="2"/>
        <scheme val="minor"/>
      </rPr>
      <t xml:space="preserve"> </t>
    </r>
    <r>
      <rPr>
        <b/>
        <sz val="11"/>
        <color theme="1"/>
        <rFont val="Calibri"/>
        <family val="2"/>
        <scheme val="minor"/>
      </rPr>
      <t>ALDH1A1</t>
    </r>
    <r>
      <rPr>
        <sz val="11"/>
        <color theme="1"/>
        <rFont val="Calibri"/>
        <family val="2"/>
        <scheme val="minor"/>
      </rPr>
      <t xml:space="preserve"> expression and activity was significantly higher in taxane- and </t>
    </r>
    <r>
      <rPr>
        <b/>
        <sz val="11"/>
        <color theme="1"/>
        <rFont val="Calibri"/>
        <family val="2"/>
        <scheme val="minor"/>
      </rPr>
      <t>platinum</t>
    </r>
    <r>
      <rPr>
        <sz val="11"/>
        <color theme="1"/>
        <rFont val="Calibri"/>
        <family val="2"/>
        <scheme val="minor"/>
      </rPr>
      <t xml:space="preserve">-resistant </t>
    </r>
    <r>
      <rPr>
        <b/>
        <sz val="11"/>
        <color theme="1"/>
        <rFont val="Calibri"/>
        <family val="2"/>
        <scheme val="minor"/>
      </rPr>
      <t>ovarian</t>
    </r>
    <r>
      <rPr>
        <sz val="11"/>
        <color theme="1"/>
        <rFont val="Calibri"/>
        <family val="2"/>
        <scheme val="minor"/>
      </rPr>
      <t xml:space="preserve"> cancer cell lines. </t>
    </r>
    <r>
      <rPr>
        <b/>
        <sz val="11"/>
        <color theme="1"/>
        <rFont val="Calibri"/>
        <family val="2"/>
        <scheme val="minor"/>
      </rPr>
      <t xml:space="preserve">4) </t>
    </r>
    <r>
      <rPr>
        <sz val="11"/>
        <color theme="1"/>
        <rFont val="Calibri"/>
        <family val="2"/>
        <scheme val="minor"/>
      </rPr>
      <t xml:space="preserve">In patient samples, 72.9% of </t>
    </r>
    <r>
      <rPr>
        <b/>
        <sz val="11"/>
        <color theme="1"/>
        <rFont val="Calibri"/>
        <family val="2"/>
        <scheme val="minor"/>
      </rPr>
      <t>ovarian</t>
    </r>
    <r>
      <rPr>
        <sz val="11"/>
        <color theme="1"/>
        <rFont val="Calibri"/>
        <family val="2"/>
        <scheme val="minor"/>
      </rPr>
      <t xml:space="preserve"> cancers had </t>
    </r>
    <r>
      <rPr>
        <b/>
        <sz val="11"/>
        <color theme="1"/>
        <rFont val="Calibri"/>
        <family val="2"/>
        <scheme val="minor"/>
      </rPr>
      <t>ALDH1A1</t>
    </r>
    <r>
      <rPr>
        <sz val="11"/>
        <color theme="1"/>
        <rFont val="Calibri"/>
        <family val="2"/>
        <scheme val="minor"/>
      </rPr>
      <t xml:space="preserve"> expression in which the percentage of </t>
    </r>
    <r>
      <rPr>
        <b/>
        <sz val="11"/>
        <color theme="1"/>
        <rFont val="Calibri"/>
        <family val="2"/>
        <scheme val="minor"/>
      </rPr>
      <t>ALDH1A1</t>
    </r>
    <r>
      <rPr>
        <sz val="11"/>
        <color theme="1"/>
        <rFont val="Calibri"/>
        <family val="2"/>
        <scheme val="minor"/>
      </rPr>
      <t xml:space="preserve">-positive cells correlated negatively with progression-free survival. </t>
    </r>
    <r>
      <rPr>
        <b/>
        <sz val="11"/>
        <color theme="1"/>
        <rFont val="Calibri"/>
        <family val="2"/>
        <scheme val="minor"/>
      </rPr>
      <t xml:space="preserve">5) </t>
    </r>
    <r>
      <rPr>
        <sz val="11"/>
        <color theme="1"/>
        <rFont val="Calibri"/>
        <family val="2"/>
        <scheme val="minor"/>
      </rPr>
      <t xml:space="preserve">In an in vivo orthotopic mouse model of ovarian cancer, </t>
    </r>
    <r>
      <rPr>
        <b/>
        <sz val="11"/>
        <color theme="1"/>
        <rFont val="Calibri"/>
        <family val="2"/>
        <scheme val="minor"/>
      </rPr>
      <t>ALDH1A1</t>
    </r>
    <r>
      <rPr>
        <sz val="11"/>
        <color theme="1"/>
        <rFont val="Calibri"/>
        <family val="2"/>
        <scheme val="minor"/>
      </rPr>
      <t xml:space="preserve"> silencing using nanoliposomal siRNA sensitized both taxane- and </t>
    </r>
    <r>
      <rPr>
        <b/>
        <sz val="11"/>
        <color theme="1"/>
        <rFont val="Calibri"/>
        <family val="2"/>
        <scheme val="minor"/>
      </rPr>
      <t>platinum</t>
    </r>
    <r>
      <rPr>
        <sz val="11"/>
        <color theme="1"/>
        <rFont val="Calibri"/>
        <family val="2"/>
        <scheme val="minor"/>
      </rPr>
      <t xml:space="preserve">-resistant cell lines to chemotherapy, significantly reducing tumor growth in mice compared with chemotherapy alone. </t>
    </r>
    <r>
      <rPr>
        <b/>
        <sz val="11"/>
        <color theme="1"/>
        <rFont val="Calibri"/>
        <family val="2"/>
        <scheme val="minor"/>
      </rPr>
      <t>6)</t>
    </r>
    <r>
      <rPr>
        <sz val="11"/>
        <color theme="1"/>
        <rFont val="Calibri"/>
        <family val="2"/>
        <scheme val="minor"/>
      </rPr>
      <t xml:space="preserve"> Fourteen patients (26.9 %) had </t>
    </r>
    <r>
      <rPr>
        <b/>
        <sz val="11"/>
        <color theme="1"/>
        <rFont val="Calibri"/>
        <family val="2"/>
        <scheme val="minor"/>
      </rPr>
      <t>ALDH1</t>
    </r>
    <r>
      <rPr>
        <sz val="11"/>
        <color theme="1"/>
        <rFont val="Calibri"/>
        <family val="2"/>
        <scheme val="minor"/>
      </rPr>
      <t>-positive tumors pre-</t>
    </r>
    <r>
      <rPr>
        <b/>
        <sz val="11"/>
        <color theme="1"/>
        <rFont val="Calibri"/>
        <family val="2"/>
        <scheme val="minor"/>
      </rPr>
      <t>NAC</t>
    </r>
    <r>
      <rPr>
        <sz val="11"/>
        <color theme="1"/>
        <rFont val="Calibri"/>
        <family val="2"/>
        <scheme val="minor"/>
      </rPr>
      <t>, and ALDH1 expression pre-</t>
    </r>
    <r>
      <rPr>
        <b/>
        <sz val="11"/>
        <color theme="1"/>
        <rFont val="Calibri"/>
        <family val="2"/>
        <scheme val="minor"/>
      </rPr>
      <t>NAC</t>
    </r>
    <r>
      <rPr>
        <sz val="11"/>
        <color theme="1"/>
        <rFont val="Calibri"/>
        <family val="2"/>
        <scheme val="minor"/>
      </rPr>
      <t xml:space="preserve"> was significantly associated with a low clinical </t>
    </r>
    <r>
      <rPr>
        <b/>
        <sz val="11"/>
        <color theme="1"/>
        <rFont val="Calibri"/>
        <family val="2"/>
        <scheme val="minor"/>
      </rPr>
      <t>chemotherapy</t>
    </r>
    <r>
      <rPr>
        <sz val="11"/>
        <color theme="1"/>
        <rFont val="Calibri"/>
        <family val="2"/>
        <scheme val="minor"/>
      </rPr>
      <t xml:space="preserve"> response rate and clinical non-response.</t>
    </r>
    <r>
      <rPr>
        <b/>
        <sz val="11"/>
        <color theme="1"/>
        <rFont val="Calibri"/>
        <family val="2"/>
        <scheme val="minor"/>
      </rPr>
      <t xml:space="preserve"> 7)</t>
    </r>
    <r>
      <rPr>
        <sz val="11"/>
        <color theme="1"/>
        <rFont val="Calibri"/>
        <family val="2"/>
        <scheme val="minor"/>
      </rPr>
      <t xml:space="preserve"> Immunohistochemical staining for </t>
    </r>
    <r>
      <rPr>
        <b/>
        <sz val="11"/>
        <color theme="1"/>
        <rFont val="Calibri"/>
        <family val="2"/>
        <scheme val="minor"/>
      </rPr>
      <t>ALDH1</t>
    </r>
    <r>
      <rPr>
        <sz val="11"/>
        <color theme="1"/>
        <rFont val="Calibri"/>
        <family val="2"/>
        <scheme val="minor"/>
      </rPr>
      <t xml:space="preserve"> on a tissue microarray containing 84 epithelial </t>
    </r>
    <r>
      <rPr>
        <b/>
        <sz val="11"/>
        <color theme="1"/>
        <rFont val="Calibri"/>
        <family val="2"/>
        <scheme val="minor"/>
      </rPr>
      <t>ovarian</t>
    </r>
    <r>
      <rPr>
        <sz val="11"/>
        <color theme="1"/>
        <rFont val="Calibri"/>
        <family val="2"/>
        <scheme val="minor"/>
      </rPr>
      <t xml:space="preserve"> cancer samples revealed that patients with higher</t>
    </r>
    <r>
      <rPr>
        <b/>
        <sz val="11"/>
        <color theme="1"/>
        <rFont val="Calibri"/>
        <family val="2"/>
        <scheme val="minor"/>
      </rPr>
      <t xml:space="preserve"> ALDH1</t>
    </r>
    <r>
      <rPr>
        <sz val="11"/>
        <color theme="1"/>
        <rFont val="Calibri"/>
        <family val="2"/>
        <scheme val="minor"/>
      </rPr>
      <t xml:space="preserve"> expression (&gt;50%) had poor overall survival, compared with those with lower </t>
    </r>
    <r>
      <rPr>
        <b/>
        <sz val="11"/>
        <color theme="1"/>
        <rFont val="Calibri"/>
        <family val="2"/>
        <scheme val="minor"/>
      </rPr>
      <t>ALDH1</t>
    </r>
    <r>
      <rPr>
        <sz val="11"/>
        <color theme="1"/>
        <rFont val="Calibri"/>
        <family val="2"/>
        <scheme val="minor"/>
      </rPr>
      <t xml:space="preserve"> (P = 0.004). The results did not support ALDH1 alone as an ovarian cancer stem cell marker, but demonstrated that ALDH1 is associated with CD44 expression, chemoresistance, and poor clinical outcome. </t>
    </r>
  </si>
  <si>
    <r>
      <rPr>
        <b/>
        <sz val="11"/>
        <color theme="1"/>
        <rFont val="Calibri"/>
        <family val="2"/>
        <scheme val="minor"/>
      </rPr>
      <t>1)</t>
    </r>
    <r>
      <rPr>
        <sz val="11"/>
        <color theme="1"/>
        <rFont val="Calibri"/>
        <family val="2"/>
        <scheme val="minor"/>
      </rPr>
      <t xml:space="preserve"> Chemoresistant cancer cells express high levels of aldehyde dehydrogenases (ALDHs), particularly in </t>
    </r>
    <r>
      <rPr>
        <b/>
        <sz val="11"/>
        <color theme="1"/>
        <rFont val="Calibri"/>
        <family val="2"/>
        <scheme val="minor"/>
      </rPr>
      <t>head and neck</t>
    </r>
    <r>
      <rPr>
        <sz val="11"/>
        <color theme="1"/>
        <rFont val="Calibri"/>
        <family val="2"/>
        <scheme val="minor"/>
      </rPr>
      <t xml:space="preserve"> squamous cell carcinoma (HNSCC). </t>
    </r>
    <r>
      <rPr>
        <b/>
        <sz val="11"/>
        <color theme="1"/>
        <rFont val="Calibri"/>
        <family val="2"/>
        <scheme val="minor"/>
      </rPr>
      <t>2)</t>
    </r>
    <r>
      <rPr>
        <sz val="11"/>
        <color theme="1"/>
        <rFont val="Calibri"/>
        <family val="2"/>
        <scheme val="minor"/>
      </rPr>
      <t xml:space="preserve"> many chemotherapeutic agents, such as </t>
    </r>
    <r>
      <rPr>
        <b/>
        <sz val="11"/>
        <color theme="1"/>
        <rFont val="Calibri"/>
        <family val="2"/>
        <scheme val="minor"/>
      </rPr>
      <t>cisplatin</t>
    </r>
    <r>
      <rPr>
        <sz val="11"/>
        <color theme="1"/>
        <rFont val="Calibri"/>
        <family val="2"/>
        <scheme val="minor"/>
      </rPr>
      <t xml:space="preserve">, result in the generation of cytotoxic aldehydes and oxidative stress. </t>
    </r>
    <r>
      <rPr>
        <b/>
        <sz val="11"/>
        <color theme="1"/>
        <rFont val="Calibri"/>
        <family val="2"/>
        <scheme val="minor"/>
      </rPr>
      <t>3)</t>
    </r>
    <r>
      <rPr>
        <sz val="11"/>
        <color theme="1"/>
        <rFont val="Calibri"/>
        <family val="2"/>
        <scheme val="minor"/>
      </rPr>
      <t xml:space="preserve"> Activation of ALDH3A1 by a small molecule activator (Alda-89) increased survival of HNSCC cells treated with cisplatin. Conversely, treatment with a small molecule ALDH inhibitor (Aldi-6) resulted in a greater </t>
    </r>
    <r>
      <rPr>
        <b/>
        <sz val="11"/>
        <color theme="1"/>
        <rFont val="Calibri"/>
        <family val="2"/>
        <scheme val="minor"/>
      </rPr>
      <t>reduction in tumor burden in vivo</t>
    </r>
    <r>
      <rPr>
        <sz val="11"/>
        <color theme="1"/>
        <rFont val="Calibri"/>
        <family val="2"/>
        <scheme val="minor"/>
      </rPr>
      <t xml:space="preserve"> than what was observed with cisplatin alone.  </t>
    </r>
  </si>
  <si>
    <r>
      <rPr>
        <b/>
        <sz val="11"/>
        <color theme="1"/>
        <rFont val="Calibri"/>
        <family val="2"/>
        <scheme val="minor"/>
      </rPr>
      <t xml:space="preserve">1) </t>
    </r>
    <r>
      <rPr>
        <sz val="11"/>
        <color theme="1"/>
        <rFont val="Calibri"/>
        <family val="2"/>
        <scheme val="minor"/>
      </rPr>
      <t xml:space="preserve">Overexpression of </t>
    </r>
    <r>
      <rPr>
        <b/>
        <sz val="11"/>
        <color theme="1"/>
        <rFont val="Calibri"/>
        <family val="2"/>
        <scheme val="minor"/>
      </rPr>
      <t>ALDOA</t>
    </r>
    <r>
      <rPr>
        <sz val="11"/>
        <color theme="1"/>
        <rFont val="Calibri"/>
        <family val="2"/>
        <scheme val="minor"/>
      </rPr>
      <t xml:space="preserve"> in </t>
    </r>
    <r>
      <rPr>
        <b/>
        <sz val="11"/>
        <color theme="1"/>
        <rFont val="Calibri"/>
        <family val="2"/>
        <scheme val="minor"/>
      </rPr>
      <t>Osteosarcoma</t>
    </r>
    <r>
      <rPr>
        <sz val="11"/>
        <color theme="1"/>
        <rFont val="Calibri"/>
        <family val="2"/>
        <scheme val="minor"/>
      </rPr>
      <t xml:space="preserve"> MG-63 cells significantly increased in vitro cell invasion, matrix metalloproteinase (MMP)-2 expression, and cell survival against</t>
    </r>
    <r>
      <rPr>
        <b/>
        <sz val="11"/>
        <color theme="1"/>
        <rFont val="Calibri"/>
        <family val="2"/>
        <scheme val="minor"/>
      </rPr>
      <t xml:space="preserve"> cisplatin</t>
    </r>
    <r>
      <rPr>
        <sz val="11"/>
        <color theme="1"/>
        <rFont val="Calibri"/>
        <family val="2"/>
        <scheme val="minor"/>
      </rPr>
      <t xml:space="preserve">-induced apoptosis. </t>
    </r>
    <r>
      <rPr>
        <b/>
        <sz val="11"/>
        <color theme="1"/>
        <rFont val="Calibri"/>
        <family val="2"/>
        <scheme val="minor"/>
      </rPr>
      <t xml:space="preserve">2) </t>
    </r>
    <r>
      <rPr>
        <sz val="11"/>
        <color theme="1"/>
        <rFont val="Calibri"/>
        <family val="2"/>
        <scheme val="minor"/>
      </rPr>
      <t>On the other hand, knockdown of ALDOA in U-2 cells markedly decreased in vitro cell invasion, MMP-2 expression, and cell survival against cisplatin-induced apoptosis. </t>
    </r>
    <r>
      <rPr>
        <b/>
        <sz val="11"/>
        <color theme="1"/>
        <rFont val="Calibri"/>
        <family val="2"/>
        <scheme val="minor"/>
      </rPr>
      <t xml:space="preserve">3) </t>
    </r>
    <r>
      <rPr>
        <sz val="11"/>
        <color theme="1"/>
        <rFont val="Calibri"/>
        <family val="2"/>
        <scheme val="minor"/>
      </rPr>
      <t xml:space="preserve">expressions of glycolytic enzymes pyruvate kinase, glucose-6-phosphate isomerase, </t>
    </r>
    <r>
      <rPr>
        <b/>
        <sz val="11"/>
        <color theme="1"/>
        <rFont val="Calibri"/>
        <family val="2"/>
        <scheme val="minor"/>
      </rPr>
      <t>fructose-bisphosphate aldolase</t>
    </r>
    <r>
      <rPr>
        <sz val="11"/>
        <color theme="1"/>
        <rFont val="Calibri"/>
        <family val="2"/>
        <scheme val="minor"/>
      </rPr>
      <t xml:space="preserve">, lactate dehydrogenase, and phosphoglycerate kinase 1 were down-regulated in CDDP resistant cells, indicating drug resistance in </t>
    </r>
    <r>
      <rPr>
        <b/>
        <sz val="11"/>
        <color theme="1"/>
        <rFont val="Calibri"/>
        <family val="2"/>
        <scheme val="minor"/>
      </rPr>
      <t>ovarian</t>
    </r>
    <r>
      <rPr>
        <sz val="11"/>
        <color theme="1"/>
        <rFont val="Calibri"/>
        <family val="2"/>
        <scheme val="minor"/>
      </rPr>
      <t xml:space="preserve"> cancer is directly associated with a decrease in glycolysis.</t>
    </r>
  </si>
  <si>
    <r>
      <rPr>
        <b/>
        <sz val="11"/>
        <color theme="1"/>
        <rFont val="Calibri"/>
        <family val="2"/>
        <scheme val="minor"/>
      </rPr>
      <t>1) AlkB</t>
    </r>
    <r>
      <rPr>
        <sz val="11"/>
        <color theme="1"/>
        <rFont val="Calibri"/>
        <family val="2"/>
        <scheme val="minor"/>
      </rPr>
      <t xml:space="preserve"> homolog 3 was overexpressed in </t>
    </r>
    <r>
      <rPr>
        <b/>
        <sz val="11"/>
        <color theme="1"/>
        <rFont val="Calibri"/>
        <family val="2"/>
        <scheme val="minor"/>
      </rPr>
      <t>HCC</t>
    </r>
    <r>
      <rPr>
        <sz val="11"/>
        <color theme="1"/>
        <rFont val="Calibri"/>
        <family val="2"/>
        <scheme val="minor"/>
      </rPr>
      <t xml:space="preserve"> compared with adjacent non-tumorous specimens. </t>
    </r>
    <r>
      <rPr>
        <b/>
        <sz val="11"/>
        <color theme="1"/>
        <rFont val="Calibri"/>
        <family val="2"/>
        <scheme val="minor"/>
      </rPr>
      <t>2) ALKBH3</t>
    </r>
    <r>
      <rPr>
        <sz val="11"/>
        <color theme="1"/>
        <rFont val="Calibri"/>
        <family val="2"/>
        <scheme val="minor"/>
      </rPr>
      <t xml:space="preserve"> expression was closely related to tumor differentiation and tumor-node-metastasis stage. </t>
    </r>
    <r>
      <rPr>
        <b/>
        <sz val="11"/>
        <color theme="1"/>
        <rFont val="Calibri"/>
        <family val="2"/>
        <scheme val="minor"/>
      </rPr>
      <t xml:space="preserve">3) </t>
    </r>
    <r>
      <rPr>
        <sz val="11"/>
        <color theme="1"/>
        <rFont val="Calibri"/>
        <family val="2"/>
        <scheme val="minor"/>
      </rPr>
      <t xml:space="preserve">the ALKBH3 high expression in tumor tissues of HCC patients had more poor disease-free survival and overall survival than low-expression patients. </t>
    </r>
    <r>
      <rPr>
        <b/>
        <sz val="11"/>
        <color theme="1"/>
        <rFont val="Calibri"/>
        <family val="2"/>
        <scheme val="minor"/>
      </rPr>
      <t>4)</t>
    </r>
    <r>
      <rPr>
        <sz val="11"/>
        <color theme="1"/>
        <rFont val="Calibri"/>
        <family val="2"/>
        <scheme val="minor"/>
      </rPr>
      <t xml:space="preserve"> knockdown of ALKBH3 inhibits HCC cell proliferation in vitro and xenograft tumor formation in vivo </t>
    </r>
    <r>
      <rPr>
        <b/>
        <sz val="11"/>
        <color theme="1"/>
        <rFont val="Calibri"/>
        <family val="2"/>
        <scheme val="minor"/>
      </rPr>
      <t xml:space="preserve">5) </t>
    </r>
    <r>
      <rPr>
        <sz val="11"/>
        <color theme="1"/>
        <rFont val="Calibri"/>
        <family val="2"/>
        <scheme val="minor"/>
      </rPr>
      <t xml:space="preserve">overexpressing ALKBH3 showed the opposite results. </t>
    </r>
    <r>
      <rPr>
        <b/>
        <sz val="11"/>
        <color theme="1"/>
        <rFont val="Calibri"/>
        <family val="2"/>
        <scheme val="minor"/>
      </rPr>
      <t xml:space="preserve">6) </t>
    </r>
    <r>
      <rPr>
        <sz val="11"/>
        <color theme="1"/>
        <rFont val="Calibri"/>
        <family val="2"/>
        <scheme val="minor"/>
      </rPr>
      <t>ALKBH3 knockdown may inhibit cell proliferation, presumably through p21/p27-mediated cell-cycle arrest at G1 phase in human HCC.</t>
    </r>
    <r>
      <rPr>
        <b/>
        <sz val="11"/>
        <color theme="1"/>
        <rFont val="Calibri"/>
        <family val="2"/>
        <scheme val="minor"/>
      </rPr>
      <t xml:space="preserve"> 7)</t>
    </r>
    <r>
      <rPr>
        <sz val="11"/>
        <color theme="1"/>
        <rFont val="Calibri"/>
        <family val="2"/>
        <scheme val="minor"/>
      </rPr>
      <t xml:space="preserve"> ALKBH3 may also play some role on chemosensitivity to certain genotoxic reagents, such as </t>
    </r>
    <r>
      <rPr>
        <b/>
        <sz val="11"/>
        <color theme="1"/>
        <rFont val="Calibri"/>
        <family val="2"/>
        <scheme val="minor"/>
      </rPr>
      <t>cisplatin</t>
    </r>
    <r>
      <rPr>
        <sz val="11"/>
        <color theme="1"/>
        <rFont val="Calibri"/>
        <family val="2"/>
        <scheme val="minor"/>
      </rPr>
      <t xml:space="preserve"> (CDDP) and epirubicin.</t>
    </r>
  </si>
  <si>
    <r>
      <rPr>
        <b/>
        <sz val="11"/>
        <color theme="1"/>
        <rFont val="Calibri"/>
        <family val="2"/>
        <scheme val="minor"/>
      </rPr>
      <t>1)</t>
    </r>
    <r>
      <rPr>
        <sz val="11"/>
        <color theme="1"/>
        <rFont val="Calibri"/>
        <family val="2"/>
        <scheme val="minor"/>
      </rPr>
      <t xml:space="preserve"> </t>
    </r>
    <r>
      <rPr>
        <b/>
        <sz val="11"/>
        <color theme="1"/>
        <rFont val="Calibri"/>
        <family val="2"/>
        <scheme val="minor"/>
      </rPr>
      <t>cisplatin</t>
    </r>
    <r>
      <rPr>
        <sz val="11"/>
        <color theme="1"/>
        <rFont val="Calibri"/>
        <family val="2"/>
        <scheme val="minor"/>
      </rPr>
      <t xml:space="preserve"> treatment induced autophagy in OVCAR-3 cells in association with </t>
    </r>
    <r>
      <rPr>
        <b/>
        <sz val="11"/>
        <color theme="1"/>
        <rFont val="Calibri"/>
        <family val="2"/>
        <scheme val="minor"/>
      </rPr>
      <t>Ambra1</t>
    </r>
    <r>
      <rPr>
        <sz val="11"/>
        <color theme="1"/>
        <rFont val="Calibri"/>
        <family val="2"/>
        <scheme val="minor"/>
      </rPr>
      <t xml:space="preserve"> upregulation in the </t>
    </r>
    <r>
      <rPr>
        <b/>
        <sz val="11"/>
        <color theme="1"/>
        <rFont val="Calibri"/>
        <family val="2"/>
        <scheme val="minor"/>
      </rPr>
      <t>ovarian</t>
    </r>
    <r>
      <rPr>
        <sz val="11"/>
        <color theme="1"/>
        <rFont val="Calibri"/>
        <family val="2"/>
        <scheme val="minor"/>
      </rPr>
      <t xml:space="preserve"> cancer cells. </t>
    </r>
    <r>
      <rPr>
        <b/>
        <sz val="11"/>
        <color theme="1"/>
        <rFont val="Calibri"/>
        <family val="2"/>
        <scheme val="minor"/>
      </rPr>
      <t>2)</t>
    </r>
    <r>
      <rPr>
        <sz val="11"/>
        <color theme="1"/>
        <rFont val="Calibri"/>
        <family val="2"/>
        <scheme val="minor"/>
      </rPr>
      <t xml:space="preserve"> When Ambra1 expression was reduced by shRNA, the ovarian cancer cells were more sensitive to cisplatin. </t>
    </r>
    <r>
      <rPr>
        <b/>
        <sz val="11"/>
        <color theme="1"/>
        <rFont val="Calibri"/>
        <family val="2"/>
        <scheme val="minor"/>
      </rPr>
      <t xml:space="preserve">3) </t>
    </r>
    <r>
      <rPr>
        <sz val="11"/>
        <color theme="1"/>
        <rFont val="Calibri"/>
        <family val="2"/>
        <scheme val="minor"/>
      </rPr>
      <t xml:space="preserve">Survival analysis indicated the high expression of AMBRA1 and Beclin- 1 was an independent factor in predicting poor overall survival (OS) of </t>
    </r>
    <r>
      <rPr>
        <b/>
        <sz val="11"/>
        <color theme="1"/>
        <rFont val="Calibri"/>
        <family val="2"/>
        <scheme val="minor"/>
      </rPr>
      <t>Gastric</t>
    </r>
    <r>
      <rPr>
        <sz val="11"/>
        <color theme="1"/>
        <rFont val="Calibri"/>
        <family val="2"/>
        <scheme val="minor"/>
      </rPr>
      <t xml:space="preserve"> adenocarcinoma (GC) patients. </t>
    </r>
  </si>
  <si>
    <r>
      <rPr>
        <b/>
        <sz val="11"/>
        <color theme="1"/>
        <rFont val="Calibri"/>
        <family val="2"/>
        <scheme val="minor"/>
      </rPr>
      <t xml:space="preserve">1) </t>
    </r>
    <r>
      <rPr>
        <sz val="11"/>
        <color theme="1"/>
        <rFont val="Calibri"/>
        <family val="2"/>
        <scheme val="minor"/>
      </rPr>
      <t>The expression patterns of c‐met, </t>
    </r>
    <r>
      <rPr>
        <b/>
        <sz val="11"/>
        <color theme="1"/>
        <rFont val="Calibri"/>
        <family val="2"/>
        <scheme val="minor"/>
      </rPr>
      <t>AMFR</t>
    </r>
    <r>
      <rPr>
        <sz val="11"/>
        <color theme="1"/>
        <rFont val="Calibri"/>
        <family val="2"/>
        <scheme val="minor"/>
      </rPr>
      <t xml:space="preserve">, and uPAR may be closely associated with the progression and invasion of </t>
    </r>
    <r>
      <rPr>
        <b/>
        <sz val="11"/>
        <color theme="1"/>
        <rFont val="Calibri"/>
        <family val="2"/>
        <scheme val="minor"/>
      </rPr>
      <t xml:space="preserve">gastric </t>
    </r>
    <r>
      <rPr>
        <sz val="11"/>
        <color theme="1"/>
        <rFont val="Calibri"/>
        <family val="2"/>
        <scheme val="minor"/>
      </rPr>
      <t xml:space="preserve">carcinoma as well as the poorer prognoses of the patients during PMUE therapy (a combination of </t>
    </r>
    <r>
      <rPr>
        <b/>
        <sz val="11"/>
        <color theme="1"/>
        <rFont val="Calibri"/>
        <family val="2"/>
        <scheme val="minor"/>
      </rPr>
      <t>cisplatin</t>
    </r>
    <r>
      <rPr>
        <sz val="11"/>
        <color theme="1"/>
        <rFont val="Calibri"/>
        <family val="2"/>
        <scheme val="minor"/>
      </rPr>
      <t xml:space="preserve">, mitomycin C, etoposide, and UFT. </t>
    </r>
    <r>
      <rPr>
        <b/>
        <sz val="11"/>
        <color theme="1"/>
        <rFont val="Calibri"/>
        <family val="2"/>
        <scheme val="minor"/>
      </rPr>
      <t>2)</t>
    </r>
    <r>
      <rPr>
        <sz val="11"/>
        <color theme="1"/>
        <rFont val="Calibri"/>
        <family val="2"/>
        <scheme val="minor"/>
      </rPr>
      <t xml:space="preserve"> MiR-139-5p inhibits migration and invasion of </t>
    </r>
    <r>
      <rPr>
        <b/>
        <sz val="11"/>
        <color theme="1"/>
        <rFont val="Calibri"/>
        <family val="2"/>
        <scheme val="minor"/>
      </rPr>
      <t>colorectal</t>
    </r>
    <r>
      <rPr>
        <sz val="11"/>
        <color theme="1"/>
        <rFont val="Calibri"/>
        <family val="2"/>
        <scheme val="minor"/>
      </rPr>
      <t xml:space="preserve"> cancer by downregulating AMFR and NOTCH1. </t>
    </r>
    <r>
      <rPr>
        <b/>
        <sz val="11"/>
        <color theme="1"/>
        <rFont val="Calibri"/>
        <family val="2"/>
        <scheme val="minor"/>
      </rPr>
      <t xml:space="preserve">3) </t>
    </r>
    <r>
      <rPr>
        <sz val="11"/>
        <color theme="1"/>
        <rFont val="Calibri"/>
        <family val="2"/>
        <scheme val="minor"/>
      </rPr>
      <t xml:space="preserve">Recovery of miR-139-5p suppressed the expression of c-Jun and thus reversed </t>
    </r>
    <r>
      <rPr>
        <b/>
        <sz val="11"/>
        <color theme="1"/>
        <rFont val="Calibri"/>
        <family val="2"/>
        <scheme val="minor"/>
      </rPr>
      <t>cisplatin</t>
    </r>
    <r>
      <rPr>
        <sz val="11"/>
        <color theme="1"/>
        <rFont val="Calibri"/>
        <family val="2"/>
        <scheme val="minor"/>
      </rPr>
      <t xml:space="preserve">-resistance in </t>
    </r>
    <r>
      <rPr>
        <b/>
        <sz val="11"/>
        <color theme="1"/>
        <rFont val="Calibri"/>
        <family val="2"/>
        <scheme val="minor"/>
      </rPr>
      <t>ovarian</t>
    </r>
    <r>
      <rPr>
        <sz val="11"/>
        <color theme="1"/>
        <rFont val="Calibri"/>
        <family val="2"/>
        <scheme val="minor"/>
      </rPr>
      <t xml:space="preserve"> cancer.</t>
    </r>
  </si>
  <si>
    <r>
      <rPr>
        <b/>
        <sz val="11"/>
        <color theme="1"/>
        <rFont val="Calibri"/>
        <family val="2"/>
        <scheme val="minor"/>
      </rPr>
      <t>1)</t>
    </r>
    <r>
      <rPr>
        <sz val="11"/>
        <color theme="1"/>
        <rFont val="Calibri"/>
        <family val="2"/>
        <scheme val="minor"/>
      </rPr>
      <t xml:space="preserve"> </t>
    </r>
    <r>
      <rPr>
        <b/>
        <sz val="11"/>
        <color theme="1"/>
        <rFont val="Calibri"/>
        <family val="2"/>
        <scheme val="minor"/>
      </rPr>
      <t>ANKRD1</t>
    </r>
    <r>
      <rPr>
        <sz val="11"/>
        <color theme="1"/>
        <rFont val="Calibri"/>
        <family val="2"/>
        <scheme val="minor"/>
      </rPr>
      <t xml:space="preserve"> mRNA levels were correlated with </t>
    </r>
    <r>
      <rPr>
        <b/>
        <sz val="11"/>
        <color theme="1"/>
        <rFont val="Calibri"/>
        <family val="2"/>
        <scheme val="minor"/>
      </rPr>
      <t>platinum</t>
    </r>
    <r>
      <rPr>
        <sz val="11"/>
        <color theme="1"/>
        <rFont val="Calibri"/>
        <family val="2"/>
        <scheme val="minor"/>
      </rPr>
      <t xml:space="preserve"> sensitivity in cell lines </t>
    </r>
    <r>
      <rPr>
        <b/>
        <sz val="11"/>
        <color theme="1"/>
        <rFont val="Calibri"/>
        <family val="2"/>
        <scheme val="minor"/>
      </rPr>
      <t xml:space="preserve">2) </t>
    </r>
    <r>
      <rPr>
        <sz val="11"/>
        <color theme="1"/>
        <rFont val="Calibri"/>
        <family val="2"/>
        <scheme val="minor"/>
      </rPr>
      <t xml:space="preserve">decreasing ANKRD1 using siRNA increased cisplatin sensitivity &gt;2-fold. </t>
    </r>
    <r>
      <rPr>
        <b/>
        <sz val="11"/>
        <color theme="1"/>
        <rFont val="Calibri"/>
        <family val="2"/>
        <scheme val="minor"/>
      </rPr>
      <t xml:space="preserve">3) </t>
    </r>
    <r>
      <rPr>
        <sz val="11"/>
        <color theme="1"/>
        <rFont val="Calibri"/>
        <family val="2"/>
        <scheme val="minor"/>
      </rPr>
      <t xml:space="preserve">ANKRD1 was expressed in the majority of </t>
    </r>
    <r>
      <rPr>
        <b/>
        <sz val="11"/>
        <color theme="1"/>
        <rFont val="Calibri"/>
        <family val="2"/>
        <scheme val="minor"/>
      </rPr>
      <t>ovarian</t>
    </r>
    <r>
      <rPr>
        <sz val="11"/>
        <color theme="1"/>
        <rFont val="Calibri"/>
        <family val="2"/>
        <scheme val="minor"/>
      </rPr>
      <t xml:space="preserve"> adenocarcinomas tested (62/71, 87%). </t>
    </r>
    <r>
      <rPr>
        <b/>
        <sz val="11"/>
        <color theme="1"/>
        <rFont val="Calibri"/>
        <family val="2"/>
        <scheme val="minor"/>
      </rPr>
      <t xml:space="preserve">4) </t>
    </r>
    <r>
      <rPr>
        <sz val="11"/>
        <color theme="1"/>
        <rFont val="Calibri"/>
        <family val="2"/>
        <scheme val="minor"/>
      </rPr>
      <t xml:space="preserve">higher tumor levels of ANKRD1 were found in patients with worse outcome (overall survival, P=0.013). </t>
    </r>
    <r>
      <rPr>
        <b/>
        <sz val="11"/>
        <color theme="1"/>
        <rFont val="Calibri"/>
        <family val="2"/>
        <scheme val="minor"/>
      </rPr>
      <t xml:space="preserve">5) </t>
    </r>
    <r>
      <rPr>
        <sz val="11"/>
        <color theme="1"/>
        <rFont val="Calibri"/>
        <family val="2"/>
        <scheme val="minor"/>
      </rPr>
      <t>overexpression of ANKRD1 increased resistance to cisplatin cytotoxicity and apoptosis.</t>
    </r>
  </si>
  <si>
    <r>
      <rPr>
        <b/>
        <sz val="11"/>
        <color theme="1"/>
        <rFont val="Calibri"/>
        <family val="2"/>
        <scheme val="minor"/>
      </rPr>
      <t>1)</t>
    </r>
    <r>
      <rPr>
        <sz val="11"/>
        <color theme="1"/>
        <rFont val="Calibri"/>
        <family val="2"/>
        <scheme val="minor"/>
      </rPr>
      <t xml:space="preserve"> knockdown of </t>
    </r>
    <r>
      <rPr>
        <b/>
        <sz val="11"/>
        <color theme="1"/>
        <rFont val="Calibri"/>
        <family val="2"/>
        <scheme val="minor"/>
      </rPr>
      <t>Annexin A2</t>
    </r>
    <r>
      <rPr>
        <sz val="11"/>
        <color theme="1"/>
        <rFont val="Calibri"/>
        <family val="2"/>
        <scheme val="minor"/>
      </rPr>
      <t> increased </t>
    </r>
    <r>
      <rPr>
        <b/>
        <sz val="11"/>
        <color theme="1"/>
        <rFont val="Calibri"/>
        <family val="2"/>
        <scheme val="minor"/>
      </rPr>
      <t>cisplatin</t>
    </r>
    <r>
      <rPr>
        <sz val="11"/>
        <color theme="1"/>
        <rFont val="Calibri"/>
        <family val="2"/>
        <scheme val="minor"/>
      </rPr>
      <t xml:space="preserve"> sensitivity of cisplatin-resistant non-small cell </t>
    </r>
    <r>
      <rPr>
        <b/>
        <sz val="11"/>
        <color theme="1"/>
        <rFont val="Calibri"/>
        <family val="2"/>
        <scheme val="minor"/>
      </rPr>
      <t>lung</t>
    </r>
    <r>
      <rPr>
        <sz val="11"/>
        <color theme="1"/>
        <rFont val="Calibri"/>
        <family val="2"/>
        <scheme val="minor"/>
      </rPr>
      <t xml:space="preserve"> cancer (NSCLC) A549/DDP cells both in vitro and in vivo. </t>
    </r>
    <r>
      <rPr>
        <b/>
        <sz val="11"/>
        <color theme="1"/>
        <rFont val="Calibri"/>
        <family val="2"/>
        <scheme val="minor"/>
      </rPr>
      <t xml:space="preserve">2) </t>
    </r>
    <r>
      <rPr>
        <sz val="11"/>
        <color theme="1"/>
        <rFont val="Calibri"/>
        <family val="2"/>
        <scheme val="minor"/>
      </rPr>
      <t>overexpression of ANXA2 increased cisplatin resistance of A549, H460 and H1650 cells. </t>
    </r>
    <r>
      <rPr>
        <b/>
        <sz val="11"/>
        <color theme="1"/>
        <rFont val="Calibri"/>
        <family val="2"/>
        <scheme val="minor"/>
      </rPr>
      <t xml:space="preserve">3) </t>
    </r>
    <r>
      <rPr>
        <sz val="11"/>
        <color theme="1"/>
        <rFont val="Calibri"/>
        <family val="2"/>
        <scheme val="minor"/>
      </rPr>
      <t>Annexin A2 depletion increased the expression of both p53 mRNA and protein.</t>
    </r>
    <r>
      <rPr>
        <b/>
        <sz val="11"/>
        <color theme="1"/>
        <rFont val="Calibri"/>
        <family val="2"/>
        <scheme val="minor"/>
      </rPr>
      <t xml:space="preserve"> 4)</t>
    </r>
    <r>
      <rPr>
        <sz val="11"/>
        <color theme="1"/>
        <rFont val="Calibri"/>
        <family val="2"/>
        <scheme val="minor"/>
      </rPr>
      <t xml:space="preserve"> High ANXA2 mRNA levels in stage III serous </t>
    </r>
    <r>
      <rPr>
        <b/>
        <sz val="11"/>
        <color theme="1"/>
        <rFont val="Calibri"/>
        <family val="2"/>
        <scheme val="minor"/>
      </rPr>
      <t>ovarian</t>
    </r>
    <r>
      <rPr>
        <sz val="11"/>
        <color theme="1"/>
        <rFont val="Calibri"/>
        <family val="2"/>
        <scheme val="minor"/>
      </rPr>
      <t xml:space="preserve"> cancers were associated with reduced progression-free survival (PFS; P = 0.023) and overall survival (OS; P = 0.0038). Using The Cancer Genome Atlas data sets, ANXA2 expression was associated with higher clinical stage (P = 0.005). </t>
    </r>
    <r>
      <rPr>
        <b/>
        <sz val="11"/>
        <color theme="1"/>
        <rFont val="Calibri"/>
        <family val="2"/>
        <scheme val="minor"/>
      </rPr>
      <t xml:space="preserve">5) </t>
    </r>
    <r>
      <rPr>
        <sz val="11"/>
        <color theme="1"/>
        <rFont val="Calibri"/>
        <family val="2"/>
        <scheme val="minor"/>
      </rPr>
      <t xml:space="preserve">both ANXA2 and S100A10 expressions were associated with the mesenchymal molecular subtype (P &lt; 0.0001). </t>
    </r>
    <r>
      <rPr>
        <b/>
        <sz val="11"/>
        <color theme="1"/>
        <rFont val="Calibri"/>
        <family val="2"/>
        <scheme val="minor"/>
      </rPr>
      <t xml:space="preserve">6) </t>
    </r>
    <r>
      <rPr>
        <sz val="11"/>
        <color theme="1"/>
        <rFont val="Calibri"/>
        <family val="2"/>
        <scheme val="minor"/>
      </rPr>
      <t xml:space="preserve">high stromal annexin A2 immunostaining was significantly associated with reduced PFS (P = 0.013) and OS (P = 0.044). </t>
    </r>
    <r>
      <rPr>
        <b/>
        <sz val="11"/>
        <color theme="1"/>
        <rFont val="Calibri"/>
        <family val="2"/>
        <scheme val="minor"/>
      </rPr>
      <t xml:space="preserve">7) </t>
    </r>
    <r>
      <rPr>
        <sz val="11"/>
        <color theme="1"/>
        <rFont val="Calibri"/>
        <family val="2"/>
        <scheme val="minor"/>
      </rPr>
      <t xml:space="preserve">Patients with high stromal annexin A2 and high cytoplasmic S100A10 expressions had a 3.4-fold increased risk of progression (P = 0.02) and 7.9-fold risk of ovarian cancer death (P = 0.04). </t>
    </r>
  </si>
  <si>
    <r>
      <rPr>
        <b/>
        <sz val="11"/>
        <color theme="1"/>
        <rFont val="Calibri"/>
        <family val="2"/>
        <scheme val="minor"/>
      </rPr>
      <t>1) CAF</t>
    </r>
    <r>
      <rPr>
        <sz val="11"/>
        <color theme="1"/>
        <rFont val="Calibri"/>
        <family val="2"/>
        <scheme val="minor"/>
      </rPr>
      <t xml:space="preserve"> decreased the sensitivity of </t>
    </r>
    <r>
      <rPr>
        <b/>
        <sz val="11"/>
        <color theme="1"/>
        <rFont val="Calibri"/>
        <family val="2"/>
        <scheme val="minor"/>
      </rPr>
      <t>lung</t>
    </r>
    <r>
      <rPr>
        <sz val="11"/>
        <color theme="1"/>
        <rFont val="Calibri"/>
        <family val="2"/>
        <scheme val="minor"/>
      </rPr>
      <t xml:space="preserve"> cancer cells to </t>
    </r>
    <r>
      <rPr>
        <b/>
        <sz val="11"/>
        <color theme="1"/>
        <rFont val="Calibri"/>
        <family val="2"/>
        <scheme val="minor"/>
      </rPr>
      <t>cisplatin</t>
    </r>
    <r>
      <rPr>
        <sz val="11"/>
        <color theme="1"/>
        <rFont val="Calibri"/>
        <family val="2"/>
        <scheme val="minor"/>
      </rPr>
      <t xml:space="preserve">. </t>
    </r>
    <r>
      <rPr>
        <b/>
        <sz val="11"/>
        <color theme="1"/>
        <rFont val="Calibri"/>
        <family val="2"/>
        <scheme val="minor"/>
      </rPr>
      <t>2)</t>
    </r>
    <r>
      <rPr>
        <sz val="11"/>
        <color theme="1"/>
        <rFont val="Calibri"/>
        <family val="2"/>
        <scheme val="minor"/>
      </rPr>
      <t xml:space="preserve"> CAF expressed a higher level of </t>
    </r>
    <r>
      <rPr>
        <b/>
        <sz val="11"/>
        <color theme="1"/>
        <rFont val="Calibri"/>
        <family val="2"/>
        <scheme val="minor"/>
      </rPr>
      <t>Annexin A3</t>
    </r>
    <r>
      <rPr>
        <sz val="11"/>
        <color theme="1"/>
        <rFont val="Calibri"/>
        <family val="2"/>
        <scheme val="minor"/>
      </rPr>
      <t xml:space="preserve"> (</t>
    </r>
    <r>
      <rPr>
        <b/>
        <sz val="11"/>
        <color theme="1"/>
        <rFont val="Calibri"/>
        <family val="2"/>
        <scheme val="minor"/>
      </rPr>
      <t>ANXA3</t>
    </r>
    <r>
      <rPr>
        <sz val="11"/>
        <color theme="1"/>
        <rFont val="Calibri"/>
        <family val="2"/>
        <scheme val="minor"/>
      </rPr>
      <t xml:space="preserve">) than normal fibroblasts (NF), and CAF-CM incubation increased the ANXA3 level in lung cancer cells. </t>
    </r>
    <r>
      <rPr>
        <b/>
        <sz val="11"/>
        <color theme="1"/>
        <rFont val="Calibri"/>
        <family val="2"/>
        <scheme val="minor"/>
      </rPr>
      <t>3)</t>
    </r>
    <r>
      <rPr>
        <sz val="11"/>
        <color theme="1"/>
        <rFont val="Calibri"/>
        <family val="2"/>
        <scheme val="minor"/>
      </rPr>
      <t xml:space="preserve"> Overexpression of </t>
    </r>
    <r>
      <rPr>
        <b/>
        <sz val="11"/>
        <color theme="1"/>
        <rFont val="Calibri"/>
        <family val="2"/>
        <scheme val="minor"/>
      </rPr>
      <t>ANXA3</t>
    </r>
    <r>
      <rPr>
        <sz val="11"/>
        <color theme="1"/>
        <rFont val="Calibri"/>
        <family val="2"/>
        <scheme val="minor"/>
      </rPr>
      <t xml:space="preserve"> in lung cancer cells increased </t>
    </r>
    <r>
      <rPr>
        <b/>
        <sz val="11"/>
        <color theme="1"/>
        <rFont val="Calibri"/>
        <family val="2"/>
        <scheme val="minor"/>
      </rPr>
      <t>cisplatin</t>
    </r>
    <r>
      <rPr>
        <sz val="11"/>
        <color theme="1"/>
        <rFont val="Calibri"/>
        <family val="2"/>
        <scheme val="minor"/>
      </rPr>
      <t xml:space="preserve"> resistance and activated </t>
    </r>
    <r>
      <rPr>
        <b/>
        <sz val="11"/>
        <color theme="1"/>
        <rFont val="Calibri"/>
        <family val="2"/>
        <scheme val="minor"/>
      </rPr>
      <t>JNK</t>
    </r>
    <r>
      <rPr>
        <sz val="11"/>
        <color theme="1"/>
        <rFont val="Calibri"/>
        <family val="2"/>
        <scheme val="minor"/>
      </rPr>
      <t xml:space="preserve">, whereas knockdown of ANXA3 increased cisplatin sensitivity. </t>
    </r>
    <r>
      <rPr>
        <b/>
        <sz val="11"/>
        <color theme="1"/>
        <rFont val="Calibri"/>
        <family val="2"/>
        <scheme val="minor"/>
      </rPr>
      <t>4)</t>
    </r>
    <r>
      <rPr>
        <sz val="11"/>
        <color theme="1"/>
        <rFont val="Calibri"/>
        <family val="2"/>
        <scheme val="minor"/>
      </rPr>
      <t xml:space="preserve"> CAF-CM enhanced cisplatin resistance by inhibiting </t>
    </r>
    <r>
      <rPr>
        <b/>
        <sz val="11"/>
        <color theme="1"/>
        <rFont val="Calibri"/>
        <family val="2"/>
        <scheme val="minor"/>
      </rPr>
      <t>caspase-3</t>
    </r>
    <r>
      <rPr>
        <sz val="11"/>
        <color theme="1"/>
        <rFont val="Calibri"/>
        <family val="2"/>
        <scheme val="minor"/>
      </rPr>
      <t xml:space="preserve"> and </t>
    </r>
    <r>
      <rPr>
        <b/>
        <sz val="11"/>
        <color theme="1"/>
        <rFont val="Calibri"/>
        <family val="2"/>
        <scheme val="minor"/>
      </rPr>
      <t>caspase-8</t>
    </r>
    <r>
      <rPr>
        <sz val="11"/>
        <color theme="1"/>
        <rFont val="Calibri"/>
        <family val="2"/>
        <scheme val="minor"/>
      </rPr>
      <t xml:space="preserve">, through activation of the </t>
    </r>
    <r>
      <rPr>
        <b/>
        <sz val="11"/>
        <color theme="1"/>
        <rFont val="Calibri"/>
        <family val="2"/>
        <scheme val="minor"/>
      </rPr>
      <t>ANXA3/JNK pathway</t>
    </r>
    <r>
      <rPr>
        <sz val="11"/>
        <color theme="1"/>
        <rFont val="Calibri"/>
        <family val="2"/>
        <scheme val="minor"/>
      </rPr>
      <t xml:space="preserve">. </t>
    </r>
    <r>
      <rPr>
        <b/>
        <sz val="11"/>
        <color theme="1"/>
        <rFont val="Calibri"/>
        <family val="2"/>
        <scheme val="minor"/>
      </rPr>
      <t>5)</t>
    </r>
    <r>
      <rPr>
        <sz val="11"/>
        <color theme="1"/>
        <rFont val="Calibri"/>
        <family val="2"/>
        <scheme val="minor"/>
      </rPr>
      <t xml:space="preserve"> suppression of JNK activation by specific inhibitor retarded the effect of CAF-CM and ANXA3 on cisplatin sensitivity. </t>
    </r>
    <r>
      <rPr>
        <b/>
        <sz val="11"/>
        <color theme="1"/>
        <rFont val="Calibri"/>
        <family val="2"/>
        <scheme val="minor"/>
      </rPr>
      <t xml:space="preserve">6) </t>
    </r>
    <r>
      <rPr>
        <sz val="11"/>
        <color theme="1"/>
        <rFont val="Calibri"/>
        <family val="2"/>
        <scheme val="minor"/>
      </rPr>
      <t xml:space="preserve">Elevated </t>
    </r>
    <r>
      <rPr>
        <b/>
        <sz val="11"/>
        <color theme="1"/>
        <rFont val="Calibri"/>
        <family val="2"/>
        <scheme val="minor"/>
      </rPr>
      <t>ANXA3</t>
    </r>
    <r>
      <rPr>
        <sz val="11"/>
        <color theme="1"/>
        <rFont val="Calibri"/>
        <family val="2"/>
        <scheme val="minor"/>
      </rPr>
      <t xml:space="preserve"> expression was associated with tumor size, number of lesions, tumor stage, and poor prognosis in </t>
    </r>
    <r>
      <rPr>
        <b/>
        <sz val="11"/>
        <color theme="1"/>
        <rFont val="Calibri"/>
        <family val="2"/>
        <scheme val="minor"/>
      </rPr>
      <t>liver</t>
    </r>
    <r>
      <rPr>
        <sz val="11"/>
        <color theme="1"/>
        <rFont val="Calibri"/>
        <family val="2"/>
        <scheme val="minor"/>
      </rPr>
      <t xml:space="preserve"> cancer patients. </t>
    </r>
    <r>
      <rPr>
        <b/>
        <sz val="11"/>
        <color theme="1"/>
        <rFont val="Calibri"/>
        <family val="2"/>
        <scheme val="minor"/>
      </rPr>
      <t>7)</t>
    </r>
    <r>
      <rPr>
        <sz val="11"/>
        <color theme="1"/>
        <rFont val="Calibri"/>
        <family val="2"/>
        <scheme val="minor"/>
      </rPr>
      <t xml:space="preserve"> In </t>
    </r>
    <r>
      <rPr>
        <b/>
        <sz val="11"/>
        <color theme="1"/>
        <rFont val="Calibri"/>
        <family val="2"/>
        <scheme val="minor"/>
      </rPr>
      <t>hepatoma</t>
    </r>
    <r>
      <rPr>
        <sz val="11"/>
        <color theme="1"/>
        <rFont val="Calibri"/>
        <family val="2"/>
        <scheme val="minor"/>
      </rPr>
      <t xml:space="preserve"> cell lines, exogenous ANXA3 transduction promoted the tumorigenic activity and metastatic potential;  siRNA silencing of </t>
    </r>
    <r>
      <rPr>
        <b/>
        <sz val="11"/>
        <color theme="1"/>
        <rFont val="Calibri"/>
        <family val="2"/>
        <scheme val="minor"/>
      </rPr>
      <t>ANXA3</t>
    </r>
    <r>
      <rPr>
        <sz val="11"/>
        <color theme="1"/>
        <rFont val="Calibri"/>
        <family val="2"/>
        <scheme val="minor"/>
      </rPr>
      <t xml:space="preserve"> inhibited these processes. </t>
    </r>
    <r>
      <rPr>
        <b/>
        <sz val="11"/>
        <color theme="1"/>
        <rFont val="Calibri"/>
        <family val="2"/>
        <scheme val="minor"/>
      </rPr>
      <t xml:space="preserve">8) </t>
    </r>
    <r>
      <rPr>
        <sz val="11"/>
        <color theme="1"/>
        <rFont val="Calibri"/>
        <family val="2"/>
        <scheme val="minor"/>
      </rPr>
      <t xml:space="preserve">in vitro and in vivo experiments revealed that ANXA3 overexpression enhanced resistance to </t>
    </r>
    <r>
      <rPr>
        <b/>
        <sz val="11"/>
        <color theme="1"/>
        <rFont val="Calibri"/>
        <family val="2"/>
        <scheme val="minor"/>
      </rPr>
      <t>platinum</t>
    </r>
    <r>
      <rPr>
        <sz val="11"/>
        <color theme="1"/>
        <rFont val="Calibri"/>
        <family val="2"/>
        <scheme val="minor"/>
      </rPr>
      <t xml:space="preserve"> chemotherapy. </t>
    </r>
  </si>
  <si>
    <r>
      <rPr>
        <b/>
        <sz val="11"/>
        <color theme="1"/>
        <rFont val="Calibri"/>
        <family val="2"/>
        <scheme val="minor"/>
      </rPr>
      <t xml:space="preserve">1) </t>
    </r>
    <r>
      <rPr>
        <sz val="11"/>
        <color theme="1"/>
        <rFont val="Calibri"/>
        <family val="2"/>
        <scheme val="minor"/>
      </rPr>
      <t xml:space="preserve">Immunohistochemical analysis of Anx A4 was performed in 126 epithelial </t>
    </r>
    <r>
      <rPr>
        <b/>
        <sz val="11"/>
        <color theme="1"/>
        <rFont val="Calibri"/>
        <family val="2"/>
        <scheme val="minor"/>
      </rPr>
      <t>ovarian</t>
    </r>
    <r>
      <rPr>
        <sz val="11"/>
        <color theme="1"/>
        <rFont val="Calibri"/>
        <family val="2"/>
        <scheme val="minor"/>
      </rPr>
      <t xml:space="preserve"> cancer tissue samples and demonstrated significantly elevated levels of Anx A4 protein levels in ovarian CCC tumors compared with ovarian serous and endometrioid tumors (p &lt; 0.01).</t>
    </r>
    <r>
      <rPr>
        <b/>
        <sz val="11"/>
        <color theme="1"/>
        <rFont val="Calibri"/>
        <family val="2"/>
        <scheme val="minor"/>
      </rPr>
      <t xml:space="preserve"> 2)</t>
    </r>
    <r>
      <rPr>
        <sz val="11"/>
        <color theme="1"/>
        <rFont val="Calibri"/>
        <family val="2"/>
        <scheme val="minor"/>
      </rPr>
      <t xml:space="preserve"> Anx A4-transfected ovarian non-CCC cells were more resistant to </t>
    </r>
    <r>
      <rPr>
        <b/>
        <sz val="11"/>
        <color theme="1"/>
        <rFont val="Calibri"/>
        <family val="2"/>
        <scheme val="minor"/>
      </rPr>
      <t>carboplatin</t>
    </r>
    <r>
      <rPr>
        <sz val="11"/>
        <color theme="1"/>
        <rFont val="Calibri"/>
        <family val="2"/>
        <scheme val="minor"/>
      </rPr>
      <t xml:space="preserve"> (IC50 = 42 microM) </t>
    </r>
    <r>
      <rPr>
        <b/>
        <sz val="11"/>
        <color theme="1"/>
        <rFont val="Calibri"/>
        <family val="2"/>
        <scheme val="minor"/>
      </rPr>
      <t xml:space="preserve">3) </t>
    </r>
    <r>
      <rPr>
        <sz val="11"/>
        <color theme="1"/>
        <rFont val="Calibri"/>
        <family val="2"/>
        <scheme val="minor"/>
      </rPr>
      <t xml:space="preserve">Intracellular platinum levels were significantly lower in Anx A4-transfected cells. </t>
    </r>
    <r>
      <rPr>
        <b/>
        <sz val="11"/>
        <color theme="1"/>
        <rFont val="Calibri"/>
        <family val="2"/>
        <scheme val="minor"/>
      </rPr>
      <t xml:space="preserve">4) </t>
    </r>
    <r>
      <rPr>
        <sz val="11"/>
        <color theme="1"/>
        <rFont val="Calibri"/>
        <family val="2"/>
        <scheme val="minor"/>
      </rPr>
      <t xml:space="preserve">ANXA4 knockdown (KO) resulted in significant growth retardation and greater sensitivity to carboplatin in OVTOKO cells. </t>
    </r>
  </si>
  <si>
    <r>
      <rPr>
        <b/>
        <sz val="11"/>
        <color theme="1"/>
        <rFont val="Calibri"/>
        <family val="2"/>
        <scheme val="minor"/>
      </rPr>
      <t xml:space="preserve">1) </t>
    </r>
    <r>
      <rPr>
        <sz val="11"/>
        <color theme="1"/>
        <rFont val="Calibri"/>
        <family val="2"/>
        <scheme val="minor"/>
      </rPr>
      <t xml:space="preserve">the resistance of </t>
    </r>
    <r>
      <rPr>
        <b/>
        <sz val="11"/>
        <color theme="1"/>
        <rFont val="Calibri"/>
        <family val="2"/>
        <scheme val="minor"/>
      </rPr>
      <t>ovarian</t>
    </r>
    <r>
      <rPr>
        <sz val="11"/>
        <color theme="1"/>
        <rFont val="Calibri"/>
        <family val="2"/>
        <scheme val="minor"/>
      </rPr>
      <t xml:space="preserve"> cancer cells to the pro-apoptotic effects of chemotherapy is due in part to deficient </t>
    </r>
    <r>
      <rPr>
        <b/>
        <sz val="11"/>
        <color theme="1"/>
        <rFont val="Calibri"/>
        <family val="2"/>
        <scheme val="minor"/>
      </rPr>
      <t>Apaf-1</t>
    </r>
    <r>
      <rPr>
        <sz val="11"/>
        <color theme="1"/>
        <rFont val="Calibri"/>
        <family val="2"/>
        <scheme val="minor"/>
      </rPr>
      <t xml:space="preserve"> activity. </t>
    </r>
    <r>
      <rPr>
        <b/>
        <sz val="11"/>
        <color theme="1"/>
        <rFont val="Calibri"/>
        <family val="2"/>
        <scheme val="minor"/>
      </rPr>
      <t>2)</t>
    </r>
    <r>
      <rPr>
        <sz val="11"/>
        <color theme="1"/>
        <rFont val="Calibri"/>
        <family val="2"/>
        <scheme val="minor"/>
      </rPr>
      <t xml:space="preserve"> Although Apaf-1 is expressed in most ovarian cancers, the functional activity is impaired as Apaf-1 has a diminished ability to recruit and activate caspase-9. </t>
    </r>
    <r>
      <rPr>
        <b/>
        <sz val="11"/>
        <color theme="1"/>
        <rFont val="Calibri"/>
        <family val="2"/>
        <scheme val="minor"/>
      </rPr>
      <t xml:space="preserve">3) </t>
    </r>
    <r>
      <rPr>
        <sz val="11"/>
        <color theme="1"/>
        <rFont val="Calibri"/>
        <family val="2"/>
        <scheme val="minor"/>
      </rPr>
      <t xml:space="preserve">a histone deacetylase inhibitor (HDACi), </t>
    </r>
    <r>
      <rPr>
        <b/>
        <sz val="11"/>
        <color theme="1"/>
        <rFont val="Calibri"/>
        <family val="2"/>
        <scheme val="minor"/>
      </rPr>
      <t>trichostatin A (TSA</t>
    </r>
    <r>
      <rPr>
        <sz val="11"/>
        <color theme="1"/>
        <rFont val="Calibri"/>
        <family val="2"/>
        <scheme val="minor"/>
      </rPr>
      <t>) increases both the expression and activity of Apaf-1.</t>
    </r>
    <r>
      <rPr>
        <b/>
        <sz val="11"/>
        <color theme="1"/>
        <rFont val="Calibri"/>
        <family val="2"/>
        <scheme val="minor"/>
      </rPr>
      <t xml:space="preserve"> 4) </t>
    </r>
    <r>
      <rPr>
        <sz val="11"/>
        <color theme="1"/>
        <rFont val="Calibri"/>
        <family val="2"/>
        <scheme val="minor"/>
      </rPr>
      <t xml:space="preserve">Treatment of ovarian cancer cells with </t>
    </r>
    <r>
      <rPr>
        <b/>
        <sz val="11"/>
        <color theme="1"/>
        <rFont val="Calibri"/>
        <family val="2"/>
        <scheme val="minor"/>
      </rPr>
      <t>TSA</t>
    </r>
    <r>
      <rPr>
        <sz val="11"/>
        <color theme="1"/>
        <rFont val="Calibri"/>
        <family val="2"/>
        <scheme val="minor"/>
      </rPr>
      <t xml:space="preserve"> results in restoration of Apaf-1 function independent of alterations in Apaf-1 expression. </t>
    </r>
    <r>
      <rPr>
        <b/>
        <sz val="11"/>
        <color theme="1"/>
        <rFont val="Calibri"/>
        <family val="2"/>
        <scheme val="minor"/>
      </rPr>
      <t xml:space="preserve">5) </t>
    </r>
    <r>
      <rPr>
        <sz val="11"/>
        <color theme="1"/>
        <rFont val="Calibri"/>
        <family val="2"/>
        <scheme val="minor"/>
      </rPr>
      <t xml:space="preserve">Treating chemoresistant cells with sublethal doses of TSA restores Apaf-1 function and sensitizes cells to </t>
    </r>
    <r>
      <rPr>
        <b/>
        <sz val="11"/>
        <color theme="1"/>
        <rFont val="Calibri"/>
        <family val="2"/>
        <scheme val="minor"/>
      </rPr>
      <t>cisplatin</t>
    </r>
    <r>
      <rPr>
        <sz val="11"/>
        <color theme="1"/>
        <rFont val="Calibri"/>
        <family val="2"/>
        <scheme val="minor"/>
      </rPr>
      <t xml:space="preserve"> induced apoptosis. </t>
    </r>
    <r>
      <rPr>
        <b/>
        <sz val="11"/>
        <color theme="1"/>
        <rFont val="Calibri"/>
        <family val="2"/>
        <scheme val="minor"/>
      </rPr>
      <t xml:space="preserve">6) Pt-sensitive HNSCC </t>
    </r>
    <r>
      <rPr>
        <sz val="11"/>
        <color theme="1"/>
        <rFont val="Calibri"/>
        <family val="2"/>
        <scheme val="minor"/>
      </rPr>
      <t xml:space="preserve">HSC-2 cells expressed 2-fold higher levels of </t>
    </r>
    <r>
      <rPr>
        <b/>
        <sz val="11"/>
        <color theme="1"/>
        <rFont val="Calibri"/>
        <family val="2"/>
        <scheme val="minor"/>
      </rPr>
      <t>Apaf-1</t>
    </r>
    <r>
      <rPr>
        <sz val="11"/>
        <color theme="1"/>
        <rFont val="Calibri"/>
        <family val="2"/>
        <scheme val="minor"/>
      </rPr>
      <t xml:space="preserve"> compared with </t>
    </r>
    <r>
      <rPr>
        <b/>
        <sz val="11"/>
        <color theme="1"/>
        <rFont val="Calibri"/>
        <family val="2"/>
        <scheme val="minor"/>
      </rPr>
      <t>Pt-resistant</t>
    </r>
    <r>
      <rPr>
        <sz val="11"/>
        <color theme="1"/>
        <rFont val="Calibri"/>
        <family val="2"/>
        <scheme val="minor"/>
      </rPr>
      <t xml:space="preserve"> HSC-2CR cells. </t>
    </r>
    <r>
      <rPr>
        <b/>
        <sz val="11"/>
        <color theme="1"/>
        <rFont val="Calibri"/>
        <family val="2"/>
        <scheme val="minor"/>
      </rPr>
      <t xml:space="preserve">7) </t>
    </r>
    <r>
      <rPr>
        <sz val="11"/>
        <color theme="1"/>
        <rFont val="Calibri"/>
        <family val="2"/>
        <scheme val="minor"/>
      </rPr>
      <t xml:space="preserve">following cisplatin treatment, the same degree of increase in cytoplasmic Cyt c was detected in both HSC-2 and HSC-2CR. </t>
    </r>
  </si>
  <si>
    <r>
      <rPr>
        <b/>
        <sz val="11"/>
        <color theme="1"/>
        <rFont val="Calibri"/>
        <family val="2"/>
        <scheme val="minor"/>
      </rPr>
      <t xml:space="preserve">1) </t>
    </r>
    <r>
      <rPr>
        <sz val="11"/>
        <color theme="1"/>
        <rFont val="Calibri"/>
        <family val="2"/>
        <scheme val="minor"/>
      </rPr>
      <t>Blocking BER with BER inhibitor MX as well as deficiency of Polβ and UNG conferred resistance to</t>
    </r>
    <r>
      <rPr>
        <b/>
        <sz val="11"/>
        <color theme="1"/>
        <rFont val="Calibri"/>
        <family val="2"/>
        <scheme val="minor"/>
      </rPr>
      <t xml:space="preserve"> cisplatin</t>
    </r>
    <r>
      <rPr>
        <sz val="11"/>
        <color theme="1"/>
        <rFont val="Calibri"/>
        <family val="2"/>
        <scheme val="minor"/>
      </rPr>
      <t xml:space="preserve"> treatment. </t>
    </r>
    <r>
      <rPr>
        <b/>
        <sz val="11"/>
        <color theme="1"/>
        <rFont val="Calibri"/>
        <family val="2"/>
        <scheme val="minor"/>
      </rPr>
      <t xml:space="preserve">2) </t>
    </r>
    <r>
      <rPr>
        <sz val="11"/>
        <color theme="1"/>
        <rFont val="Calibri"/>
        <family val="2"/>
        <scheme val="minor"/>
      </rPr>
      <t xml:space="preserve">In </t>
    </r>
    <r>
      <rPr>
        <b/>
        <sz val="11"/>
        <color theme="1"/>
        <rFont val="Calibri"/>
        <family val="2"/>
        <scheme val="minor"/>
      </rPr>
      <t>ovarian</t>
    </r>
    <r>
      <rPr>
        <sz val="11"/>
        <color theme="1"/>
        <rFont val="Calibri"/>
        <family val="2"/>
        <scheme val="minor"/>
      </rPr>
      <t xml:space="preserve"> cancer, nuclear </t>
    </r>
    <r>
      <rPr>
        <b/>
        <sz val="11"/>
        <color theme="1"/>
        <rFont val="Calibri"/>
        <family val="2"/>
        <scheme val="minor"/>
      </rPr>
      <t>APE1</t>
    </r>
    <r>
      <rPr>
        <sz val="11"/>
        <color theme="1"/>
        <rFont val="Calibri"/>
        <family val="2"/>
        <scheme val="minor"/>
      </rPr>
      <t xml:space="preserve"> expression was seen in 71.9% (97 out of 135) of tumours and correlated with worse overall survival (P=0.05). </t>
    </r>
    <r>
      <rPr>
        <b/>
        <sz val="11"/>
        <color theme="1"/>
        <rFont val="Calibri"/>
        <family val="2"/>
        <scheme val="minor"/>
      </rPr>
      <t>3)</t>
    </r>
    <r>
      <rPr>
        <sz val="11"/>
        <color theme="1"/>
        <rFont val="Calibri"/>
        <family val="2"/>
        <scheme val="minor"/>
      </rPr>
      <t xml:space="preserve"> In gastro-oesophageal cancers previously exposed to </t>
    </r>
    <r>
      <rPr>
        <b/>
        <sz val="11"/>
        <color theme="1"/>
        <rFont val="Calibri"/>
        <family val="2"/>
        <scheme val="minor"/>
      </rPr>
      <t>neoadjuvant</t>
    </r>
    <r>
      <rPr>
        <sz val="11"/>
        <color theme="1"/>
        <rFont val="Calibri"/>
        <family val="2"/>
        <scheme val="minor"/>
      </rPr>
      <t xml:space="preserve"> chemotherapy, 34.8% (16 out of 46) of tumours were </t>
    </r>
    <r>
      <rPr>
        <b/>
        <sz val="11"/>
        <color theme="1"/>
        <rFont val="Calibri"/>
        <family val="2"/>
        <scheme val="minor"/>
      </rPr>
      <t>APE1</t>
    </r>
    <r>
      <rPr>
        <sz val="11"/>
        <color theme="1"/>
        <rFont val="Calibri"/>
        <family val="2"/>
        <scheme val="minor"/>
      </rPr>
      <t xml:space="preserve"> positive in the nucleus and this correlated with shorter overall survival (P=0.005).  </t>
    </r>
    <r>
      <rPr>
        <b/>
        <sz val="11"/>
        <color theme="1"/>
        <rFont val="Calibri"/>
        <family val="2"/>
        <scheme val="minor"/>
      </rPr>
      <t>4) APE1</t>
    </r>
    <r>
      <rPr>
        <sz val="11"/>
        <color theme="1"/>
        <rFont val="Calibri"/>
        <family val="2"/>
        <scheme val="minor"/>
      </rPr>
      <t xml:space="preserve"> knockdown gives rise to cisplatin resistance in </t>
    </r>
    <r>
      <rPr>
        <b/>
        <sz val="11"/>
        <color theme="1"/>
        <rFont val="Calibri"/>
        <family val="2"/>
        <scheme val="minor"/>
      </rPr>
      <t>breast</t>
    </r>
    <r>
      <rPr>
        <sz val="11"/>
        <color theme="1"/>
        <rFont val="Calibri"/>
        <family val="2"/>
        <scheme val="minor"/>
      </rPr>
      <t xml:space="preserve"> cancer MDA-MB-231 cells. </t>
    </r>
  </si>
  <si>
    <r>
      <t xml:space="preserve">1) </t>
    </r>
    <r>
      <rPr>
        <b/>
        <sz val="11"/>
        <color theme="1"/>
        <rFont val="Calibri"/>
        <family val="2"/>
        <scheme val="minor"/>
      </rPr>
      <t>Lung</t>
    </r>
    <r>
      <rPr>
        <sz val="11"/>
        <color theme="1"/>
        <rFont val="Calibri"/>
        <family val="2"/>
        <scheme val="minor"/>
      </rPr>
      <t xml:space="preserve"> cancer stem cells (LCSCs) be more stem‐like, and more resistant to </t>
    </r>
    <r>
      <rPr>
        <b/>
        <sz val="11"/>
        <color theme="1"/>
        <rFont val="Calibri"/>
        <family val="2"/>
        <scheme val="minor"/>
      </rPr>
      <t>cisplatin</t>
    </r>
    <r>
      <rPr>
        <sz val="11"/>
        <color theme="1"/>
        <rFont val="Calibri"/>
        <family val="2"/>
        <scheme val="minor"/>
      </rPr>
      <t xml:space="preserve">‐induced cytotoxicity than dLCSCs. </t>
    </r>
    <r>
      <rPr>
        <b/>
        <sz val="11"/>
        <color theme="1"/>
        <rFont val="Calibri"/>
        <family val="2"/>
        <scheme val="minor"/>
      </rPr>
      <t>2)</t>
    </r>
    <r>
      <rPr>
        <sz val="11"/>
        <color theme="1"/>
        <rFont val="Calibri"/>
        <family val="2"/>
        <scheme val="minor"/>
      </rPr>
      <t xml:space="preserve"> LCSCs accumulated less cisplatin intracellularly than dLCSCs and showed less DNA damage, potentially due to their ability to down‐regulate </t>
    </r>
    <r>
      <rPr>
        <b/>
        <sz val="11"/>
        <color theme="1"/>
        <rFont val="Calibri"/>
        <family val="2"/>
        <scheme val="minor"/>
      </rPr>
      <t>AQP2</t>
    </r>
    <r>
      <rPr>
        <sz val="11"/>
        <color theme="1"/>
        <rFont val="Calibri"/>
        <family val="2"/>
        <scheme val="minor"/>
      </rPr>
      <t xml:space="preserve"> and </t>
    </r>
    <r>
      <rPr>
        <b/>
        <sz val="11"/>
        <color theme="1"/>
        <rFont val="Calibri"/>
        <family val="2"/>
        <scheme val="minor"/>
      </rPr>
      <t>CTR1</t>
    </r>
    <r>
      <rPr>
        <sz val="11"/>
        <color theme="1"/>
        <rFont val="Calibri"/>
        <family val="2"/>
        <scheme val="minor"/>
      </rPr>
      <t xml:space="preserve">. </t>
    </r>
    <r>
      <rPr>
        <b/>
        <sz val="11"/>
        <color theme="1"/>
        <rFont val="Calibri"/>
        <family val="2"/>
        <scheme val="minor"/>
      </rPr>
      <t xml:space="preserve">3) </t>
    </r>
    <r>
      <rPr>
        <sz val="11"/>
        <color theme="1"/>
        <rFont val="Calibri"/>
        <family val="2"/>
        <scheme val="minor"/>
      </rPr>
      <t xml:space="preserve">The results of the transcription‐coupled repair of cisplatin‐DNA cross‐links indicated a higher level of repair of DNA damage in LCSCs than in dLCSCs; this involved the activation of various DNA repair pathways. </t>
    </r>
    <r>
      <rPr>
        <b/>
        <sz val="11"/>
        <color theme="1"/>
        <rFont val="Calibri"/>
        <family val="2"/>
        <scheme val="minor"/>
      </rPr>
      <t xml:space="preserve">4) </t>
    </r>
    <r>
      <rPr>
        <sz val="11"/>
        <color theme="1"/>
        <rFont val="Calibri"/>
        <family val="2"/>
        <scheme val="minor"/>
      </rPr>
      <t xml:space="preserve">TMEM205 rs896412, OCT2 rs1869641 and rs195854, </t>
    </r>
    <r>
      <rPr>
        <b/>
        <sz val="11"/>
        <color theme="1"/>
        <rFont val="Calibri"/>
        <family val="2"/>
        <scheme val="minor"/>
      </rPr>
      <t>AQP9</t>
    </r>
    <r>
      <rPr>
        <sz val="11"/>
        <color theme="1"/>
        <rFont val="Calibri"/>
        <family val="2"/>
        <scheme val="minor"/>
      </rPr>
      <t xml:space="preserve"> rs1516400 and </t>
    </r>
    <r>
      <rPr>
        <b/>
        <sz val="11"/>
        <color theme="1"/>
        <rFont val="Calibri"/>
        <family val="2"/>
        <scheme val="minor"/>
      </rPr>
      <t>AQP2</t>
    </r>
    <r>
      <rPr>
        <sz val="11"/>
        <color theme="1"/>
        <rFont val="Calibri"/>
        <family val="2"/>
        <scheme val="minor"/>
      </rPr>
      <t xml:space="preserve"> rs7314734 polymorphism showed significant relation to chemotherapy response. </t>
    </r>
  </si>
  <si>
    <r>
      <rPr>
        <b/>
        <sz val="11"/>
        <color theme="1"/>
        <rFont val="Calibri"/>
        <family val="2"/>
        <scheme val="minor"/>
      </rPr>
      <t>1)</t>
    </r>
    <r>
      <rPr>
        <sz val="11"/>
        <color theme="1"/>
        <rFont val="Calibri"/>
        <family val="2"/>
        <scheme val="minor"/>
      </rPr>
      <t xml:space="preserve"> </t>
    </r>
    <r>
      <rPr>
        <b/>
        <sz val="11"/>
        <color theme="1"/>
        <rFont val="Calibri"/>
        <family val="2"/>
        <scheme val="minor"/>
      </rPr>
      <t>CDDP</t>
    </r>
    <r>
      <rPr>
        <sz val="11"/>
        <color theme="1"/>
        <rFont val="Calibri"/>
        <family val="2"/>
        <scheme val="minor"/>
      </rPr>
      <t xml:space="preserve">-resistant </t>
    </r>
    <r>
      <rPr>
        <b/>
        <sz val="11"/>
        <color theme="1"/>
        <rFont val="Calibri"/>
        <family val="2"/>
        <scheme val="minor"/>
      </rPr>
      <t>ovarian</t>
    </r>
    <r>
      <rPr>
        <sz val="11"/>
        <color theme="1"/>
        <rFont val="Calibri"/>
        <family val="2"/>
        <scheme val="minor"/>
      </rPr>
      <t xml:space="preserve"> cancer cells had increased expression of amphiregulin (AREG) and decreased expression of its conserved regulatory microRNA, miR-34c-5p, when compared with the OVS1 parental cells. </t>
    </r>
    <r>
      <rPr>
        <b/>
        <sz val="11"/>
        <color theme="1"/>
        <rFont val="Calibri"/>
        <family val="2"/>
        <scheme val="minor"/>
      </rPr>
      <t>2)</t>
    </r>
    <r>
      <rPr>
        <sz val="11"/>
        <color theme="1"/>
        <rFont val="Calibri"/>
        <family val="2"/>
        <scheme val="minor"/>
      </rPr>
      <t xml:space="preserve"> AREG is a direct target of miR-34c-5p. </t>
    </r>
    <r>
      <rPr>
        <b/>
        <sz val="11"/>
        <color theme="1"/>
        <rFont val="Calibri"/>
        <family val="2"/>
        <scheme val="minor"/>
      </rPr>
      <t xml:space="preserve">3) </t>
    </r>
    <r>
      <rPr>
        <sz val="11"/>
        <color theme="1"/>
        <rFont val="Calibri"/>
        <family val="2"/>
        <scheme val="minor"/>
      </rPr>
      <t xml:space="preserve">AREG-mediated increase of sphere formation, drug resistance toward docetaxel and </t>
    </r>
    <r>
      <rPr>
        <b/>
        <sz val="11"/>
        <color theme="1"/>
        <rFont val="Calibri"/>
        <family val="2"/>
        <scheme val="minor"/>
      </rPr>
      <t>carboplatin</t>
    </r>
    <r>
      <rPr>
        <sz val="11"/>
        <color theme="1"/>
        <rFont val="Calibri"/>
        <family val="2"/>
        <scheme val="minor"/>
      </rPr>
      <t xml:space="preserve">, as well as tumorigenicity of SKOV-I6 and OVS1 cells could be abrogated by miR-34c-5p. </t>
    </r>
    <r>
      <rPr>
        <b/>
        <sz val="11"/>
        <color theme="1"/>
        <rFont val="Calibri"/>
        <family val="2"/>
        <scheme val="minor"/>
      </rPr>
      <t xml:space="preserve">4) </t>
    </r>
    <r>
      <rPr>
        <sz val="11"/>
        <color theme="1"/>
        <rFont val="Calibri"/>
        <family val="2"/>
        <scheme val="minor"/>
      </rPr>
      <t xml:space="preserve">miR-34c-5p inhibited ovarian cancer stemness through downregulation of the AREG-EGFR-ERK pathway. </t>
    </r>
    <r>
      <rPr>
        <b/>
        <sz val="11"/>
        <color theme="1"/>
        <rFont val="Calibri"/>
        <family val="2"/>
        <scheme val="minor"/>
      </rPr>
      <t>5)</t>
    </r>
    <r>
      <rPr>
        <sz val="11"/>
        <color theme="1"/>
        <rFont val="Calibri"/>
        <family val="2"/>
        <scheme val="minor"/>
      </rPr>
      <t xml:space="preserve"> Overexpression of AREG was found to be correlated with advanced ovarian cancer stages and poor prognosis. </t>
    </r>
  </si>
  <si>
    <r>
      <rPr>
        <b/>
        <sz val="11"/>
        <color theme="1"/>
        <rFont val="Calibri"/>
        <family val="2"/>
        <scheme val="minor"/>
      </rPr>
      <t>1) RhoGDI2</t>
    </r>
    <r>
      <rPr>
        <sz val="11"/>
        <color theme="1"/>
        <rFont val="Calibri"/>
        <family val="2"/>
        <scheme val="minor"/>
      </rPr>
      <t xml:space="preserve"> contributes to another important feature of aggressive cancers, i.e., resistance to chemotherapeutic agents such as </t>
    </r>
    <r>
      <rPr>
        <b/>
        <sz val="11"/>
        <color theme="1"/>
        <rFont val="Calibri"/>
        <family val="2"/>
        <scheme val="minor"/>
      </rPr>
      <t>cisplatin</t>
    </r>
    <r>
      <rPr>
        <sz val="11"/>
        <color theme="1"/>
        <rFont val="Calibri"/>
        <family val="2"/>
        <scheme val="minor"/>
      </rPr>
      <t xml:space="preserve">. </t>
    </r>
    <r>
      <rPr>
        <b/>
        <sz val="11"/>
        <color theme="1"/>
        <rFont val="Calibri"/>
        <family val="2"/>
        <scheme val="minor"/>
      </rPr>
      <t>2)</t>
    </r>
    <r>
      <rPr>
        <sz val="11"/>
        <color theme="1"/>
        <rFont val="Calibri"/>
        <family val="2"/>
        <scheme val="minor"/>
      </rPr>
      <t xml:space="preserve"> Forced expression of RhoGDI2 attenuated cisplatin-induced apoptosis, whereas RhoGDI2 depletion showed opposite effects in vitro. </t>
    </r>
    <r>
      <rPr>
        <b/>
        <sz val="11"/>
        <color theme="1"/>
        <rFont val="Calibri"/>
        <family val="2"/>
        <scheme val="minor"/>
      </rPr>
      <t>3)</t>
    </r>
    <r>
      <rPr>
        <sz val="11"/>
        <color theme="1"/>
        <rFont val="Calibri"/>
        <family val="2"/>
        <scheme val="minor"/>
      </rPr>
      <t xml:space="preserve"> the increased anti-apoptotic effect of RhoGDI2 on</t>
    </r>
    <r>
      <rPr>
        <b/>
        <sz val="11"/>
        <color theme="1"/>
        <rFont val="Calibri"/>
        <family val="2"/>
        <scheme val="minor"/>
      </rPr>
      <t xml:space="preserve"> cisplatin</t>
    </r>
    <r>
      <rPr>
        <sz val="11"/>
        <color theme="1"/>
        <rFont val="Calibri"/>
        <family val="2"/>
        <scheme val="minor"/>
      </rPr>
      <t xml:space="preserve"> was further validated in RhoGDI2-overexpressing SNU-484 xenograft model in nude mice. </t>
    </r>
    <r>
      <rPr>
        <b/>
        <sz val="11"/>
        <color theme="1"/>
        <rFont val="Calibri"/>
        <family val="2"/>
        <scheme val="minor"/>
      </rPr>
      <t xml:space="preserve">4) </t>
    </r>
    <r>
      <rPr>
        <sz val="11"/>
        <color theme="1"/>
        <rFont val="Calibri"/>
        <family val="2"/>
        <scheme val="minor"/>
      </rPr>
      <t xml:space="preserve">Bcl-2 as a major determinant of RhoGDI2-mediated cisplatin resistance in </t>
    </r>
    <r>
      <rPr>
        <b/>
        <sz val="11"/>
        <color theme="1"/>
        <rFont val="Calibri"/>
        <family val="2"/>
        <scheme val="minor"/>
      </rPr>
      <t>gastric</t>
    </r>
    <r>
      <rPr>
        <sz val="11"/>
        <color theme="1"/>
        <rFont val="Calibri"/>
        <family val="2"/>
        <scheme val="minor"/>
      </rPr>
      <t xml:space="preserve"> cancer cells.</t>
    </r>
    <r>
      <rPr>
        <b/>
        <sz val="11"/>
        <color theme="1"/>
        <rFont val="Calibri"/>
        <family val="2"/>
        <scheme val="minor"/>
      </rPr>
      <t xml:space="preserve"> 5)</t>
    </r>
    <r>
      <rPr>
        <sz val="11"/>
        <color theme="1"/>
        <rFont val="Calibri"/>
        <family val="2"/>
        <scheme val="minor"/>
      </rPr>
      <t xml:space="preserve"> Depletion of Bcl-2 expression significantly increased cisplatin-induced apoptosis in RhoGDI2-overexpressing gastric cancer cells, whereas overexpression of Bcl-2 blocked cisplatin-induced apoptosis in RhoGDI2-depleted gastric cancer cells. </t>
    </r>
  </si>
  <si>
    <r>
      <rPr>
        <b/>
        <sz val="11"/>
        <color theme="1"/>
        <rFont val="Calibri"/>
        <family val="2"/>
        <scheme val="minor"/>
      </rPr>
      <t>1) ARID1A</t>
    </r>
    <r>
      <rPr>
        <sz val="11"/>
        <color theme="1"/>
        <rFont val="Calibri"/>
        <family val="2"/>
        <scheme val="minor"/>
      </rPr>
      <t xml:space="preserve"> ablation leads to the transcriptional activation of </t>
    </r>
    <r>
      <rPr>
        <b/>
        <sz val="11"/>
        <color theme="1"/>
        <rFont val="Calibri"/>
        <family val="2"/>
        <scheme val="minor"/>
      </rPr>
      <t>MRP2</t>
    </r>
    <r>
      <rPr>
        <sz val="11"/>
        <color theme="1"/>
        <rFont val="Calibri"/>
        <family val="2"/>
        <scheme val="minor"/>
      </rPr>
      <t xml:space="preserve"> via a chromatin remodeling mechanism. </t>
    </r>
    <r>
      <rPr>
        <b/>
        <sz val="11"/>
        <color theme="1"/>
        <rFont val="Calibri"/>
        <family val="2"/>
        <scheme val="minor"/>
      </rPr>
      <t>2)</t>
    </r>
    <r>
      <rPr>
        <sz val="11"/>
        <color theme="1"/>
        <rFont val="Calibri"/>
        <family val="2"/>
        <scheme val="minor"/>
      </rPr>
      <t xml:space="preserve"> In ARID1A-mutated </t>
    </r>
    <r>
      <rPr>
        <b/>
        <sz val="11"/>
        <color theme="1"/>
        <rFont val="Calibri"/>
        <family val="2"/>
        <scheme val="minor"/>
      </rPr>
      <t>ovarian</t>
    </r>
    <r>
      <rPr>
        <sz val="11"/>
        <color theme="1"/>
        <rFont val="Calibri"/>
        <family val="2"/>
        <scheme val="minor"/>
      </rPr>
      <t xml:space="preserve"> cancer cells, the ectopic expression of ARID1A increases sensitivity to chemotherapeutic reagents. </t>
    </r>
    <r>
      <rPr>
        <b/>
        <sz val="11"/>
        <color theme="1"/>
        <rFont val="Calibri"/>
        <family val="2"/>
        <scheme val="minor"/>
      </rPr>
      <t xml:space="preserve">3) </t>
    </r>
    <r>
      <rPr>
        <sz val="11"/>
        <color theme="1"/>
        <rFont val="Calibri"/>
        <family val="2"/>
        <scheme val="minor"/>
      </rPr>
      <t xml:space="preserve">IHC analysis of both ARID1A and MRP2 expression in human ovarian cancer specimens shows a strong negative correlation. </t>
    </r>
    <r>
      <rPr>
        <b/>
        <sz val="11"/>
        <color theme="1"/>
        <rFont val="Calibri"/>
        <family val="2"/>
        <scheme val="minor"/>
      </rPr>
      <t>4)</t>
    </r>
    <r>
      <rPr>
        <sz val="11"/>
        <color theme="1"/>
        <rFont val="Calibri"/>
        <family val="2"/>
        <scheme val="minor"/>
      </rPr>
      <t xml:space="preserve"> low ARID1A expression was positively correlated with chemoresistance and contributed to poor overall survival (OS) and progression-free survival (PFS), while MRP2 expression exhibited the opposite correlations. </t>
    </r>
  </si>
  <si>
    <r>
      <rPr>
        <b/>
        <sz val="11"/>
        <color theme="1"/>
        <rFont val="Calibri"/>
        <family val="2"/>
        <scheme val="minor"/>
      </rPr>
      <t>1) ARID3B</t>
    </r>
    <r>
      <rPr>
        <sz val="11"/>
        <color theme="1"/>
        <rFont val="Calibri"/>
        <family val="2"/>
        <scheme val="minor"/>
      </rPr>
      <t xml:space="preserve"> is overexpressed in human </t>
    </r>
    <r>
      <rPr>
        <b/>
        <sz val="11"/>
        <color theme="1"/>
        <rFont val="Calibri"/>
        <family val="2"/>
        <scheme val="minor"/>
      </rPr>
      <t>ovarian</t>
    </r>
    <r>
      <rPr>
        <sz val="11"/>
        <color theme="1"/>
        <rFont val="Calibri"/>
        <family val="2"/>
        <scheme val="minor"/>
      </rPr>
      <t xml:space="preserve"> tumors. </t>
    </r>
    <r>
      <rPr>
        <b/>
        <sz val="11"/>
        <color theme="1"/>
        <rFont val="Calibri"/>
        <family val="2"/>
        <scheme val="minor"/>
      </rPr>
      <t xml:space="preserve">2) </t>
    </r>
    <r>
      <rPr>
        <sz val="11"/>
        <color theme="1"/>
        <rFont val="Calibri"/>
        <family val="2"/>
        <scheme val="minor"/>
      </rPr>
      <t xml:space="preserve">Overexpression of ARID3B increased tumor burden and decreased survival in nude mice. </t>
    </r>
    <r>
      <rPr>
        <b/>
        <sz val="11"/>
        <color theme="1"/>
        <rFont val="Calibri"/>
        <family val="2"/>
        <scheme val="minor"/>
      </rPr>
      <t xml:space="preserve">3) </t>
    </r>
    <r>
      <rPr>
        <sz val="11"/>
        <color theme="1"/>
        <rFont val="Calibri"/>
        <family val="2"/>
        <scheme val="minor"/>
      </rPr>
      <t xml:space="preserve">ARID3B boosts production of CD133+ cells and increases ovarian cancer progression in vivo. </t>
    </r>
    <r>
      <rPr>
        <b/>
        <sz val="11"/>
        <color theme="1"/>
        <rFont val="Calibri"/>
        <family val="2"/>
        <scheme val="minor"/>
      </rPr>
      <t xml:space="preserve">4) </t>
    </r>
    <r>
      <rPr>
        <sz val="11"/>
        <color theme="1"/>
        <rFont val="Calibri"/>
        <family val="2"/>
        <scheme val="minor"/>
      </rPr>
      <t xml:space="preserve">ARID3B was downregulated in non- TPF (docetaxel, </t>
    </r>
    <r>
      <rPr>
        <b/>
        <sz val="11"/>
        <color theme="1"/>
        <rFont val="Calibri"/>
        <family val="2"/>
        <scheme val="minor"/>
      </rPr>
      <t>cisplatin</t>
    </r>
    <r>
      <rPr>
        <sz val="11"/>
        <color theme="1"/>
        <rFont val="Calibri"/>
        <family val="2"/>
        <scheme val="minor"/>
      </rPr>
      <t xml:space="preserve">, and 5-fluoruracil) sensitive </t>
    </r>
    <r>
      <rPr>
        <b/>
        <sz val="11"/>
        <color theme="1"/>
        <rFont val="Calibri"/>
        <family val="2"/>
        <scheme val="minor"/>
      </rPr>
      <t>hypopharyngeal</t>
    </r>
    <r>
      <rPr>
        <sz val="11"/>
        <color theme="1"/>
        <rFont val="Calibri"/>
        <family val="2"/>
        <scheme val="minor"/>
      </rPr>
      <t xml:space="preserve"> carcinoma patients’ samples. </t>
    </r>
  </si>
  <si>
    <r>
      <rPr>
        <b/>
        <sz val="11"/>
        <color theme="1"/>
        <rFont val="Calibri"/>
        <family val="2"/>
        <scheme val="minor"/>
      </rPr>
      <t>1)</t>
    </r>
    <r>
      <rPr>
        <sz val="11"/>
        <color theme="1"/>
        <rFont val="Calibri"/>
        <family val="2"/>
        <scheme val="minor"/>
      </rPr>
      <t xml:space="preserve"> Overexpression of </t>
    </r>
    <r>
      <rPr>
        <b/>
        <sz val="11"/>
        <color theme="1"/>
        <rFont val="Calibri"/>
        <family val="2"/>
        <scheme val="minor"/>
      </rPr>
      <t>ARIH1</t>
    </r>
    <r>
      <rPr>
        <sz val="11"/>
        <color theme="1"/>
        <rFont val="Calibri"/>
        <family val="2"/>
        <scheme val="minor"/>
      </rPr>
      <t xml:space="preserve"> but not </t>
    </r>
    <r>
      <rPr>
        <b/>
        <sz val="11"/>
        <color theme="1"/>
        <rFont val="Calibri"/>
        <family val="2"/>
        <scheme val="minor"/>
      </rPr>
      <t>EIF4E2</t>
    </r>
    <r>
      <rPr>
        <sz val="11"/>
        <color theme="1"/>
        <rFont val="Calibri"/>
        <family val="2"/>
        <scheme val="minor"/>
      </rPr>
      <t xml:space="preserve"> dramatically increased cellular resistance to </t>
    </r>
    <r>
      <rPr>
        <b/>
        <sz val="11"/>
        <color theme="1"/>
        <rFont val="Calibri"/>
        <family val="2"/>
        <scheme val="minor"/>
      </rPr>
      <t>cisplatin</t>
    </r>
    <r>
      <rPr>
        <sz val="11"/>
        <color theme="1"/>
        <rFont val="Calibri"/>
        <family val="2"/>
        <scheme val="minor"/>
      </rPr>
      <t xml:space="preserve">. </t>
    </r>
    <r>
      <rPr>
        <b/>
        <sz val="11"/>
        <color theme="1"/>
        <rFont val="Calibri"/>
        <family val="2"/>
        <scheme val="minor"/>
      </rPr>
      <t>2) ARIH1/HHARI</t>
    </r>
    <r>
      <rPr>
        <sz val="11"/>
        <color theme="1"/>
        <rFont val="Calibri"/>
        <family val="2"/>
        <scheme val="minor"/>
      </rPr>
      <t xml:space="preserve"> polyubiquitinates damaged mitochondria, leading to their removal via autophagy. </t>
    </r>
    <r>
      <rPr>
        <b/>
        <sz val="11"/>
        <color theme="1"/>
        <rFont val="Calibri"/>
        <family val="2"/>
        <scheme val="minor"/>
      </rPr>
      <t xml:space="preserve">3) ARIH1 </t>
    </r>
    <r>
      <rPr>
        <sz val="11"/>
        <color theme="1"/>
        <rFont val="Calibri"/>
        <family val="2"/>
        <scheme val="minor"/>
      </rPr>
      <t xml:space="preserve">is widely expressed in cancer cells, notably in </t>
    </r>
    <r>
      <rPr>
        <b/>
        <sz val="11"/>
        <color theme="1"/>
        <rFont val="Calibri"/>
        <family val="2"/>
        <scheme val="minor"/>
      </rPr>
      <t>breast</t>
    </r>
    <r>
      <rPr>
        <sz val="11"/>
        <color theme="1"/>
        <rFont val="Calibri"/>
        <family val="2"/>
        <scheme val="minor"/>
      </rPr>
      <t xml:space="preserve"> and </t>
    </r>
    <r>
      <rPr>
        <b/>
        <sz val="11"/>
        <color theme="1"/>
        <rFont val="Calibri"/>
        <family val="2"/>
        <scheme val="minor"/>
      </rPr>
      <t>lung</t>
    </r>
    <r>
      <rPr>
        <sz val="11"/>
        <color theme="1"/>
        <rFont val="Calibri"/>
        <family val="2"/>
        <scheme val="minor"/>
      </rPr>
      <t xml:space="preserve"> adenocarcinomas; </t>
    </r>
    <r>
      <rPr>
        <b/>
        <sz val="11"/>
        <color theme="1"/>
        <rFont val="Calibri"/>
        <family val="2"/>
        <scheme val="minor"/>
      </rPr>
      <t>ARIH1</t>
    </r>
    <r>
      <rPr>
        <sz val="11"/>
        <color theme="1"/>
        <rFont val="Calibri"/>
        <family val="2"/>
        <scheme val="minor"/>
      </rPr>
      <t xml:space="preserve"> expression protects against chemotherapy-induced death. </t>
    </r>
    <r>
      <rPr>
        <b/>
        <sz val="11"/>
        <color theme="1"/>
        <rFont val="Calibri"/>
        <family val="2"/>
        <scheme val="minor"/>
      </rPr>
      <t>4) ARIH1</t>
    </r>
    <r>
      <rPr>
        <sz val="11"/>
        <color theme="1"/>
        <rFont val="Calibri"/>
        <family val="2"/>
        <scheme val="minor"/>
      </rPr>
      <t xml:space="preserve"> protein abundance increased after DNA damage through attenuation of proteasomal degradation that required </t>
    </r>
    <r>
      <rPr>
        <b/>
        <sz val="11"/>
        <color theme="1"/>
        <rFont val="Calibri"/>
        <family val="2"/>
        <scheme val="minor"/>
      </rPr>
      <t>ATM</t>
    </r>
    <r>
      <rPr>
        <sz val="11"/>
        <color theme="1"/>
        <rFont val="Calibri"/>
        <family val="2"/>
        <scheme val="minor"/>
      </rPr>
      <t xml:space="preserve"> signaling. </t>
    </r>
    <r>
      <rPr>
        <b/>
        <sz val="11"/>
        <color theme="1"/>
        <rFont val="Calibri"/>
        <family val="2"/>
        <scheme val="minor"/>
      </rPr>
      <t xml:space="preserve">5) </t>
    </r>
    <r>
      <rPr>
        <sz val="11"/>
        <color theme="1"/>
        <rFont val="Calibri"/>
        <family val="2"/>
        <scheme val="minor"/>
      </rPr>
      <t xml:space="preserve">Accumulated </t>
    </r>
    <r>
      <rPr>
        <b/>
        <sz val="11"/>
        <color theme="1"/>
        <rFont val="Calibri"/>
        <family val="2"/>
        <scheme val="minor"/>
      </rPr>
      <t>ARIH1</t>
    </r>
    <r>
      <rPr>
        <sz val="11"/>
        <color theme="1"/>
        <rFont val="Calibri"/>
        <family val="2"/>
        <scheme val="minor"/>
      </rPr>
      <t xml:space="preserve"> associated with </t>
    </r>
    <r>
      <rPr>
        <b/>
        <sz val="11"/>
        <color theme="1"/>
        <rFont val="Calibri"/>
        <family val="2"/>
        <scheme val="minor"/>
      </rPr>
      <t>4EHP</t>
    </r>
    <r>
      <rPr>
        <sz val="11"/>
        <color theme="1"/>
        <rFont val="Calibri"/>
        <family val="2"/>
        <scheme val="minor"/>
      </rPr>
      <t xml:space="preserve">, leading to increased nondegradative ubiquitination of </t>
    </r>
    <r>
      <rPr>
        <b/>
        <sz val="11"/>
        <color theme="1"/>
        <rFont val="Calibri"/>
        <family val="2"/>
        <scheme val="minor"/>
      </rPr>
      <t>4EHP</t>
    </r>
    <r>
      <rPr>
        <sz val="11"/>
        <color theme="1"/>
        <rFont val="Calibri"/>
        <family val="2"/>
        <scheme val="minor"/>
      </rPr>
      <t xml:space="preserve"> and  its association with the mRNA 5' cap as well as mRNA translation arrest. This agrees well with the notion that down‐regulation of global protein translation enhances cisplatin resistance.</t>
    </r>
  </si>
  <si>
    <r>
      <rPr>
        <b/>
        <sz val="11"/>
        <color theme="1"/>
        <rFont val="Calibri"/>
        <family val="2"/>
        <scheme val="minor"/>
      </rPr>
      <t xml:space="preserve">1) </t>
    </r>
    <r>
      <rPr>
        <sz val="11"/>
        <color theme="1"/>
        <rFont val="Calibri"/>
        <family val="2"/>
        <scheme val="minor"/>
      </rPr>
      <t xml:space="preserve">in </t>
    </r>
    <r>
      <rPr>
        <b/>
        <sz val="11"/>
        <color theme="1"/>
        <rFont val="Calibri"/>
        <family val="2"/>
        <scheme val="minor"/>
      </rPr>
      <t>gastric</t>
    </r>
    <r>
      <rPr>
        <sz val="11"/>
        <color theme="1"/>
        <rFont val="Calibri"/>
        <family val="2"/>
        <scheme val="minor"/>
      </rPr>
      <t xml:space="preserve"> cancer cells, JWA enhanced </t>
    </r>
    <r>
      <rPr>
        <b/>
        <sz val="11"/>
        <color theme="1"/>
        <rFont val="Calibri"/>
        <family val="2"/>
        <scheme val="minor"/>
      </rPr>
      <t>cisplatin</t>
    </r>
    <r>
      <rPr>
        <sz val="11"/>
        <color theme="1"/>
        <rFont val="Calibri"/>
        <family val="2"/>
        <scheme val="minor"/>
      </rPr>
      <t xml:space="preserve">-induced cell death through regulation of DNA damage-induced apoptosis. </t>
    </r>
    <r>
      <rPr>
        <b/>
        <sz val="11"/>
        <color theme="1"/>
        <rFont val="Calibri"/>
        <family val="2"/>
        <scheme val="minor"/>
      </rPr>
      <t xml:space="preserve">2) </t>
    </r>
    <r>
      <rPr>
        <sz val="11"/>
        <color theme="1"/>
        <rFont val="Calibri"/>
        <family val="2"/>
        <scheme val="minor"/>
      </rPr>
      <t xml:space="preserve">The protein expression of JWA was significantly decreased in cisplatin-resistant cells and contributed to cisplatin resistance. </t>
    </r>
    <r>
      <rPr>
        <b/>
        <sz val="11"/>
        <color theme="1"/>
        <rFont val="Calibri"/>
        <family val="2"/>
        <scheme val="minor"/>
      </rPr>
      <t>3)</t>
    </r>
    <r>
      <rPr>
        <sz val="11"/>
        <color theme="1"/>
        <rFont val="Calibri"/>
        <family val="2"/>
        <scheme val="minor"/>
      </rPr>
      <t xml:space="preserve"> as JWA upregulated XRCC1 expression in normal cells, JWA downregulated XRCC1 expression through promoting the degradation of XRCC1 in cisplatin-resistant gastric cancer cells. </t>
    </r>
    <r>
      <rPr>
        <b/>
        <sz val="11"/>
        <color theme="1"/>
        <rFont val="Calibri"/>
        <family val="2"/>
        <scheme val="minor"/>
      </rPr>
      <t xml:space="preserve">4) </t>
    </r>
    <r>
      <rPr>
        <sz val="11"/>
        <color theme="1"/>
        <rFont val="Calibri"/>
        <family val="2"/>
        <scheme val="minor"/>
      </rPr>
      <t>the negative regulation of JWA to XRCC1 was blocked due to the mutation of 518S/519T/523T residues of XRCC1, and indicating that the CK2 activated 518S/519T/523T phosphorylation is a key point in the regulation of JWA to XRCC1. </t>
    </r>
    <r>
      <rPr>
        <b/>
        <sz val="11"/>
        <color theme="1"/>
        <rFont val="Calibri"/>
        <family val="2"/>
        <scheme val="minor"/>
      </rPr>
      <t>5) cisplatin</t>
    </r>
    <r>
      <rPr>
        <sz val="11"/>
        <color theme="1"/>
        <rFont val="Calibri"/>
        <family val="2"/>
        <scheme val="minor"/>
      </rPr>
      <t xml:space="preserve">-based treatments could improve mOS of patients with low </t>
    </r>
    <r>
      <rPr>
        <b/>
        <sz val="11"/>
        <color theme="1"/>
        <rFont val="Calibri"/>
        <family val="2"/>
        <scheme val="minor"/>
      </rPr>
      <t>JWA</t>
    </r>
    <r>
      <rPr>
        <sz val="11"/>
        <color theme="1"/>
        <rFont val="Calibri"/>
        <family val="2"/>
        <scheme val="minor"/>
      </rPr>
      <t xml:space="preserve"> expression (P&lt;0.05), especially in those with low BRCA1 expression simultaneously (P&lt;0.001) in patients with advanced </t>
    </r>
    <r>
      <rPr>
        <b/>
        <sz val="11"/>
        <color theme="1"/>
        <rFont val="Calibri"/>
        <family val="2"/>
        <scheme val="minor"/>
      </rPr>
      <t>esophageal</t>
    </r>
    <r>
      <rPr>
        <sz val="11"/>
        <color theme="1"/>
        <rFont val="Calibri"/>
        <family val="2"/>
        <scheme val="minor"/>
      </rPr>
      <t xml:space="preserve"> squamous cell carcinoma. </t>
    </r>
  </si>
  <si>
    <r>
      <rPr>
        <b/>
        <sz val="11"/>
        <color theme="1"/>
        <rFont val="Calibri"/>
        <family val="2"/>
        <scheme val="minor"/>
      </rPr>
      <t xml:space="preserve">1) </t>
    </r>
    <r>
      <rPr>
        <sz val="11"/>
        <color theme="1"/>
        <rFont val="Calibri"/>
        <family val="2"/>
        <scheme val="minor"/>
      </rPr>
      <t xml:space="preserve">Targeting HIF1 activity by silencing </t>
    </r>
    <r>
      <rPr>
        <b/>
        <sz val="11"/>
        <color theme="1"/>
        <rFont val="Calibri"/>
        <family val="2"/>
        <scheme val="minor"/>
      </rPr>
      <t>HIF-1β</t>
    </r>
    <r>
      <rPr>
        <sz val="11"/>
        <color theme="1"/>
        <rFont val="Calibri"/>
        <family val="2"/>
        <scheme val="minor"/>
      </rPr>
      <t xml:space="preserve"> re-sensitised cells to </t>
    </r>
    <r>
      <rPr>
        <b/>
        <sz val="11"/>
        <color theme="1"/>
        <rFont val="Calibri"/>
        <family val="2"/>
        <scheme val="minor"/>
      </rPr>
      <t>cisplatin</t>
    </r>
    <r>
      <rPr>
        <sz val="11"/>
        <color theme="1"/>
        <rFont val="Calibri"/>
        <family val="2"/>
        <scheme val="minor"/>
      </rPr>
      <t xml:space="preserve"> in vitro and </t>
    </r>
    <r>
      <rPr>
        <b/>
        <sz val="11"/>
        <color theme="1"/>
        <rFont val="Calibri"/>
        <family val="2"/>
        <scheme val="minor"/>
      </rPr>
      <t>2)</t>
    </r>
    <r>
      <rPr>
        <sz val="11"/>
        <color theme="1"/>
        <rFont val="Calibri"/>
        <family val="2"/>
        <scheme val="minor"/>
      </rPr>
      <t xml:space="preserve"> reduced tumour formation of A2780-Rab25 expressing cells in vivo in a mouse </t>
    </r>
    <r>
      <rPr>
        <b/>
        <sz val="11"/>
        <color theme="1"/>
        <rFont val="Calibri"/>
        <family val="2"/>
        <scheme val="minor"/>
      </rPr>
      <t>ovarian</t>
    </r>
    <r>
      <rPr>
        <sz val="11"/>
        <color theme="1"/>
        <rFont val="Calibri"/>
        <family val="2"/>
        <scheme val="minor"/>
      </rPr>
      <t xml:space="preserve"> peritoneal carcinomatosis model.</t>
    </r>
    <r>
      <rPr>
        <b/>
        <sz val="11"/>
        <color theme="1"/>
        <rFont val="Calibri"/>
        <family val="2"/>
        <scheme val="minor"/>
      </rPr>
      <t xml:space="preserve"> 3)</t>
    </r>
    <r>
      <rPr>
        <sz val="11"/>
        <color theme="1"/>
        <rFont val="Calibri"/>
        <family val="2"/>
        <scheme val="minor"/>
      </rPr>
      <t xml:space="preserve">Similar effects on cisplatin resistance in vitro and intraperitoneal tumourigenesis in vivo were obtained after HIF1b knockdown in the ovarian cancer cell line SKOV3, which expresses endogenous Rab25 and HIF-1α at atmospheric oxygen concentrations. </t>
    </r>
    <r>
      <rPr>
        <b/>
        <sz val="11"/>
        <color theme="1"/>
        <rFont val="Calibri"/>
        <family val="2"/>
        <scheme val="minor"/>
      </rPr>
      <t xml:space="preserve">4) </t>
    </r>
    <r>
      <rPr>
        <sz val="11"/>
        <color theme="1"/>
        <rFont val="Calibri"/>
        <family val="2"/>
        <scheme val="minor"/>
      </rPr>
      <t xml:space="preserve">Of 111 NSCLC FFPE samples, patients with HIF-positive </t>
    </r>
    <r>
      <rPr>
        <b/>
        <sz val="11"/>
        <color theme="1"/>
        <rFont val="Calibri"/>
        <family val="2"/>
        <scheme val="minor"/>
      </rPr>
      <t>lung</t>
    </r>
    <r>
      <rPr>
        <sz val="11"/>
        <color theme="1"/>
        <rFont val="Calibri"/>
        <family val="2"/>
        <scheme val="minor"/>
      </rPr>
      <t xml:space="preserve"> carcinomas had significantly longer median survival times than patients with HIF-negative carcinomas (HIF-1 alpha: 191 vs. 60 weeks; P = 0.05; </t>
    </r>
    <r>
      <rPr>
        <b/>
        <sz val="11"/>
        <color theme="1"/>
        <rFont val="Calibri"/>
        <family val="2"/>
        <scheme val="minor"/>
      </rPr>
      <t>HIF-1 beta</t>
    </r>
    <r>
      <rPr>
        <sz val="11"/>
        <color theme="1"/>
        <rFont val="Calibri"/>
        <family val="2"/>
        <scheme val="minor"/>
      </rPr>
      <t xml:space="preserve">: 111 vs. 41 weeks; P = 0.003). </t>
    </r>
    <r>
      <rPr>
        <b/>
        <sz val="11"/>
        <color theme="1"/>
        <rFont val="Calibri"/>
        <family val="2"/>
        <scheme val="minor"/>
      </rPr>
      <t xml:space="preserve">5) </t>
    </r>
    <r>
      <rPr>
        <sz val="11"/>
        <color theme="1"/>
        <rFont val="Calibri"/>
        <family val="2"/>
        <scheme val="minor"/>
      </rPr>
      <t xml:space="preserve">the downregulation of multidrug resistance 1 (MDR1) expression and retention of drugs in cells caused by suppression of </t>
    </r>
    <r>
      <rPr>
        <b/>
        <sz val="11"/>
        <color theme="1"/>
        <rFont val="Calibri"/>
        <family val="2"/>
        <scheme val="minor"/>
      </rPr>
      <t>ARNT</t>
    </r>
    <r>
      <rPr>
        <sz val="11"/>
        <color theme="1"/>
        <rFont val="Calibri"/>
        <family val="2"/>
        <scheme val="minor"/>
      </rPr>
      <t xml:space="preserve">, resulting in the resensitization of drug-resistant cells to cisplatin, was observed. </t>
    </r>
  </si>
  <si>
    <r>
      <rPr>
        <b/>
        <sz val="11"/>
        <color theme="1"/>
        <rFont val="Calibri"/>
        <family val="2"/>
        <scheme val="minor"/>
      </rPr>
      <t xml:space="preserve">1) </t>
    </r>
    <r>
      <rPr>
        <sz val="11"/>
        <color theme="1"/>
        <rFont val="Calibri"/>
        <family val="2"/>
        <scheme val="minor"/>
      </rPr>
      <t xml:space="preserve">aberrant methylation in the </t>
    </r>
    <r>
      <rPr>
        <b/>
        <sz val="11"/>
        <color theme="1"/>
        <rFont val="Calibri"/>
        <family val="2"/>
        <scheme val="minor"/>
      </rPr>
      <t>ASS1</t>
    </r>
    <r>
      <rPr>
        <sz val="11"/>
        <color theme="1"/>
        <rFont val="Calibri"/>
        <family val="2"/>
        <scheme val="minor"/>
      </rPr>
      <t xml:space="preserve"> promoter correlated with transcriptional silencing in </t>
    </r>
    <r>
      <rPr>
        <b/>
        <sz val="11"/>
        <color theme="1"/>
        <rFont val="Calibri"/>
        <family val="2"/>
        <scheme val="minor"/>
      </rPr>
      <t>ovarian</t>
    </r>
    <r>
      <rPr>
        <sz val="11"/>
        <color theme="1"/>
        <rFont val="Calibri"/>
        <family val="2"/>
        <scheme val="minor"/>
      </rPr>
      <t xml:space="preserve"> cancer cell lines. </t>
    </r>
    <r>
      <rPr>
        <b/>
        <sz val="11"/>
        <color theme="1"/>
        <rFont val="Calibri"/>
        <family val="2"/>
        <scheme val="minor"/>
      </rPr>
      <t xml:space="preserve">2) </t>
    </r>
    <r>
      <rPr>
        <sz val="11"/>
        <color theme="1"/>
        <rFont val="Calibri"/>
        <family val="2"/>
        <scheme val="minor"/>
      </rPr>
      <t xml:space="preserve">ASS1 silencing conferred selective resistance to </t>
    </r>
    <r>
      <rPr>
        <b/>
        <sz val="11"/>
        <color theme="1"/>
        <rFont val="Calibri"/>
        <family val="2"/>
        <scheme val="minor"/>
      </rPr>
      <t>platinum</t>
    </r>
    <r>
      <rPr>
        <sz val="11"/>
        <color theme="1"/>
        <rFont val="Calibri"/>
        <family val="2"/>
        <scheme val="minor"/>
      </rPr>
      <t xml:space="preserve">-based drugs and conferred arginine auxotrophy and sensitivity to arginine deprivation. </t>
    </r>
    <r>
      <rPr>
        <b/>
        <sz val="11"/>
        <color theme="1"/>
        <rFont val="Calibri"/>
        <family val="2"/>
        <scheme val="minor"/>
      </rPr>
      <t xml:space="preserve">3) </t>
    </r>
    <r>
      <rPr>
        <sz val="11"/>
        <color theme="1"/>
        <rFont val="Calibri"/>
        <family val="2"/>
        <scheme val="minor"/>
      </rPr>
      <t xml:space="preserve">In ovarian cancer, ASS1 methylation at diagnosis was associated with significantly reduced overall survival (p = 0.01) and relapse-free survival (p = 0.01). In patients who relapse, ASS1 methylation was significantly more frequent at relapse (p = 0.008). </t>
    </r>
    <r>
      <rPr>
        <b/>
        <sz val="11"/>
        <color theme="1"/>
        <rFont val="Calibri"/>
        <family val="2"/>
        <scheme val="minor"/>
      </rPr>
      <t xml:space="preserve">4) </t>
    </r>
    <r>
      <rPr>
        <sz val="11"/>
        <color theme="1"/>
        <rFont val="Calibri"/>
        <family val="2"/>
        <scheme val="minor"/>
      </rPr>
      <t xml:space="preserve">Reduction of </t>
    </r>
    <r>
      <rPr>
        <b/>
        <sz val="11"/>
        <color theme="1"/>
        <rFont val="Calibri"/>
        <family val="2"/>
        <scheme val="minor"/>
      </rPr>
      <t>ASS1</t>
    </r>
    <r>
      <rPr>
        <sz val="11"/>
        <color theme="1"/>
        <rFont val="Calibri"/>
        <family val="2"/>
        <scheme val="minor"/>
      </rPr>
      <t xml:space="preserve"> expression by siRNA significantly sensitized </t>
    </r>
    <r>
      <rPr>
        <b/>
        <sz val="11"/>
        <color theme="1"/>
        <rFont val="Calibri"/>
        <family val="2"/>
        <scheme val="minor"/>
      </rPr>
      <t>mesothelioma spheroids</t>
    </r>
    <r>
      <rPr>
        <sz val="11"/>
        <color theme="1"/>
        <rFont val="Calibri"/>
        <family val="2"/>
        <scheme val="minor"/>
      </rPr>
      <t xml:space="preserve"> to the pro-apoptotic effects of bortezomib and of </t>
    </r>
    <r>
      <rPr>
        <b/>
        <sz val="11"/>
        <color theme="1"/>
        <rFont val="Calibri"/>
        <family val="2"/>
        <scheme val="minor"/>
      </rPr>
      <t>cisplatin</t>
    </r>
    <r>
      <rPr>
        <sz val="11"/>
        <color theme="1"/>
        <rFont val="Calibri"/>
        <family val="2"/>
        <scheme val="minor"/>
      </rPr>
      <t xml:space="preserve"> plus pemetrexed. </t>
    </r>
  </si>
  <si>
    <r>
      <rPr>
        <b/>
        <sz val="11"/>
        <color theme="1"/>
        <rFont val="Calibri"/>
        <family val="2"/>
        <scheme val="minor"/>
      </rPr>
      <t>1) Phosphorylation</t>
    </r>
    <r>
      <rPr>
        <sz val="11"/>
        <color theme="1"/>
        <rFont val="Calibri"/>
        <family val="2"/>
        <scheme val="minor"/>
      </rPr>
      <t xml:space="preserve"> of </t>
    </r>
    <r>
      <rPr>
        <b/>
        <sz val="11"/>
        <color theme="1"/>
        <rFont val="Calibri"/>
        <family val="2"/>
        <scheme val="minor"/>
      </rPr>
      <t>ATF2</t>
    </r>
    <r>
      <rPr>
        <sz val="11"/>
        <color theme="1"/>
        <rFont val="Calibri"/>
        <family val="2"/>
        <scheme val="minor"/>
      </rPr>
      <t xml:space="preserve"> is related to its interaction with JNK and/or p38 and this interaction playing a role in modulating sensitivity to </t>
    </r>
    <r>
      <rPr>
        <b/>
        <sz val="11"/>
        <color theme="1"/>
        <rFont val="Calibri"/>
        <family val="2"/>
        <scheme val="minor"/>
      </rPr>
      <t>cisplatin</t>
    </r>
    <r>
      <rPr>
        <sz val="11"/>
        <color theme="1"/>
        <rFont val="Calibri"/>
        <family val="2"/>
        <scheme val="minor"/>
      </rPr>
      <t xml:space="preserve">. </t>
    </r>
    <r>
      <rPr>
        <b/>
        <sz val="11"/>
        <color theme="1"/>
        <rFont val="Calibri"/>
        <family val="2"/>
        <scheme val="minor"/>
      </rPr>
      <t xml:space="preserve">2) </t>
    </r>
    <r>
      <rPr>
        <sz val="11"/>
        <color theme="1"/>
        <rFont val="Calibri"/>
        <family val="2"/>
        <scheme val="minor"/>
      </rPr>
      <t xml:space="preserve">High expression levels of both ATF2 transcript and proteins were observed in </t>
    </r>
    <r>
      <rPr>
        <b/>
        <sz val="11"/>
        <color theme="1"/>
        <rFont val="Calibri"/>
        <family val="2"/>
        <scheme val="minor"/>
      </rPr>
      <t>lung</t>
    </r>
    <r>
      <rPr>
        <sz val="11"/>
        <color theme="1"/>
        <rFont val="Calibri"/>
        <family val="2"/>
        <scheme val="minor"/>
      </rPr>
      <t xml:space="preserve"> cancer specimens (p &lt;&lt; 0.01, Log2 (FC) = +4.7). </t>
    </r>
    <r>
      <rPr>
        <b/>
        <sz val="11"/>
        <color theme="1"/>
        <rFont val="Calibri"/>
        <family val="2"/>
        <scheme val="minor"/>
      </rPr>
      <t xml:space="preserve">3) </t>
    </r>
    <r>
      <rPr>
        <sz val="11"/>
        <color theme="1"/>
        <rFont val="Calibri"/>
        <family val="2"/>
        <scheme val="minor"/>
      </rPr>
      <t xml:space="preserve">CDDP-resistant </t>
    </r>
    <r>
      <rPr>
        <b/>
        <sz val="11"/>
        <color theme="1"/>
        <rFont val="Calibri"/>
        <family val="2"/>
        <scheme val="minor"/>
      </rPr>
      <t>NSCLC</t>
    </r>
    <r>
      <rPr>
        <sz val="11"/>
        <color theme="1"/>
        <rFont val="Calibri"/>
        <family val="2"/>
        <scheme val="minor"/>
      </rPr>
      <t xml:space="preserve"> cell lines expressed high levels of ATF2 protein. </t>
    </r>
    <r>
      <rPr>
        <b/>
        <sz val="11"/>
        <color theme="1"/>
        <rFont val="Calibri"/>
        <family val="2"/>
        <scheme val="minor"/>
      </rPr>
      <t>4)</t>
    </r>
    <r>
      <rPr>
        <sz val="11"/>
        <color theme="1"/>
        <rFont val="Calibri"/>
        <family val="2"/>
        <scheme val="minor"/>
      </rPr>
      <t xml:space="preserve"> Celastrol-mediated ATF2/cJUN functional inhibition restored the response to CDDP. </t>
    </r>
    <r>
      <rPr>
        <b/>
        <sz val="11"/>
        <color theme="1"/>
        <rFont val="Calibri"/>
        <family val="2"/>
        <scheme val="minor"/>
      </rPr>
      <t xml:space="preserve">5) </t>
    </r>
    <r>
      <rPr>
        <sz val="11"/>
        <color theme="1"/>
        <rFont val="Calibri"/>
        <family val="2"/>
        <scheme val="minor"/>
      </rPr>
      <t xml:space="preserve">ATF2 protein </t>
    </r>
    <r>
      <rPr>
        <b/>
        <sz val="11"/>
        <color theme="1"/>
        <rFont val="Calibri"/>
        <family val="2"/>
        <scheme val="minor"/>
      </rPr>
      <t>activation</t>
    </r>
    <r>
      <rPr>
        <sz val="11"/>
        <color theme="1"/>
        <rFont val="Calibri"/>
        <family val="2"/>
        <scheme val="minor"/>
      </rPr>
      <t xml:space="preserve"> correlates with worse outcome in advanced CDDP-treated patients. </t>
    </r>
  </si>
  <si>
    <r>
      <rPr>
        <b/>
        <sz val="11"/>
        <color theme="1"/>
        <rFont val="Calibri"/>
        <family val="2"/>
        <scheme val="minor"/>
      </rPr>
      <t>1)</t>
    </r>
    <r>
      <rPr>
        <sz val="11"/>
        <color theme="1"/>
        <rFont val="Calibri"/>
        <family val="2"/>
        <scheme val="minor"/>
      </rPr>
      <t xml:space="preserve"> Expression of </t>
    </r>
    <r>
      <rPr>
        <b/>
        <sz val="11"/>
        <color theme="1"/>
        <rFont val="Calibri"/>
        <family val="2"/>
        <scheme val="minor"/>
      </rPr>
      <t>ATF4</t>
    </r>
    <r>
      <rPr>
        <sz val="11"/>
        <color theme="1"/>
        <rFont val="Calibri"/>
        <family val="2"/>
        <scheme val="minor"/>
      </rPr>
      <t xml:space="preserve"> was found to correlate with </t>
    </r>
    <r>
      <rPr>
        <b/>
        <sz val="11"/>
        <color theme="1"/>
        <rFont val="Calibri"/>
        <family val="2"/>
        <scheme val="minor"/>
      </rPr>
      <t>cisplatin</t>
    </r>
    <r>
      <rPr>
        <sz val="11"/>
        <color theme="1"/>
        <rFont val="Calibri"/>
        <family val="2"/>
        <scheme val="minor"/>
      </rPr>
      <t xml:space="preserve"> sensitivity (P = 0.01) (from 11 </t>
    </r>
    <r>
      <rPr>
        <b/>
        <sz val="11"/>
        <color theme="1"/>
        <rFont val="Calibri"/>
        <family val="2"/>
        <scheme val="minor"/>
      </rPr>
      <t>lung</t>
    </r>
    <r>
      <rPr>
        <sz val="11"/>
        <color theme="1"/>
        <rFont val="Calibri"/>
        <family val="2"/>
        <scheme val="minor"/>
      </rPr>
      <t xml:space="preserve"> cancer cell lines). </t>
    </r>
    <r>
      <rPr>
        <b/>
        <sz val="11"/>
        <color theme="1"/>
        <rFont val="Calibri"/>
        <family val="2"/>
        <scheme val="minor"/>
      </rPr>
      <t xml:space="preserve">2) </t>
    </r>
    <r>
      <rPr>
        <sz val="11"/>
        <color theme="1"/>
        <rFont val="Calibri"/>
        <family val="2"/>
        <scheme val="minor"/>
      </rPr>
      <t>ATF4 was overexpressed in about 50.7% of</t>
    </r>
    <r>
      <rPr>
        <b/>
        <sz val="11"/>
        <color theme="1"/>
        <rFont val="Calibri"/>
        <family val="2"/>
        <scheme val="minor"/>
      </rPr>
      <t xml:space="preserve"> HCC </t>
    </r>
    <r>
      <rPr>
        <sz val="11"/>
        <color theme="1"/>
        <rFont val="Calibri"/>
        <family val="2"/>
        <scheme val="minor"/>
      </rPr>
      <t xml:space="preserve">tissues. </t>
    </r>
    <r>
      <rPr>
        <b/>
        <sz val="11"/>
        <color theme="1"/>
        <rFont val="Calibri"/>
        <family val="2"/>
        <scheme val="minor"/>
      </rPr>
      <t xml:space="preserve">3) </t>
    </r>
    <r>
      <rPr>
        <sz val="11"/>
        <color theme="1"/>
        <rFont val="Calibri"/>
        <family val="2"/>
        <scheme val="minor"/>
      </rPr>
      <t xml:space="preserve">knockdown of ATF4 significantly increased the cytotoxicity of </t>
    </r>
    <r>
      <rPr>
        <b/>
        <sz val="11"/>
        <color theme="1"/>
        <rFont val="Calibri"/>
        <family val="2"/>
        <scheme val="minor"/>
      </rPr>
      <t>cisplatin</t>
    </r>
    <r>
      <rPr>
        <sz val="11"/>
        <color theme="1"/>
        <rFont val="Calibri"/>
        <family val="2"/>
        <scheme val="minor"/>
      </rPr>
      <t xml:space="preserve"> in both in vitro and in vivo assays, </t>
    </r>
    <r>
      <rPr>
        <b/>
        <sz val="11"/>
        <color theme="1"/>
        <rFont val="Calibri"/>
        <family val="2"/>
        <scheme val="minor"/>
      </rPr>
      <t xml:space="preserve">4) </t>
    </r>
    <r>
      <rPr>
        <sz val="11"/>
        <color theme="1"/>
        <rFont val="Calibri"/>
        <family val="2"/>
        <scheme val="minor"/>
      </rPr>
      <t xml:space="preserve">overexpression of this molecule dramatically decreased the sensitivity of HCC cell lines to cisplatin. </t>
    </r>
    <r>
      <rPr>
        <b/>
        <sz val="11"/>
        <color theme="1"/>
        <rFont val="Calibri"/>
        <family val="2"/>
        <scheme val="minor"/>
      </rPr>
      <t>5)</t>
    </r>
    <r>
      <rPr>
        <sz val="11"/>
        <color theme="1"/>
        <rFont val="Calibri"/>
        <family val="2"/>
        <scheme val="minor"/>
      </rPr>
      <t xml:space="preserve"> synthesis of glutathione was significantly reduced in HCC cell lines subjected to ATF4 knockdown.. </t>
    </r>
  </si>
  <si>
    <r>
      <rPr>
        <b/>
        <sz val="11"/>
        <color theme="1"/>
        <rFont val="Calibri"/>
        <family val="2"/>
        <scheme val="minor"/>
      </rPr>
      <t>1)</t>
    </r>
    <r>
      <rPr>
        <sz val="11"/>
        <color theme="1"/>
        <rFont val="Calibri"/>
        <family val="2"/>
        <scheme val="minor"/>
      </rPr>
      <t xml:space="preserve"> </t>
    </r>
    <r>
      <rPr>
        <b/>
        <sz val="11"/>
        <color theme="1"/>
        <rFont val="Calibri"/>
        <family val="2"/>
        <scheme val="minor"/>
      </rPr>
      <t>STAT3</t>
    </r>
    <r>
      <rPr>
        <sz val="11"/>
        <color theme="1"/>
        <rFont val="Calibri"/>
        <family val="2"/>
        <scheme val="minor"/>
      </rPr>
      <t xml:space="preserve"> functions to promote the transcription of </t>
    </r>
    <r>
      <rPr>
        <b/>
        <sz val="11"/>
        <color theme="1"/>
        <rFont val="Calibri"/>
        <family val="2"/>
        <scheme val="minor"/>
      </rPr>
      <t>ATF6</t>
    </r>
    <r>
      <rPr>
        <sz val="11"/>
        <color theme="1"/>
        <rFont val="Calibri"/>
        <family val="2"/>
        <scheme val="minor"/>
      </rPr>
      <t xml:space="preserve">, which induces ER stress to promote cellular </t>
    </r>
    <r>
      <rPr>
        <b/>
        <sz val="11"/>
        <color theme="1"/>
        <rFont val="Calibri"/>
        <family val="2"/>
        <scheme val="minor"/>
      </rPr>
      <t>autophagy</t>
    </r>
    <r>
      <rPr>
        <sz val="11"/>
        <color theme="1"/>
        <rFont val="Calibri"/>
        <family val="2"/>
        <scheme val="minor"/>
      </rPr>
      <t xml:space="preserve">, granting cancer cell resistance to both </t>
    </r>
    <r>
      <rPr>
        <b/>
        <sz val="11"/>
        <color theme="1"/>
        <rFont val="Calibri"/>
        <family val="2"/>
        <scheme val="minor"/>
      </rPr>
      <t>cisplatin</t>
    </r>
    <r>
      <rPr>
        <sz val="11"/>
        <color theme="1"/>
        <rFont val="Calibri"/>
        <family val="2"/>
        <scheme val="minor"/>
      </rPr>
      <t xml:space="preserve">. </t>
    </r>
    <r>
      <rPr>
        <b/>
        <sz val="11"/>
        <color theme="1"/>
        <rFont val="Calibri"/>
        <family val="2"/>
        <scheme val="minor"/>
      </rPr>
      <t>2)</t>
    </r>
    <r>
      <rPr>
        <sz val="11"/>
        <color theme="1"/>
        <rFont val="Calibri"/>
        <family val="2"/>
        <scheme val="minor"/>
      </rPr>
      <t xml:space="preserve"> patients with the high expression of </t>
    </r>
    <r>
      <rPr>
        <b/>
        <sz val="11"/>
        <color theme="1"/>
        <rFont val="Calibri"/>
        <family val="2"/>
        <scheme val="minor"/>
      </rPr>
      <t>ID1</t>
    </r>
    <r>
      <rPr>
        <sz val="11"/>
        <color theme="1"/>
        <rFont val="Calibri"/>
        <family val="2"/>
        <scheme val="minor"/>
      </rPr>
      <t xml:space="preserve"> or </t>
    </r>
    <r>
      <rPr>
        <b/>
        <sz val="11"/>
        <color theme="1"/>
        <rFont val="Calibri"/>
        <family val="2"/>
        <scheme val="minor"/>
      </rPr>
      <t>ATF6</t>
    </r>
    <r>
      <rPr>
        <sz val="11"/>
        <color theme="1"/>
        <rFont val="Calibri"/>
        <family val="2"/>
        <scheme val="minor"/>
      </rPr>
      <t xml:space="preserve"> were resistant to </t>
    </r>
    <r>
      <rPr>
        <b/>
        <sz val="11"/>
        <color theme="1"/>
        <rFont val="Calibri"/>
        <family val="2"/>
        <scheme val="minor"/>
      </rPr>
      <t>platinum</t>
    </r>
    <r>
      <rPr>
        <sz val="11"/>
        <color theme="1"/>
        <rFont val="Calibri"/>
        <family val="2"/>
        <scheme val="minor"/>
      </rPr>
      <t xml:space="preserve"> treatment and had the poor overall survival and progression-free survival in </t>
    </r>
    <r>
      <rPr>
        <b/>
        <sz val="11"/>
        <color theme="1"/>
        <rFont val="Calibri"/>
        <family val="2"/>
        <scheme val="minor"/>
      </rPr>
      <t>ovarian</t>
    </r>
    <r>
      <rPr>
        <sz val="11"/>
        <color theme="1"/>
        <rFont val="Calibri"/>
        <family val="2"/>
        <scheme val="minor"/>
      </rPr>
      <t xml:space="preserve"> cancer patients. </t>
    </r>
    <r>
      <rPr>
        <b/>
        <sz val="11"/>
        <color theme="1"/>
        <rFont val="Calibri"/>
        <family val="2"/>
        <scheme val="minor"/>
      </rPr>
      <t>3)</t>
    </r>
    <r>
      <rPr>
        <sz val="11"/>
        <color theme="1"/>
        <rFont val="Calibri"/>
        <family val="2"/>
        <scheme val="minor"/>
      </rPr>
      <t xml:space="preserve"> knockdown of </t>
    </r>
    <r>
      <rPr>
        <b/>
        <sz val="11"/>
        <color theme="1"/>
        <rFont val="Calibri"/>
        <family val="2"/>
        <scheme val="minor"/>
      </rPr>
      <t>ATF6α</t>
    </r>
    <r>
      <rPr>
        <sz val="11"/>
        <color theme="1"/>
        <rFont val="Calibri"/>
        <family val="2"/>
        <scheme val="minor"/>
      </rPr>
      <t xml:space="preserve"> enhanced sensitivity of </t>
    </r>
    <r>
      <rPr>
        <b/>
        <sz val="11"/>
        <color theme="1"/>
        <rFont val="Calibri"/>
        <family val="2"/>
        <scheme val="minor"/>
      </rPr>
      <t>OS</t>
    </r>
    <r>
      <rPr>
        <sz val="11"/>
        <color theme="1"/>
        <rFont val="Calibri"/>
        <family val="2"/>
        <scheme val="minor"/>
      </rPr>
      <t xml:space="preserve"> cells against </t>
    </r>
    <r>
      <rPr>
        <b/>
        <sz val="11"/>
        <color theme="1"/>
        <rFont val="Calibri"/>
        <family val="2"/>
        <scheme val="minor"/>
      </rPr>
      <t>cisplatin</t>
    </r>
    <r>
      <rPr>
        <sz val="11"/>
        <color theme="1"/>
        <rFont val="Calibri"/>
        <family val="2"/>
        <scheme val="minor"/>
      </rPr>
      <t xml:space="preserve"> induced cell death. </t>
    </r>
    <r>
      <rPr>
        <b/>
        <sz val="11"/>
        <color theme="1"/>
        <rFont val="Calibri"/>
        <family val="2"/>
        <scheme val="minor"/>
      </rPr>
      <t xml:space="preserve">4) </t>
    </r>
    <r>
      <rPr>
        <sz val="11"/>
        <color theme="1"/>
        <rFont val="Calibri"/>
        <family val="2"/>
        <scheme val="minor"/>
      </rPr>
      <t xml:space="preserve">Pharmacologic inhibition or knock-down of downstream targets of </t>
    </r>
    <r>
      <rPr>
        <b/>
        <sz val="11"/>
        <color theme="1"/>
        <rFont val="Calibri"/>
        <family val="2"/>
        <scheme val="minor"/>
      </rPr>
      <t>ATF6α</t>
    </r>
    <r>
      <rPr>
        <sz val="11"/>
        <color theme="1"/>
        <rFont val="Calibri"/>
        <family val="2"/>
        <scheme val="minor"/>
      </rPr>
      <t>, protein disulfide isomerases (</t>
    </r>
    <r>
      <rPr>
        <b/>
        <sz val="11"/>
        <color theme="1"/>
        <rFont val="Calibri"/>
        <family val="2"/>
        <scheme val="minor"/>
      </rPr>
      <t>PDI</t>
    </r>
    <r>
      <rPr>
        <sz val="11"/>
        <color theme="1"/>
        <rFont val="Calibri"/>
        <family val="2"/>
        <scheme val="minor"/>
      </rPr>
      <t xml:space="preserve">) and </t>
    </r>
    <r>
      <rPr>
        <b/>
        <sz val="11"/>
        <color theme="1"/>
        <rFont val="Calibri"/>
        <family val="2"/>
        <scheme val="minor"/>
      </rPr>
      <t>ERO1β</t>
    </r>
    <r>
      <rPr>
        <sz val="11"/>
        <color theme="1"/>
        <rFont val="Calibri"/>
        <family val="2"/>
        <scheme val="minor"/>
      </rPr>
      <t xml:space="preserve">, a thiol oxidase that is involved in the re-oxidation of PDIs also independently induced pronounced killing of </t>
    </r>
    <r>
      <rPr>
        <b/>
        <sz val="11"/>
        <color theme="1"/>
        <rFont val="Calibri"/>
        <family val="2"/>
        <scheme val="minor"/>
      </rPr>
      <t>OS</t>
    </r>
    <r>
      <rPr>
        <sz val="11"/>
        <color theme="1"/>
        <rFont val="Calibri"/>
        <family val="2"/>
        <scheme val="minor"/>
      </rPr>
      <t xml:space="preserve"> cells following chemotherapy.</t>
    </r>
    <r>
      <rPr>
        <b/>
        <sz val="11"/>
        <color theme="1"/>
        <rFont val="Calibri"/>
        <family val="2"/>
        <scheme val="minor"/>
      </rPr>
      <t xml:space="preserve"> 5)</t>
    </r>
    <r>
      <rPr>
        <sz val="11"/>
        <color theme="1"/>
        <rFont val="Calibri"/>
        <family val="2"/>
        <scheme val="minor"/>
      </rPr>
      <t xml:space="preserve"> primary tumors from OS patients with high levels of nuclear ATF6α: (1) also had increased expression of its downstream targets the chaperone BiP and enzyme PDI, (2) had a significant likelihood of developing metastasis at diagnosis, (3) had significantly poorer overall and progression free survival, and (4) had poorer response to chemotherapy. </t>
    </r>
  </si>
  <si>
    <r>
      <rPr>
        <b/>
        <sz val="11"/>
        <color theme="1"/>
        <rFont val="Calibri"/>
        <family val="2"/>
        <scheme val="minor"/>
      </rPr>
      <t xml:space="preserve">1) </t>
    </r>
    <r>
      <rPr>
        <sz val="11"/>
        <color theme="1"/>
        <rFont val="Calibri"/>
        <family val="2"/>
        <scheme val="minor"/>
      </rPr>
      <t>Inhibition of cisplatin-induced autophagy using Baf A1, CQ, or ATG7/</t>
    </r>
    <r>
      <rPr>
        <b/>
        <sz val="11"/>
        <color theme="1"/>
        <rFont val="Calibri"/>
        <family val="2"/>
        <scheme val="minor"/>
      </rPr>
      <t>ATG12</t>
    </r>
    <r>
      <rPr>
        <sz val="11"/>
        <color theme="1"/>
        <rFont val="Calibri"/>
        <family val="2"/>
        <scheme val="minor"/>
      </rPr>
      <t xml:space="preserve"> shRNAs significantly enhanced cytotoxicity of </t>
    </r>
    <r>
      <rPr>
        <b/>
        <sz val="11"/>
        <color theme="1"/>
        <rFont val="Calibri"/>
        <family val="2"/>
        <scheme val="minor"/>
      </rPr>
      <t>cisplatin</t>
    </r>
    <r>
      <rPr>
        <sz val="11"/>
        <color theme="1"/>
        <rFont val="Calibri"/>
        <family val="2"/>
        <scheme val="minor"/>
      </rPr>
      <t xml:space="preserve"> toward BC cells. </t>
    </r>
    <r>
      <rPr>
        <b/>
        <sz val="11"/>
        <color theme="1"/>
        <rFont val="Calibri"/>
        <family val="2"/>
        <scheme val="minor"/>
      </rPr>
      <t>2) cisplatin</t>
    </r>
    <r>
      <rPr>
        <sz val="11"/>
        <color theme="1"/>
        <rFont val="Calibri"/>
        <family val="2"/>
        <scheme val="minor"/>
      </rPr>
      <t xml:space="preserve"> could induce the formation of autophagosomes and upregulate the expression of autophagy-related genes </t>
    </r>
    <r>
      <rPr>
        <b/>
        <sz val="11"/>
        <color theme="1"/>
        <rFont val="Calibri"/>
        <family val="2"/>
        <scheme val="minor"/>
      </rPr>
      <t>Atg3</t>
    </r>
    <r>
      <rPr>
        <sz val="11"/>
        <color theme="1"/>
        <rFont val="Calibri"/>
        <family val="2"/>
        <scheme val="minor"/>
      </rPr>
      <t xml:space="preserve">, </t>
    </r>
    <r>
      <rPr>
        <b/>
        <sz val="11"/>
        <color theme="1"/>
        <rFont val="Calibri"/>
        <family val="2"/>
        <scheme val="minor"/>
      </rPr>
      <t>Atg6</t>
    </r>
    <r>
      <rPr>
        <sz val="11"/>
        <color theme="1"/>
        <rFont val="Calibri"/>
        <family val="2"/>
        <scheme val="minor"/>
      </rPr>
      <t xml:space="preserve"> and </t>
    </r>
    <r>
      <rPr>
        <b/>
        <sz val="11"/>
        <color theme="1"/>
        <rFont val="Calibri"/>
        <family val="2"/>
        <scheme val="minor"/>
      </rPr>
      <t xml:space="preserve">Atg12 </t>
    </r>
    <r>
      <rPr>
        <sz val="11"/>
        <color theme="1"/>
        <rFont val="Calibri"/>
        <family val="2"/>
        <scheme val="minor"/>
      </rPr>
      <t xml:space="preserve">in </t>
    </r>
    <r>
      <rPr>
        <b/>
        <sz val="11"/>
        <color theme="1"/>
        <rFont val="Calibri"/>
        <family val="2"/>
        <scheme val="minor"/>
      </rPr>
      <t>OC</t>
    </r>
    <r>
      <rPr>
        <sz val="11"/>
        <color theme="1"/>
        <rFont val="Calibri"/>
        <family val="2"/>
        <scheme val="minor"/>
      </rPr>
      <t xml:space="preserve"> cells.  </t>
    </r>
  </si>
  <si>
    <r>
      <rPr>
        <b/>
        <sz val="11"/>
        <color theme="1"/>
        <rFont val="Calibri"/>
        <family val="2"/>
        <scheme val="minor"/>
      </rPr>
      <t xml:space="preserve">1) </t>
    </r>
    <r>
      <rPr>
        <sz val="11"/>
        <color theme="1"/>
        <rFont val="Calibri"/>
        <family val="2"/>
        <scheme val="minor"/>
      </rPr>
      <t xml:space="preserve">MIR152 expression was dramatically downregulated in the </t>
    </r>
    <r>
      <rPr>
        <b/>
        <sz val="11"/>
        <color theme="1"/>
        <rFont val="Calibri"/>
        <family val="2"/>
        <scheme val="minor"/>
      </rPr>
      <t>cisplatin</t>
    </r>
    <r>
      <rPr>
        <sz val="11"/>
        <color theme="1"/>
        <rFont val="Calibri"/>
        <family val="2"/>
        <scheme val="minor"/>
      </rPr>
      <t xml:space="preserve">-resistant cell lines A2780/CP70, SKOV3/DDP compared with their respective parental cells, in </t>
    </r>
    <r>
      <rPr>
        <b/>
        <sz val="11"/>
        <color theme="1"/>
        <rFont val="Calibri"/>
        <family val="2"/>
        <scheme val="minor"/>
      </rPr>
      <t>ovarian</t>
    </r>
    <r>
      <rPr>
        <sz val="11"/>
        <color theme="1"/>
        <rFont val="Calibri"/>
        <family val="2"/>
        <scheme val="minor"/>
      </rPr>
      <t xml:space="preserve"> cancer tissues associated with </t>
    </r>
    <r>
      <rPr>
        <b/>
        <sz val="11"/>
        <color theme="1"/>
        <rFont val="Calibri"/>
        <family val="2"/>
        <scheme val="minor"/>
      </rPr>
      <t>cisplatin</t>
    </r>
    <r>
      <rPr>
        <sz val="11"/>
        <color theme="1"/>
        <rFont val="Calibri"/>
        <family val="2"/>
        <scheme val="minor"/>
      </rPr>
      <t xml:space="preserve">-resistance. </t>
    </r>
    <r>
      <rPr>
        <b/>
        <sz val="11"/>
        <color theme="1"/>
        <rFont val="Calibri"/>
        <family val="2"/>
        <scheme val="minor"/>
      </rPr>
      <t>2) ATG14</t>
    </r>
    <r>
      <rPr>
        <sz val="11"/>
        <color theme="1"/>
        <rFont val="Calibri"/>
        <family val="2"/>
        <scheme val="minor"/>
      </rPr>
      <t xml:space="preserve"> is a functional target of MIR152 in regulating autophagy inhibition. </t>
    </r>
    <r>
      <rPr>
        <b/>
        <sz val="11"/>
        <color theme="1"/>
        <rFont val="Calibri"/>
        <family val="2"/>
        <scheme val="minor"/>
      </rPr>
      <t>3)</t>
    </r>
    <r>
      <rPr>
        <sz val="11"/>
        <color theme="1"/>
        <rFont val="Calibri"/>
        <family val="2"/>
        <scheme val="minor"/>
      </rPr>
      <t xml:space="preserve"> Knockdown of </t>
    </r>
    <r>
      <rPr>
        <b/>
        <sz val="11"/>
        <color theme="1"/>
        <rFont val="Calibri"/>
        <family val="2"/>
        <scheme val="minor"/>
      </rPr>
      <t>ATG14</t>
    </r>
    <r>
      <rPr>
        <sz val="11"/>
        <color theme="1"/>
        <rFont val="Calibri"/>
        <family val="2"/>
        <scheme val="minor"/>
      </rPr>
      <t xml:space="preserve"> inhibits basal autophagy and promotes </t>
    </r>
    <r>
      <rPr>
        <b/>
        <sz val="11"/>
        <color theme="1"/>
        <rFont val="Calibri"/>
        <family val="2"/>
        <scheme val="minor"/>
      </rPr>
      <t>cisplatin</t>
    </r>
    <r>
      <rPr>
        <sz val="11"/>
        <color theme="1"/>
        <rFont val="Calibri"/>
        <family val="2"/>
        <scheme val="minor"/>
      </rPr>
      <t xml:space="preserve">-induced cell death in ovarian cancer cells. </t>
    </r>
    <r>
      <rPr>
        <b/>
        <sz val="11"/>
        <color theme="1"/>
        <rFont val="Calibri"/>
        <family val="2"/>
        <scheme val="minor"/>
      </rPr>
      <t>4)</t>
    </r>
    <r>
      <rPr>
        <sz val="11"/>
        <color theme="1"/>
        <rFont val="Calibri"/>
        <family val="2"/>
        <scheme val="minor"/>
      </rPr>
      <t xml:space="preserve"> In the DDP-sensitive </t>
    </r>
    <r>
      <rPr>
        <b/>
        <sz val="11"/>
        <color theme="1"/>
        <rFont val="Calibri"/>
        <family val="2"/>
        <scheme val="minor"/>
      </rPr>
      <t>OC</t>
    </r>
    <r>
      <rPr>
        <sz val="11"/>
        <color theme="1"/>
        <rFont val="Calibri"/>
        <family val="2"/>
        <scheme val="minor"/>
      </rPr>
      <t xml:space="preserve"> cell lines, over expression of </t>
    </r>
    <r>
      <rPr>
        <b/>
        <sz val="11"/>
        <color theme="1"/>
        <rFont val="Calibri"/>
        <family val="2"/>
        <scheme val="minor"/>
      </rPr>
      <t>ATG14</t>
    </r>
    <r>
      <rPr>
        <sz val="11"/>
        <color theme="1"/>
        <rFont val="Calibri"/>
        <family val="2"/>
        <scheme val="minor"/>
      </rPr>
      <t xml:space="preserve"> promoted DDP resistance. In the DDP-resistant cell lines, siRNA knockdown of </t>
    </r>
    <r>
      <rPr>
        <b/>
        <sz val="11"/>
        <color theme="1"/>
        <rFont val="Calibri"/>
        <family val="2"/>
        <scheme val="minor"/>
      </rPr>
      <t>ATG14</t>
    </r>
    <r>
      <rPr>
        <sz val="11"/>
        <color theme="1"/>
        <rFont val="Calibri"/>
        <family val="2"/>
        <scheme val="minor"/>
      </rPr>
      <t xml:space="preserve"> diminished DDP-resistance. </t>
    </r>
    <r>
      <rPr>
        <b/>
        <sz val="11"/>
        <color theme="1"/>
        <rFont val="Calibri"/>
        <family val="2"/>
        <scheme val="minor"/>
      </rPr>
      <t xml:space="preserve">5) </t>
    </r>
    <r>
      <rPr>
        <sz val="11"/>
        <color theme="1"/>
        <rFont val="Calibri"/>
        <family val="2"/>
        <scheme val="minor"/>
      </rPr>
      <t xml:space="preserve">Silencing of ATG14 significantly increased the sensitivity to cisplatin in </t>
    </r>
    <r>
      <rPr>
        <b/>
        <sz val="11"/>
        <color theme="1"/>
        <rFont val="Calibri"/>
        <family val="2"/>
        <scheme val="minor"/>
      </rPr>
      <t>osteosarcoma</t>
    </r>
    <r>
      <rPr>
        <sz val="11"/>
        <color theme="1"/>
        <rFont val="Calibri"/>
        <family val="2"/>
        <scheme val="minor"/>
      </rPr>
      <t xml:space="preserve"> cells. </t>
    </r>
  </si>
  <si>
    <r>
      <rPr>
        <b/>
        <sz val="11"/>
        <color theme="1"/>
        <rFont val="Calibri"/>
        <family val="2"/>
        <scheme val="minor"/>
      </rPr>
      <t>1) Cisplatin</t>
    </r>
    <r>
      <rPr>
        <sz val="11"/>
        <color theme="1"/>
        <rFont val="Calibri"/>
        <family val="2"/>
        <scheme val="minor"/>
      </rPr>
      <t xml:space="preserve"> induced autophagy by upregulating the mRNA and protein expression levels of autophagy protein </t>
    </r>
    <r>
      <rPr>
        <b/>
        <sz val="11"/>
        <color theme="1"/>
        <rFont val="Calibri"/>
        <family val="2"/>
        <scheme val="minor"/>
      </rPr>
      <t xml:space="preserve">(Atg)5 </t>
    </r>
    <r>
      <rPr>
        <sz val="11"/>
        <color theme="1"/>
        <rFont val="Calibri"/>
        <family val="2"/>
        <scheme val="minor"/>
      </rPr>
      <t xml:space="preserve">and </t>
    </r>
    <r>
      <rPr>
        <b/>
        <sz val="11"/>
        <color theme="1"/>
        <rFont val="Calibri"/>
        <family val="2"/>
        <scheme val="minor"/>
      </rPr>
      <t>Beclin 1</t>
    </r>
    <r>
      <rPr>
        <sz val="11"/>
        <color theme="1"/>
        <rFont val="Calibri"/>
        <family val="2"/>
        <scheme val="minor"/>
      </rPr>
      <t xml:space="preserve"> in A549 human</t>
    </r>
    <r>
      <rPr>
        <b/>
        <sz val="11"/>
        <color theme="1"/>
        <rFont val="Calibri"/>
        <family val="2"/>
        <scheme val="minor"/>
      </rPr>
      <t xml:space="preserve"> lung</t>
    </r>
    <r>
      <rPr>
        <sz val="11"/>
        <color theme="1"/>
        <rFont val="Calibri"/>
        <family val="2"/>
        <scheme val="minor"/>
      </rPr>
      <t xml:space="preserve"> cancer cells. </t>
    </r>
    <r>
      <rPr>
        <b/>
        <sz val="11"/>
        <color theme="1"/>
        <rFont val="Calibri"/>
        <family val="2"/>
        <scheme val="minor"/>
      </rPr>
      <t xml:space="preserve">2) </t>
    </r>
    <r>
      <rPr>
        <sz val="11"/>
        <color theme="1"/>
        <rFont val="Calibri"/>
        <family val="2"/>
        <scheme val="minor"/>
      </rPr>
      <t>knockdown of Atg5 and Beclin 1 by siRNA impaired cisplatin‑induced activation of autophagic responses, increased caspase‑3 cleavage and inhibited cell viability.</t>
    </r>
  </si>
  <si>
    <r>
      <rPr>
        <b/>
        <sz val="11"/>
        <color theme="1"/>
        <rFont val="Calibri"/>
        <family val="2"/>
        <scheme val="minor"/>
      </rPr>
      <t>1)</t>
    </r>
    <r>
      <rPr>
        <sz val="11"/>
        <color theme="1"/>
        <rFont val="Calibri"/>
        <family val="2"/>
        <scheme val="minor"/>
      </rPr>
      <t xml:space="preserve"> </t>
    </r>
    <r>
      <rPr>
        <b/>
        <sz val="11"/>
        <color theme="1"/>
        <rFont val="Calibri"/>
        <family val="2"/>
        <scheme val="minor"/>
      </rPr>
      <t>TRIM65</t>
    </r>
    <r>
      <rPr>
        <sz val="11"/>
        <color theme="1"/>
        <rFont val="Calibri"/>
        <family val="2"/>
        <scheme val="minor"/>
      </rPr>
      <t xml:space="preserve"> was significantly increased in </t>
    </r>
    <r>
      <rPr>
        <b/>
        <sz val="11"/>
        <color theme="1"/>
        <rFont val="Calibri"/>
        <family val="2"/>
        <scheme val="minor"/>
      </rPr>
      <t>NSCLC</t>
    </r>
    <r>
      <rPr>
        <sz val="11"/>
        <color theme="1"/>
        <rFont val="Calibri"/>
        <family val="2"/>
        <scheme val="minor"/>
      </rPr>
      <t xml:space="preserve"> A549/DDP cells as compared to A549 cells. </t>
    </r>
    <r>
      <rPr>
        <b/>
        <sz val="11"/>
        <color theme="1"/>
        <rFont val="Calibri"/>
        <family val="2"/>
        <scheme val="minor"/>
      </rPr>
      <t xml:space="preserve">2) </t>
    </r>
    <r>
      <rPr>
        <sz val="11"/>
        <color theme="1"/>
        <rFont val="Calibri"/>
        <family val="2"/>
        <scheme val="minor"/>
      </rPr>
      <t xml:space="preserve">Knockdown of TRIM65 can inhibit </t>
    </r>
    <r>
      <rPr>
        <b/>
        <sz val="11"/>
        <color theme="1"/>
        <rFont val="Calibri"/>
        <family val="2"/>
        <scheme val="minor"/>
      </rPr>
      <t>autophagy</t>
    </r>
    <r>
      <rPr>
        <sz val="11"/>
        <color theme="1"/>
        <rFont val="Calibri"/>
        <family val="2"/>
        <scheme val="minor"/>
      </rPr>
      <t xml:space="preserve"> and enhance cisplatin-induced apoptosis in A549/DDP cells. </t>
    </r>
    <r>
      <rPr>
        <b/>
        <sz val="11"/>
        <color theme="1"/>
        <rFont val="Calibri"/>
        <family val="2"/>
        <scheme val="minor"/>
      </rPr>
      <t>3)</t>
    </r>
    <r>
      <rPr>
        <sz val="11"/>
        <color theme="1"/>
        <rFont val="Calibri"/>
        <family val="2"/>
        <scheme val="minor"/>
      </rPr>
      <t xml:space="preserve"> knockdown of TRIM65 significantly decreased the expression of an important autophagy mediator,</t>
    </r>
    <r>
      <rPr>
        <b/>
        <sz val="11"/>
        <color theme="1"/>
        <rFont val="Calibri"/>
        <family val="2"/>
        <scheme val="minor"/>
      </rPr>
      <t xml:space="preserve"> ATG7</t>
    </r>
    <r>
      <rPr>
        <sz val="11"/>
        <color theme="1"/>
        <rFont val="Calibri"/>
        <family val="2"/>
        <scheme val="minor"/>
      </rPr>
      <t xml:space="preserve">, which was a potential target of miR-138-5p. </t>
    </r>
    <r>
      <rPr>
        <b/>
        <sz val="11"/>
        <color theme="1"/>
        <rFont val="Calibri"/>
        <family val="2"/>
        <scheme val="minor"/>
      </rPr>
      <t>4)</t>
    </r>
    <r>
      <rPr>
        <sz val="11"/>
        <color theme="1"/>
        <rFont val="Calibri"/>
        <family val="2"/>
        <scheme val="minor"/>
      </rPr>
      <t xml:space="preserve"> miR-138-5p inhibitor significantly abolished the effects of TRIM65 knockdown on autophagy and </t>
    </r>
    <r>
      <rPr>
        <b/>
        <sz val="11"/>
        <color theme="1"/>
        <rFont val="Calibri"/>
        <family val="2"/>
        <scheme val="minor"/>
      </rPr>
      <t>cisplatin</t>
    </r>
    <r>
      <rPr>
        <sz val="11"/>
        <color theme="1"/>
        <rFont val="Calibri"/>
        <family val="2"/>
        <scheme val="minor"/>
      </rPr>
      <t xml:space="preserve">-induced apoptosis. </t>
    </r>
    <r>
      <rPr>
        <b/>
        <sz val="11"/>
        <color theme="1"/>
        <rFont val="Calibri"/>
        <family val="2"/>
        <scheme val="minor"/>
      </rPr>
      <t xml:space="preserve">5) </t>
    </r>
    <r>
      <rPr>
        <sz val="11"/>
        <color theme="1"/>
        <rFont val="Calibri"/>
        <family val="2"/>
        <scheme val="minor"/>
      </rPr>
      <t xml:space="preserve">TRIM65 induced the ubiquitination and degradation of </t>
    </r>
    <r>
      <rPr>
        <b/>
        <sz val="11"/>
        <color theme="1"/>
        <rFont val="Calibri"/>
        <family val="2"/>
        <scheme val="minor"/>
      </rPr>
      <t>TNRC6A</t>
    </r>
    <r>
      <rPr>
        <sz val="11"/>
        <color theme="1"/>
        <rFont val="Calibri"/>
        <family val="2"/>
        <scheme val="minor"/>
      </rPr>
      <t xml:space="preserve">, resulting in the suppressed expression of miR-138-5p. </t>
    </r>
    <r>
      <rPr>
        <b/>
        <sz val="11"/>
        <color theme="1"/>
        <rFont val="Calibri"/>
        <family val="2"/>
        <scheme val="minor"/>
      </rPr>
      <t xml:space="preserve">6) </t>
    </r>
    <r>
      <rPr>
        <sz val="11"/>
        <color theme="1"/>
        <rFont val="Calibri"/>
        <family val="2"/>
        <scheme val="minor"/>
      </rPr>
      <t xml:space="preserve">TRIM65 knockdown inhibited the growth of tumors derived from A549/DDP cells. </t>
    </r>
    <r>
      <rPr>
        <b/>
        <sz val="11"/>
        <color theme="1"/>
        <rFont val="Calibri"/>
        <family val="2"/>
        <scheme val="minor"/>
      </rPr>
      <t xml:space="preserve">7) </t>
    </r>
    <r>
      <rPr>
        <sz val="11"/>
        <color theme="1"/>
        <rFont val="Calibri"/>
        <family val="2"/>
        <scheme val="minor"/>
      </rPr>
      <t xml:space="preserve">cisplatin-resistant NSCLC tissues displayed higher expression of TRIM65 mRNA and lower expression of miR-138-5p as compared to cisplatin non-resistant ones. </t>
    </r>
    <r>
      <rPr>
        <b/>
        <sz val="11"/>
        <color theme="1"/>
        <rFont val="Calibri"/>
        <family val="2"/>
        <scheme val="minor"/>
      </rPr>
      <t>8)</t>
    </r>
    <r>
      <rPr>
        <sz val="11"/>
        <color theme="1"/>
        <rFont val="Calibri"/>
        <family val="2"/>
        <scheme val="minor"/>
      </rPr>
      <t xml:space="preserve"> miR-138-5p expression was negatively correlated with TRIM65 mRNA in NSCLC tissues. </t>
    </r>
    <r>
      <rPr>
        <b/>
        <sz val="11"/>
        <color theme="1"/>
        <rFont val="Calibri"/>
        <family val="2"/>
        <scheme val="minor"/>
      </rPr>
      <t>8)</t>
    </r>
    <r>
      <rPr>
        <sz val="11"/>
        <color theme="1"/>
        <rFont val="Calibri"/>
        <family val="2"/>
        <scheme val="minor"/>
      </rPr>
      <t xml:space="preserve"> Inhibition of cisplatin-induced autophagy using Baf A1, CQ, or ATG7/ATG12 shRNAs significantly enhanced cytotoxicity of cisplatin toward BC cells.</t>
    </r>
  </si>
  <si>
    <r>
      <rPr>
        <b/>
        <sz val="11"/>
        <color theme="1"/>
        <rFont val="Calibri"/>
        <family val="2"/>
        <scheme val="minor"/>
      </rPr>
      <t>1)</t>
    </r>
    <r>
      <rPr>
        <sz val="11"/>
        <color theme="1"/>
        <rFont val="Calibri"/>
        <family val="2"/>
        <scheme val="minor"/>
      </rPr>
      <t xml:space="preserve"> induced by </t>
    </r>
    <r>
      <rPr>
        <b/>
        <sz val="11"/>
        <color theme="1"/>
        <rFont val="Calibri"/>
        <family val="2"/>
        <scheme val="minor"/>
      </rPr>
      <t>CDDP</t>
    </r>
    <r>
      <rPr>
        <sz val="11"/>
        <color theme="1"/>
        <rFont val="Calibri"/>
        <family val="2"/>
        <scheme val="minor"/>
      </rPr>
      <t xml:space="preserve"> in various cancer cell lines (including </t>
    </r>
    <r>
      <rPr>
        <b/>
        <sz val="11"/>
        <color theme="1"/>
        <rFont val="Calibri"/>
        <family val="2"/>
        <scheme val="minor"/>
      </rPr>
      <t>ovarian</t>
    </r>
    <r>
      <rPr>
        <sz val="11"/>
        <color theme="1"/>
        <rFont val="Calibri"/>
        <family val="2"/>
        <scheme val="minor"/>
      </rPr>
      <t xml:space="preserve"> cancer A2780 cell line). </t>
    </r>
    <r>
      <rPr>
        <b/>
        <sz val="11"/>
        <color theme="1"/>
        <rFont val="Calibri"/>
        <family val="2"/>
        <scheme val="minor"/>
      </rPr>
      <t xml:space="preserve">2) </t>
    </r>
    <r>
      <rPr>
        <sz val="11"/>
        <color theme="1"/>
        <rFont val="Calibri"/>
        <family val="2"/>
        <scheme val="minor"/>
      </rPr>
      <t>Expression elevated in CDDP-resistant cell lines (including ovarian cancer A2780/E80 cell line).</t>
    </r>
    <r>
      <rPr>
        <b/>
        <sz val="11"/>
        <color theme="1"/>
        <rFont val="Calibri"/>
        <family val="2"/>
        <scheme val="minor"/>
      </rPr>
      <t xml:space="preserve"> 3) </t>
    </r>
    <r>
      <rPr>
        <sz val="11"/>
        <color theme="1"/>
        <rFont val="Calibri"/>
        <family val="2"/>
        <scheme val="minor"/>
      </rPr>
      <t xml:space="preserve">higher </t>
    </r>
    <r>
      <rPr>
        <b/>
        <sz val="11"/>
        <color theme="1"/>
        <rFont val="Calibri"/>
        <family val="2"/>
        <scheme val="minor"/>
      </rPr>
      <t>pH</t>
    </r>
    <r>
      <rPr>
        <sz val="11"/>
        <color theme="1"/>
        <rFont val="Calibri"/>
        <family val="2"/>
        <scheme val="minor"/>
      </rPr>
      <t xml:space="preserve"> inhibit binding of CDDP to DNA. </t>
    </r>
    <r>
      <rPr>
        <b/>
        <sz val="11"/>
        <color theme="1"/>
        <rFont val="Calibri"/>
        <family val="2"/>
        <scheme val="minor"/>
      </rPr>
      <t xml:space="preserve">4) </t>
    </r>
    <r>
      <rPr>
        <sz val="11"/>
        <color theme="1"/>
        <rFont val="Calibri"/>
        <family val="2"/>
        <scheme val="minor"/>
      </rPr>
      <t xml:space="preserve">Cellular pH was significantly higher in cisplatin-resistant cells than in sensitive parental cells. </t>
    </r>
    <r>
      <rPr>
        <b/>
        <sz val="11"/>
        <color theme="1"/>
        <rFont val="Calibri"/>
        <family val="2"/>
        <scheme val="minor"/>
      </rPr>
      <t>5)</t>
    </r>
    <r>
      <rPr>
        <sz val="11"/>
        <color theme="1"/>
        <rFont val="Calibri"/>
        <family val="2"/>
        <scheme val="minor"/>
      </rPr>
      <t xml:space="preserve"> proton pump inhibitors (PPIs) sensitized tumor cell lines to the effects of cisplatin. </t>
    </r>
  </si>
  <si>
    <r>
      <rPr>
        <b/>
        <sz val="11"/>
        <color theme="1"/>
        <rFont val="Calibri"/>
        <family val="2"/>
        <scheme val="minor"/>
      </rPr>
      <t xml:space="preserve">1) </t>
    </r>
    <r>
      <rPr>
        <sz val="11"/>
        <color theme="1"/>
        <rFont val="Calibri"/>
        <family val="2"/>
        <scheme val="minor"/>
      </rPr>
      <t xml:space="preserve">elevated in CDDP-resistant cancer cell lines. </t>
    </r>
    <r>
      <rPr>
        <b/>
        <sz val="11"/>
        <color theme="1"/>
        <rFont val="Calibri"/>
        <family val="2"/>
        <scheme val="minor"/>
      </rPr>
      <t xml:space="preserve">2) </t>
    </r>
    <r>
      <rPr>
        <sz val="11"/>
        <color theme="1"/>
        <rFont val="Calibri"/>
        <family val="2"/>
        <scheme val="minor"/>
      </rPr>
      <t xml:space="preserve">ATP7A was expressed in some of the most common human malignancies, including prostate (7 of 7), breast (10 of 10), lung (8 of 8), colon (5 of 8), and ovary (6 of 7), as well as in a wide variety of other types of malignancy. </t>
    </r>
    <r>
      <rPr>
        <b/>
        <sz val="11"/>
        <color theme="1"/>
        <rFont val="Calibri"/>
        <family val="2"/>
        <scheme val="minor"/>
      </rPr>
      <t xml:space="preserve">3) </t>
    </r>
    <r>
      <rPr>
        <sz val="11"/>
        <color theme="1"/>
        <rFont val="Calibri"/>
        <family val="2"/>
        <scheme val="minor"/>
      </rPr>
      <t xml:space="preserve">ATP7A staining was detected in 28 of 54 </t>
    </r>
    <r>
      <rPr>
        <b/>
        <sz val="11"/>
        <color theme="1"/>
        <rFont val="Calibri"/>
        <family val="2"/>
        <scheme val="minor"/>
      </rPr>
      <t xml:space="preserve">ovarian </t>
    </r>
    <r>
      <rPr>
        <sz val="11"/>
        <color theme="1"/>
        <rFont val="Calibri"/>
        <family val="2"/>
        <scheme val="minor"/>
      </rPr>
      <t xml:space="preserve">carcinomas before treatment. </t>
    </r>
    <r>
      <rPr>
        <b/>
        <sz val="11"/>
        <color theme="1"/>
        <rFont val="Calibri"/>
        <family val="2"/>
        <scheme val="minor"/>
      </rPr>
      <t>4)</t>
    </r>
    <r>
      <rPr>
        <sz val="11"/>
        <color theme="1"/>
        <rFont val="Calibri"/>
        <family val="2"/>
        <scheme val="minor"/>
      </rPr>
      <t xml:space="preserve"> Patients with increased ATP7A expression after</t>
    </r>
    <r>
      <rPr>
        <b/>
        <sz val="11"/>
        <color theme="1"/>
        <rFont val="Calibri"/>
        <family val="2"/>
        <scheme val="minor"/>
      </rPr>
      <t xml:space="preserve"> platinum</t>
    </r>
    <r>
      <rPr>
        <sz val="11"/>
        <color theme="1"/>
        <rFont val="Calibri"/>
        <family val="2"/>
        <scheme val="minor"/>
      </rPr>
      <t xml:space="preserve"> drug treatment (18 of 54) exhibited poorer actuarial survival (P &lt; 0.0057 by log-rank test). </t>
    </r>
    <r>
      <rPr>
        <b/>
        <sz val="11"/>
        <color theme="1"/>
        <rFont val="Calibri"/>
        <family val="2"/>
        <scheme val="minor"/>
      </rPr>
      <t>5)</t>
    </r>
    <r>
      <rPr>
        <sz val="11"/>
        <color theme="1"/>
        <rFont val="Calibri"/>
        <family val="2"/>
        <scheme val="minor"/>
      </rPr>
      <t xml:space="preserve"> Expression of ATP7A either before or after treatment was not associated with other clinical factors. </t>
    </r>
    <r>
      <rPr>
        <b/>
        <sz val="11"/>
        <color theme="1"/>
        <rFont val="Calibri"/>
        <family val="2"/>
        <scheme val="minor"/>
      </rPr>
      <t>6)</t>
    </r>
    <r>
      <rPr>
        <sz val="11"/>
        <color theme="1"/>
        <rFont val="Calibri"/>
        <family val="2"/>
        <scheme val="minor"/>
      </rPr>
      <t xml:space="preserve"> The 1.5-fold higher expression of ATP7A was sufficient to render the 2008/MNK cells resistant to cisplatin, carboplatin, and oxaliplatin. Resistance was associated with increased rather than decreased whole-cell Pt drug accumulation and increased sequestration of Pt into the vesicular fraction.</t>
    </r>
  </si>
  <si>
    <r>
      <rPr>
        <b/>
        <sz val="11"/>
        <color theme="1"/>
        <rFont val="Calibri"/>
        <family val="2"/>
        <scheme val="minor"/>
      </rPr>
      <t xml:space="preserve">1) </t>
    </r>
    <r>
      <rPr>
        <sz val="11"/>
        <color theme="1"/>
        <rFont val="Calibri"/>
        <family val="2"/>
        <scheme val="minor"/>
      </rPr>
      <t xml:space="preserve">The expression level of ATP7B gene was significantly increased (p &lt; 0.05) in patients with moderately-/poorly-differentiated ovarian carcinomas treated with </t>
    </r>
    <r>
      <rPr>
        <b/>
        <sz val="11"/>
        <color theme="1"/>
        <rFont val="Calibri"/>
        <family val="2"/>
        <scheme val="minor"/>
      </rPr>
      <t>cisplatin</t>
    </r>
    <r>
      <rPr>
        <sz val="11"/>
        <color theme="1"/>
        <rFont val="Calibri"/>
        <family val="2"/>
        <scheme val="minor"/>
      </rPr>
      <t xml:space="preserve">-based chemotherapy, thus ATP7B may serve as an independent prognostic factor in these patients. </t>
    </r>
    <r>
      <rPr>
        <b/>
        <sz val="11"/>
        <color theme="1"/>
        <rFont val="Calibri"/>
        <family val="2"/>
        <scheme val="minor"/>
      </rPr>
      <t>2)</t>
    </r>
    <r>
      <rPr>
        <sz val="11"/>
        <color theme="1"/>
        <rFont val="Calibri"/>
        <family val="2"/>
        <scheme val="minor"/>
      </rPr>
      <t xml:space="preserve"> As ATP7A. </t>
    </r>
    <r>
      <rPr>
        <b/>
        <sz val="11"/>
        <color theme="1"/>
        <rFont val="Calibri"/>
        <family val="2"/>
        <scheme val="minor"/>
      </rPr>
      <t>3)</t>
    </r>
    <r>
      <rPr>
        <sz val="11"/>
        <color theme="1"/>
        <rFont val="Calibri"/>
        <family val="2"/>
        <scheme val="minor"/>
      </rPr>
      <t xml:space="preserve"> The </t>
    </r>
    <r>
      <rPr>
        <b/>
        <sz val="11"/>
        <color theme="1"/>
        <rFont val="Calibri"/>
        <family val="2"/>
        <scheme val="minor"/>
      </rPr>
      <t>endometrial</t>
    </r>
    <r>
      <rPr>
        <sz val="11"/>
        <color theme="1"/>
        <rFont val="Calibri"/>
        <family val="2"/>
        <scheme val="minor"/>
      </rPr>
      <t xml:space="preserve"> cancer patients with </t>
    </r>
    <r>
      <rPr>
        <b/>
        <sz val="11"/>
        <color theme="1"/>
        <rFont val="Calibri"/>
        <family val="2"/>
        <scheme val="minor"/>
      </rPr>
      <t>ATP7B</t>
    </r>
    <r>
      <rPr>
        <sz val="11"/>
        <color theme="1"/>
        <rFont val="Calibri"/>
        <family val="2"/>
        <scheme val="minor"/>
      </rPr>
      <t xml:space="preserve">-positive tumors had a worse prognosis than that with ATP7B-negative tumors in overall survival and disease-free survival, respectively (P &lt; 0.01) with </t>
    </r>
    <r>
      <rPr>
        <b/>
        <sz val="11"/>
        <color theme="1"/>
        <rFont val="Calibri"/>
        <family val="2"/>
        <scheme val="minor"/>
      </rPr>
      <t>cisplatin</t>
    </r>
    <r>
      <rPr>
        <sz val="11"/>
        <color theme="1"/>
        <rFont val="Calibri"/>
        <family val="2"/>
        <scheme val="minor"/>
      </rPr>
      <t>-based chemotherapy.</t>
    </r>
  </si>
  <si>
    <r>
      <rPr>
        <b/>
        <sz val="11"/>
        <color theme="1"/>
        <rFont val="Calibri"/>
        <family val="2"/>
        <scheme val="minor"/>
      </rPr>
      <t>1)</t>
    </r>
    <r>
      <rPr>
        <sz val="11"/>
        <color theme="1"/>
        <rFont val="Calibri"/>
        <family val="2"/>
        <scheme val="minor"/>
      </rPr>
      <t xml:space="preserve"> As compared with </t>
    </r>
    <r>
      <rPr>
        <b/>
        <sz val="11"/>
        <color theme="1"/>
        <rFont val="Calibri"/>
        <family val="2"/>
        <scheme val="minor"/>
      </rPr>
      <t>cisplatin</t>
    </r>
    <r>
      <rPr>
        <sz val="11"/>
        <color theme="1"/>
        <rFont val="Calibri"/>
        <family val="2"/>
        <scheme val="minor"/>
      </rPr>
      <t xml:space="preserve">-sensitive </t>
    </r>
    <r>
      <rPr>
        <b/>
        <sz val="11"/>
        <color theme="1"/>
        <rFont val="Calibri"/>
        <family val="2"/>
        <scheme val="minor"/>
      </rPr>
      <t>ovarian</t>
    </r>
    <r>
      <rPr>
        <sz val="11"/>
        <color theme="1"/>
        <rFont val="Calibri"/>
        <family val="2"/>
        <scheme val="minor"/>
      </rPr>
      <t xml:space="preserve"> cancer cell line (OV2008), the expression levels of miR-125b in CDDP-resistant C13* cells were increased. </t>
    </r>
    <r>
      <rPr>
        <b/>
        <sz val="11"/>
        <color theme="1"/>
        <rFont val="Calibri"/>
        <family val="2"/>
        <scheme val="minor"/>
      </rPr>
      <t xml:space="preserve">2) </t>
    </r>
    <r>
      <rPr>
        <sz val="11"/>
        <color theme="1"/>
        <rFont val="Calibri"/>
        <family val="2"/>
        <scheme val="minor"/>
      </rPr>
      <t xml:space="preserve">the up-regulation of microRNA-125b caused a marked inhibition of cisplatin-induced cytotoxicity and apoptosis and a subsequent increase in the resistance to cisplatin in OV2008 and C13* cells. </t>
    </r>
    <r>
      <rPr>
        <b/>
        <sz val="11"/>
        <color theme="1"/>
        <rFont val="Calibri"/>
        <family val="2"/>
        <scheme val="minor"/>
      </rPr>
      <t>3) Bak1</t>
    </r>
    <r>
      <rPr>
        <sz val="11"/>
        <color theme="1"/>
        <rFont val="Calibri"/>
        <family val="2"/>
        <scheme val="minor"/>
      </rPr>
      <t xml:space="preserve"> was a direct target of miR-125b, and down-regulation of Bak1 suppressed cisplatin-induced apoptosis and led to an increased resistance to cisplatin. </t>
    </r>
    <r>
      <rPr>
        <b/>
        <sz val="11"/>
        <color theme="1"/>
        <rFont val="Calibri"/>
        <family val="2"/>
        <scheme val="minor"/>
      </rPr>
      <t>4)</t>
    </r>
    <r>
      <rPr>
        <sz val="11"/>
        <color theme="1"/>
        <rFont val="Calibri"/>
        <family val="2"/>
        <scheme val="minor"/>
      </rPr>
      <t xml:space="preserve"> lower Bak expression was positively associated with the clinical TNM stage of</t>
    </r>
    <r>
      <rPr>
        <b/>
        <sz val="11"/>
        <color theme="1"/>
        <rFont val="Calibri"/>
        <family val="2"/>
        <scheme val="minor"/>
      </rPr>
      <t xml:space="preserve"> breast</t>
    </r>
    <r>
      <rPr>
        <sz val="11"/>
        <color theme="1"/>
        <rFont val="Calibri"/>
        <family val="2"/>
        <scheme val="minor"/>
      </rPr>
      <t xml:space="preserve"> cancer with a significant decrease in overall survival compared with those with higher Bak expression especially in the Luminal and HER2 subtypes. </t>
    </r>
    <r>
      <rPr>
        <b/>
        <sz val="11"/>
        <color theme="1"/>
        <rFont val="Calibri"/>
        <family val="2"/>
        <scheme val="minor"/>
      </rPr>
      <t>5)</t>
    </r>
    <r>
      <rPr>
        <sz val="11"/>
        <color theme="1"/>
        <rFont val="Calibri"/>
        <family val="2"/>
        <scheme val="minor"/>
      </rPr>
      <t xml:space="preserve"> higher Bak expression predicted a favorable clinical outcome in the cases treated with </t>
    </r>
    <r>
      <rPr>
        <b/>
        <sz val="11"/>
        <color theme="1"/>
        <rFont val="Calibri"/>
        <family val="2"/>
        <scheme val="minor"/>
      </rPr>
      <t>Taxol</t>
    </r>
    <r>
      <rPr>
        <sz val="11"/>
        <color theme="1"/>
        <rFont val="Calibri"/>
        <family val="2"/>
        <scheme val="minor"/>
      </rPr>
      <t xml:space="preserve"> indicated by a higher overall survival than that of patients with lower Bak expression especially in Luminal and HER2 subtypes. </t>
    </r>
  </si>
  <si>
    <r>
      <rPr>
        <b/>
        <sz val="11"/>
        <color theme="1"/>
        <rFont val="Calibri"/>
        <family val="2"/>
        <scheme val="minor"/>
      </rPr>
      <t xml:space="preserve">1) </t>
    </r>
    <r>
      <rPr>
        <sz val="11"/>
        <color theme="1"/>
        <rFont val="Calibri"/>
        <family val="2"/>
        <scheme val="minor"/>
      </rPr>
      <t xml:space="preserve">we examined TP53 and its downstream genes p21 BAX and BCL-2 in </t>
    </r>
    <r>
      <rPr>
        <b/>
        <sz val="11"/>
        <color theme="1"/>
        <rFont val="Calibri"/>
        <family val="2"/>
        <scheme val="minor"/>
      </rPr>
      <t>ovarian tumour tissues</t>
    </r>
    <r>
      <rPr>
        <sz val="11"/>
        <color theme="1"/>
        <rFont val="Calibri"/>
        <family val="2"/>
        <scheme val="minor"/>
      </rPr>
      <t xml:space="preserve"> and have evaluated the results in relation to clinico-pathological parameters, clinical outcome and response to </t>
    </r>
    <r>
      <rPr>
        <b/>
        <sz val="11"/>
        <color theme="1"/>
        <rFont val="Calibri"/>
        <family val="2"/>
        <scheme val="minor"/>
      </rPr>
      <t>platinum-based chemotherapy</t>
    </r>
    <r>
      <rPr>
        <sz val="11"/>
        <color theme="1"/>
        <rFont val="Calibri"/>
        <family val="2"/>
        <scheme val="minor"/>
      </rPr>
      <t xml:space="preserve">. </t>
    </r>
    <r>
      <rPr>
        <b/>
        <sz val="11"/>
        <color theme="1"/>
        <rFont val="Calibri"/>
        <family val="2"/>
        <scheme val="minor"/>
      </rPr>
      <t>2) BAX</t>
    </r>
    <r>
      <rPr>
        <sz val="11"/>
        <color theme="1"/>
        <rFont val="Calibri"/>
        <family val="2"/>
        <scheme val="minor"/>
      </rPr>
      <t xml:space="preserve"> expression was found to be associated with both progression-free (RHR 0.44, P = 0.05) and overall survival (RHR 0.42, P = 0.03). </t>
    </r>
    <r>
      <rPr>
        <b/>
        <sz val="11"/>
        <color theme="1"/>
        <rFont val="Calibri"/>
        <family val="2"/>
        <scheme val="minor"/>
      </rPr>
      <t xml:space="preserve">3) </t>
    </r>
    <r>
      <rPr>
        <sz val="11"/>
        <color theme="1"/>
        <rFont val="Calibri"/>
        <family val="2"/>
        <scheme val="minor"/>
      </rPr>
      <t xml:space="preserve">MiR-181a directly targets </t>
    </r>
    <r>
      <rPr>
        <b/>
        <sz val="11"/>
        <color theme="1"/>
        <rFont val="Calibri"/>
        <family val="2"/>
        <scheme val="minor"/>
      </rPr>
      <t>BAX</t>
    </r>
    <r>
      <rPr>
        <sz val="11"/>
        <color theme="1"/>
        <rFont val="Calibri"/>
        <family val="2"/>
        <scheme val="minor"/>
      </rPr>
      <t xml:space="preserve">: </t>
    </r>
    <r>
      <rPr>
        <b/>
        <sz val="11"/>
        <color theme="1"/>
        <rFont val="Calibri"/>
        <family val="2"/>
        <scheme val="minor"/>
      </rPr>
      <t>cisplatin</t>
    </r>
    <r>
      <rPr>
        <sz val="11"/>
        <color theme="1"/>
        <rFont val="Calibri"/>
        <family val="2"/>
        <scheme val="minor"/>
      </rPr>
      <t xml:space="preserve"> resistant </t>
    </r>
    <r>
      <rPr>
        <b/>
        <sz val="11"/>
        <color theme="1"/>
        <rFont val="Calibri"/>
        <family val="2"/>
        <scheme val="minor"/>
      </rPr>
      <t>prostate</t>
    </r>
    <r>
      <rPr>
        <sz val="11"/>
        <color theme="1"/>
        <rFont val="Calibri"/>
        <family val="2"/>
        <scheme val="minor"/>
      </rPr>
      <t xml:space="preserve"> cancer cells exhibit upregulated miR-181a and downregulated </t>
    </r>
    <r>
      <rPr>
        <b/>
        <sz val="11"/>
        <color theme="1"/>
        <rFont val="Calibri"/>
        <family val="2"/>
        <scheme val="minor"/>
      </rPr>
      <t>BAX</t>
    </r>
    <r>
      <rPr>
        <sz val="11"/>
        <color theme="1"/>
        <rFont val="Calibri"/>
        <family val="2"/>
        <scheme val="minor"/>
      </rPr>
      <t xml:space="preserve"> expression.</t>
    </r>
    <r>
      <rPr>
        <b/>
        <sz val="11"/>
        <color theme="1"/>
        <rFont val="Calibri"/>
        <family val="2"/>
        <scheme val="minor"/>
      </rPr>
      <t xml:space="preserve"> 4)</t>
    </r>
    <r>
      <rPr>
        <sz val="11"/>
        <color theme="1"/>
        <rFont val="Calibri"/>
        <family val="2"/>
        <scheme val="minor"/>
      </rPr>
      <t xml:space="preserve"> co-transfection of </t>
    </r>
    <r>
      <rPr>
        <b/>
        <sz val="11"/>
        <color theme="1"/>
        <rFont val="Calibri"/>
        <family val="2"/>
        <scheme val="minor"/>
      </rPr>
      <t>BAX</t>
    </r>
    <r>
      <rPr>
        <sz val="11"/>
        <color theme="1"/>
        <rFont val="Calibri"/>
        <family val="2"/>
        <scheme val="minor"/>
      </rPr>
      <t xml:space="preserve"> significantly attenuated the </t>
    </r>
    <r>
      <rPr>
        <b/>
        <sz val="11"/>
        <color theme="1"/>
        <rFont val="Calibri"/>
        <family val="2"/>
        <scheme val="minor"/>
      </rPr>
      <t>cisplatin</t>
    </r>
    <r>
      <rPr>
        <sz val="11"/>
        <color theme="1"/>
        <rFont val="Calibri"/>
        <family val="2"/>
        <scheme val="minor"/>
      </rPr>
      <t xml:space="preserve"> resistance mediated by miR-181a overexpression in PC3 cells. </t>
    </r>
    <r>
      <rPr>
        <b/>
        <sz val="11"/>
        <color theme="1"/>
        <rFont val="Calibri"/>
        <family val="2"/>
        <scheme val="minor"/>
      </rPr>
      <t xml:space="preserve">5) </t>
    </r>
    <r>
      <rPr>
        <sz val="11"/>
        <color theme="1"/>
        <rFont val="Calibri"/>
        <family val="2"/>
        <scheme val="minor"/>
      </rPr>
      <t xml:space="preserve">127 samples including adjacent normal, primary tumor, and resistance to chemoradiation therapy (RCRT) samples from </t>
    </r>
    <r>
      <rPr>
        <b/>
        <sz val="11"/>
        <color theme="1"/>
        <rFont val="Calibri"/>
        <family val="2"/>
        <scheme val="minor"/>
      </rPr>
      <t>oral</t>
    </r>
    <r>
      <rPr>
        <sz val="11"/>
        <color theme="1"/>
        <rFont val="Calibri"/>
        <family val="2"/>
        <scheme val="minor"/>
      </rPr>
      <t xml:space="preserve"> squamous cell carcinoma (OSCC) patients:</t>
    </r>
    <r>
      <rPr>
        <b/>
        <sz val="11"/>
        <color theme="1"/>
        <rFont val="Calibri"/>
        <family val="2"/>
        <scheme val="minor"/>
      </rPr>
      <t xml:space="preserve"> </t>
    </r>
    <r>
      <rPr>
        <sz val="11"/>
        <color theme="1"/>
        <rFont val="Calibri"/>
        <family val="2"/>
        <scheme val="minor"/>
      </rPr>
      <t xml:space="preserve">Frequent progressive decrease of </t>
    </r>
    <r>
      <rPr>
        <b/>
        <sz val="11"/>
        <color theme="1"/>
        <rFont val="Calibri"/>
        <family val="2"/>
        <scheme val="minor"/>
      </rPr>
      <t>Bax</t>
    </r>
    <r>
      <rPr>
        <sz val="11"/>
        <color theme="1"/>
        <rFont val="Calibri"/>
        <family val="2"/>
        <scheme val="minor"/>
      </rPr>
      <t xml:space="preserve"> expression with infrequent promoter methylation, polymorphisms G(-248)A, and mutations was observed in OSCC progression/resistance. </t>
    </r>
    <r>
      <rPr>
        <b/>
        <sz val="11"/>
        <color theme="1"/>
        <rFont val="Calibri"/>
        <family val="2"/>
        <scheme val="minor"/>
      </rPr>
      <t>6)</t>
    </r>
    <r>
      <rPr>
        <sz val="11"/>
        <color theme="1"/>
        <rFont val="Calibri"/>
        <family val="2"/>
        <scheme val="minor"/>
      </rPr>
      <t xml:space="preserve"> by targeting Akt pathway, induction of Bax-dependent cell death was observed and this was further enhanced with nimbolide treatment in SCC9/SCC4-</t>
    </r>
    <r>
      <rPr>
        <b/>
        <sz val="11"/>
        <color theme="1"/>
        <rFont val="Calibri"/>
        <family val="2"/>
        <scheme val="minor"/>
      </rPr>
      <t>Cis</t>
    </r>
    <r>
      <rPr>
        <sz val="11"/>
        <color theme="1"/>
        <rFont val="Calibri"/>
        <family val="2"/>
        <scheme val="minor"/>
      </rPr>
      <t>R cells.</t>
    </r>
  </si>
  <si>
    <r>
      <rPr>
        <b/>
        <sz val="11"/>
        <color theme="1"/>
        <rFont val="Calibri"/>
        <family val="2"/>
        <scheme val="minor"/>
      </rPr>
      <t>1)</t>
    </r>
    <r>
      <rPr>
        <sz val="11"/>
        <color theme="1"/>
        <rFont val="Calibri"/>
        <family val="2"/>
        <scheme val="minor"/>
      </rPr>
      <t xml:space="preserve"> Induction of </t>
    </r>
    <r>
      <rPr>
        <b/>
        <sz val="11"/>
        <color theme="1"/>
        <rFont val="Calibri"/>
        <family val="2"/>
        <scheme val="minor"/>
      </rPr>
      <t>PUMA</t>
    </r>
    <r>
      <rPr>
        <sz val="11"/>
        <color theme="1"/>
        <rFont val="Calibri"/>
        <family val="2"/>
        <scheme val="minor"/>
      </rPr>
      <t xml:space="preserve"> by </t>
    </r>
    <r>
      <rPr>
        <b/>
        <sz val="11"/>
        <color theme="1"/>
        <rFont val="Calibri"/>
        <family val="2"/>
        <scheme val="minor"/>
      </rPr>
      <t>cisplatin</t>
    </r>
    <r>
      <rPr>
        <sz val="11"/>
        <color theme="1"/>
        <rFont val="Calibri"/>
        <family val="2"/>
        <scheme val="minor"/>
      </rPr>
      <t xml:space="preserve"> was abolished in p53-deficient SKOV3 cells. </t>
    </r>
    <r>
      <rPr>
        <b/>
        <sz val="11"/>
        <color theme="1"/>
        <rFont val="Calibri"/>
        <family val="2"/>
        <scheme val="minor"/>
      </rPr>
      <t>2)</t>
    </r>
    <r>
      <rPr>
        <sz val="11"/>
        <color theme="1"/>
        <rFont val="Calibri"/>
        <family val="2"/>
        <scheme val="minor"/>
      </rPr>
      <t xml:space="preserve"> Elevated expression of PUMA-induced apoptosis and sensitized A2780s and SKOV3 </t>
    </r>
    <r>
      <rPr>
        <b/>
        <sz val="11"/>
        <color theme="1"/>
        <rFont val="Calibri"/>
        <family val="2"/>
        <scheme val="minor"/>
      </rPr>
      <t>ovarian</t>
    </r>
    <r>
      <rPr>
        <sz val="11"/>
        <color theme="1"/>
        <rFont val="Calibri"/>
        <family val="2"/>
        <scheme val="minor"/>
      </rPr>
      <t xml:space="preserve"> cancer cells to cisplatin. </t>
    </r>
    <r>
      <rPr>
        <b/>
        <sz val="11"/>
        <color theme="1"/>
        <rFont val="Calibri"/>
        <family val="2"/>
        <scheme val="minor"/>
      </rPr>
      <t xml:space="preserve">3) </t>
    </r>
    <r>
      <rPr>
        <sz val="11"/>
        <color theme="1"/>
        <rFont val="Calibri"/>
        <family val="2"/>
        <scheme val="minor"/>
      </rPr>
      <t xml:space="preserve">the combination of PUMA and low-dose cisplatin, significantly suppressed xenograft tumor growth in vivo through enhanced induction of apoptosis compared with treatment with </t>
    </r>
    <r>
      <rPr>
        <b/>
        <sz val="11"/>
        <color theme="1"/>
        <rFont val="Calibri"/>
        <family val="2"/>
        <scheme val="minor"/>
      </rPr>
      <t>PUMA</t>
    </r>
    <r>
      <rPr>
        <sz val="11"/>
        <color theme="1"/>
        <rFont val="Calibri"/>
        <family val="2"/>
        <scheme val="minor"/>
      </rPr>
      <t xml:space="preserve"> or cisplatin alone.</t>
    </r>
    <r>
      <rPr>
        <b/>
        <sz val="11"/>
        <color theme="1"/>
        <rFont val="Calibri"/>
        <family val="2"/>
        <scheme val="minor"/>
      </rPr>
      <t xml:space="preserve"> 4) PUMA</t>
    </r>
    <r>
      <rPr>
        <sz val="11"/>
        <color theme="1"/>
        <rFont val="Calibri"/>
        <family val="2"/>
        <scheme val="minor"/>
      </rPr>
      <t xml:space="preserve"> chemosensitized intrinsically resistant SKOV3 cells to cisplatin through downregulation of </t>
    </r>
    <r>
      <rPr>
        <b/>
        <sz val="11"/>
        <color theme="1"/>
        <rFont val="Calibri"/>
        <family val="2"/>
        <scheme val="minor"/>
      </rPr>
      <t>Bcl-xL</t>
    </r>
    <r>
      <rPr>
        <sz val="11"/>
        <color theme="1"/>
        <rFont val="Calibri"/>
        <family val="2"/>
        <scheme val="minor"/>
      </rPr>
      <t xml:space="preserve"> and </t>
    </r>
    <r>
      <rPr>
        <b/>
        <sz val="11"/>
        <color theme="1"/>
        <rFont val="Calibri"/>
        <family val="2"/>
        <scheme val="minor"/>
      </rPr>
      <t>Mcl-1</t>
    </r>
    <r>
      <rPr>
        <sz val="11"/>
        <color theme="1"/>
        <rFont val="Calibri"/>
        <family val="2"/>
        <scheme val="minor"/>
      </rPr>
      <t xml:space="preserve">. </t>
    </r>
    <r>
      <rPr>
        <b/>
        <sz val="11"/>
        <color theme="1"/>
        <rFont val="Calibri"/>
        <family val="2"/>
        <scheme val="minor"/>
      </rPr>
      <t>5) NIPBL</t>
    </r>
    <r>
      <rPr>
        <sz val="11"/>
        <color theme="1"/>
        <rFont val="Calibri"/>
        <family val="2"/>
        <scheme val="minor"/>
      </rPr>
      <t xml:space="preserve"> Modulates Cisplatin Sensitivity Through Upregulation of </t>
    </r>
    <r>
      <rPr>
        <b/>
        <sz val="11"/>
        <color theme="1"/>
        <rFont val="Calibri"/>
        <family val="2"/>
        <scheme val="minor"/>
      </rPr>
      <t>PUMA</t>
    </r>
    <r>
      <rPr>
        <sz val="11"/>
        <color theme="1"/>
        <rFont val="Calibri"/>
        <family val="2"/>
        <scheme val="minor"/>
      </rPr>
      <t xml:space="preserve"> in </t>
    </r>
    <r>
      <rPr>
        <b/>
        <sz val="11"/>
        <color theme="1"/>
        <rFont val="Calibri"/>
        <family val="2"/>
        <scheme val="minor"/>
      </rPr>
      <t>Esophageal</t>
    </r>
    <r>
      <rPr>
        <sz val="11"/>
        <color theme="1"/>
        <rFont val="Calibri"/>
        <family val="2"/>
        <scheme val="minor"/>
      </rPr>
      <t xml:space="preserve"> Squamous Cell Carcinoma Cells. </t>
    </r>
  </si>
  <si>
    <r>
      <rPr>
        <b/>
        <sz val="11"/>
        <color theme="1"/>
        <rFont val="Calibri"/>
        <family val="2"/>
        <scheme val="minor"/>
      </rPr>
      <t xml:space="preserve">1) </t>
    </r>
    <r>
      <rPr>
        <sz val="11"/>
        <color theme="1"/>
        <rFont val="Calibri"/>
        <family val="2"/>
        <scheme val="minor"/>
      </rPr>
      <t xml:space="preserve">Expression of </t>
    </r>
    <r>
      <rPr>
        <b/>
        <sz val="11"/>
        <color theme="1"/>
        <rFont val="Calibri"/>
        <family val="2"/>
        <scheme val="minor"/>
      </rPr>
      <t>BCAT1</t>
    </r>
    <r>
      <rPr>
        <sz val="11"/>
        <color theme="1"/>
        <rFont val="Calibri"/>
        <family val="2"/>
        <scheme val="minor"/>
      </rPr>
      <t xml:space="preserve"> was up-regulated in </t>
    </r>
    <r>
      <rPr>
        <b/>
        <sz val="11"/>
        <color theme="1"/>
        <rFont val="Calibri"/>
        <family val="2"/>
        <scheme val="minor"/>
      </rPr>
      <t>HCC</t>
    </r>
    <r>
      <rPr>
        <sz val="11"/>
        <color theme="1"/>
        <rFont val="Calibri"/>
        <family val="2"/>
        <scheme val="minor"/>
      </rPr>
      <t xml:space="preserve"> tissues and induced chemoresistance to </t>
    </r>
    <r>
      <rPr>
        <b/>
        <sz val="11"/>
        <color theme="1"/>
        <rFont val="Calibri"/>
        <family val="2"/>
        <scheme val="minor"/>
      </rPr>
      <t>cisplatin</t>
    </r>
    <r>
      <rPr>
        <sz val="11"/>
        <color theme="1"/>
        <rFont val="Calibri"/>
        <family val="2"/>
        <scheme val="minor"/>
      </rPr>
      <t xml:space="preserve"> in HCC cells. </t>
    </r>
    <r>
      <rPr>
        <b/>
        <sz val="11"/>
        <color theme="1"/>
        <rFont val="Calibri"/>
        <family val="2"/>
        <scheme val="minor"/>
      </rPr>
      <t xml:space="preserve">2) </t>
    </r>
    <r>
      <rPr>
        <sz val="11"/>
        <color theme="1"/>
        <rFont val="Calibri"/>
        <family val="2"/>
        <scheme val="minor"/>
      </rPr>
      <t xml:space="preserve">Branched-chain aminotransferases (BCATs) have a catabolic function, catalyzing the transamination of all three BCAAs to the corresponding branched-chain a-ketoacids and glutamate.  </t>
    </r>
  </si>
  <si>
    <r>
      <rPr>
        <b/>
        <sz val="11"/>
        <color theme="1"/>
        <rFont val="Calibri"/>
        <family val="2"/>
        <scheme val="minor"/>
      </rPr>
      <t xml:space="preserve">1) </t>
    </r>
    <r>
      <rPr>
        <sz val="11"/>
        <color theme="1"/>
        <rFont val="Calibri"/>
        <family val="2"/>
        <scheme val="minor"/>
      </rPr>
      <t xml:space="preserve">In squamous cell carcinoma of the </t>
    </r>
    <r>
      <rPr>
        <b/>
        <sz val="11"/>
        <color theme="1"/>
        <rFont val="Calibri"/>
        <family val="2"/>
        <scheme val="minor"/>
      </rPr>
      <t>head and neck</t>
    </r>
    <r>
      <rPr>
        <sz val="11"/>
        <color theme="1"/>
        <rFont val="Calibri"/>
        <family val="2"/>
        <scheme val="minor"/>
      </rPr>
      <t xml:space="preserve"> (HNSCC) cell lines, high endogenous </t>
    </r>
    <r>
      <rPr>
        <b/>
        <sz val="11"/>
        <color theme="1"/>
        <rFont val="Calibri"/>
        <family val="2"/>
        <scheme val="minor"/>
      </rPr>
      <t>Bcl-2</t>
    </r>
    <r>
      <rPr>
        <sz val="11"/>
        <color theme="1"/>
        <rFont val="Calibri"/>
        <family val="2"/>
        <scheme val="minor"/>
      </rPr>
      <t xml:space="preserve"> expression was associated with increased </t>
    </r>
    <r>
      <rPr>
        <b/>
        <sz val="11"/>
        <color theme="1"/>
        <rFont val="Calibri"/>
        <family val="2"/>
        <scheme val="minor"/>
      </rPr>
      <t>cisplatin</t>
    </r>
    <r>
      <rPr>
        <sz val="11"/>
        <color theme="1"/>
        <rFont val="Calibri"/>
        <family val="2"/>
        <scheme val="minor"/>
      </rPr>
      <t xml:space="preserve"> resistance, </t>
    </r>
    <r>
      <rPr>
        <b/>
        <sz val="11"/>
        <color theme="1"/>
        <rFont val="Calibri"/>
        <family val="2"/>
        <scheme val="minor"/>
      </rPr>
      <t xml:space="preserve">2) </t>
    </r>
    <r>
      <rPr>
        <sz val="11"/>
        <color theme="1"/>
        <rFont val="Calibri"/>
        <family val="2"/>
        <scheme val="minor"/>
      </rPr>
      <t xml:space="preserve">experimental overexpression of </t>
    </r>
    <r>
      <rPr>
        <b/>
        <sz val="11"/>
        <color theme="1"/>
        <rFont val="Calibri"/>
        <family val="2"/>
        <scheme val="minor"/>
      </rPr>
      <t>Bcl-2</t>
    </r>
    <r>
      <rPr>
        <sz val="11"/>
        <color theme="1"/>
        <rFont val="Calibri"/>
        <family val="2"/>
        <scheme val="minor"/>
      </rPr>
      <t xml:space="preserve"> promoted </t>
    </r>
    <r>
      <rPr>
        <b/>
        <sz val="11"/>
        <color theme="1"/>
        <rFont val="Calibri"/>
        <family val="2"/>
        <scheme val="minor"/>
      </rPr>
      <t>cisplatin</t>
    </r>
    <r>
      <rPr>
        <sz val="11"/>
        <color theme="1"/>
        <rFont val="Calibri"/>
        <family val="2"/>
        <scheme val="minor"/>
      </rPr>
      <t xml:space="preserve"> resistance. </t>
    </r>
    <r>
      <rPr>
        <b/>
        <sz val="11"/>
        <color theme="1"/>
        <rFont val="Calibri"/>
        <family val="2"/>
        <scheme val="minor"/>
      </rPr>
      <t xml:space="preserve">3) </t>
    </r>
    <r>
      <rPr>
        <sz val="11"/>
        <color theme="1"/>
        <rFont val="Calibri"/>
        <family val="2"/>
        <scheme val="minor"/>
      </rPr>
      <t xml:space="preserve">In </t>
    </r>
    <r>
      <rPr>
        <b/>
        <sz val="11"/>
        <color theme="1"/>
        <rFont val="Calibri"/>
        <family val="2"/>
        <scheme val="minor"/>
      </rPr>
      <t>oropharyngeal</t>
    </r>
    <r>
      <rPr>
        <sz val="11"/>
        <color theme="1"/>
        <rFont val="Calibri"/>
        <family val="2"/>
        <scheme val="minor"/>
      </rPr>
      <t xml:space="preserve"> squamous cell carcinoma (OPSCC) patients, tumors positive for Bcl-2 before treatment had greater risk of treatment failure (hazard ratio, 5.99; 95% confidence interval, 1.73−20.8; P = 0.0014) under platinum-based chemoradiation. </t>
    </r>
    <r>
      <rPr>
        <b/>
        <sz val="11"/>
        <color theme="1"/>
        <rFont val="Calibri"/>
        <family val="2"/>
        <scheme val="minor"/>
      </rPr>
      <t>4)</t>
    </r>
    <r>
      <rPr>
        <sz val="11"/>
        <color theme="1"/>
        <rFont val="Calibri"/>
        <family val="2"/>
        <scheme val="minor"/>
      </rPr>
      <t xml:space="preserve"> Upregulation of </t>
    </r>
    <r>
      <rPr>
        <b/>
        <sz val="11"/>
        <color theme="1"/>
        <rFont val="Calibri"/>
        <family val="2"/>
        <scheme val="minor"/>
      </rPr>
      <t>Bcl-2</t>
    </r>
    <r>
      <rPr>
        <sz val="11"/>
        <color theme="1"/>
        <rFont val="Calibri"/>
        <family val="2"/>
        <scheme val="minor"/>
      </rPr>
      <t xml:space="preserve"> is associated with </t>
    </r>
    <r>
      <rPr>
        <b/>
        <sz val="11"/>
        <color theme="1"/>
        <rFont val="Calibri"/>
        <family val="2"/>
        <scheme val="minor"/>
      </rPr>
      <t>cisplatin</t>
    </r>
    <r>
      <rPr>
        <sz val="11"/>
        <color theme="1"/>
        <rFont val="Calibri"/>
        <family val="2"/>
        <scheme val="minor"/>
      </rPr>
      <t xml:space="preserve">-resistance via inhibition of </t>
    </r>
    <r>
      <rPr>
        <b/>
        <sz val="11"/>
        <color theme="1"/>
        <rFont val="Calibri"/>
        <family val="2"/>
        <scheme val="minor"/>
      </rPr>
      <t>Bax</t>
    </r>
    <r>
      <rPr>
        <sz val="11"/>
        <color theme="1"/>
        <rFont val="Calibri"/>
        <family val="2"/>
        <scheme val="minor"/>
      </rPr>
      <t xml:space="preserve"> translocation in human </t>
    </r>
    <r>
      <rPr>
        <b/>
        <sz val="11"/>
        <color theme="1"/>
        <rFont val="Calibri"/>
        <family val="2"/>
        <scheme val="minor"/>
      </rPr>
      <t>bladder</t>
    </r>
    <r>
      <rPr>
        <sz val="11"/>
        <color theme="1"/>
        <rFont val="Calibri"/>
        <family val="2"/>
        <scheme val="minor"/>
      </rPr>
      <t xml:space="preserve"> cancer cells. </t>
    </r>
    <r>
      <rPr>
        <b/>
        <sz val="11"/>
        <color theme="1"/>
        <rFont val="Calibri"/>
        <family val="2"/>
        <scheme val="minor"/>
      </rPr>
      <t xml:space="preserve">5) </t>
    </r>
    <r>
      <rPr>
        <sz val="11"/>
        <color theme="1"/>
        <rFont val="Calibri"/>
        <family val="2"/>
        <scheme val="minor"/>
      </rPr>
      <t xml:space="preserve">Expression of </t>
    </r>
    <r>
      <rPr>
        <b/>
        <sz val="11"/>
        <color theme="1"/>
        <rFont val="Calibri"/>
        <family val="2"/>
        <scheme val="minor"/>
      </rPr>
      <t>bcl-2</t>
    </r>
    <r>
      <rPr>
        <sz val="11"/>
        <color theme="1"/>
        <rFont val="Calibri"/>
        <family val="2"/>
        <scheme val="minor"/>
      </rPr>
      <t xml:space="preserve">, </t>
    </r>
    <r>
      <rPr>
        <b/>
        <sz val="11"/>
        <color theme="1"/>
        <rFont val="Calibri"/>
        <family val="2"/>
        <scheme val="minor"/>
      </rPr>
      <t>p53</t>
    </r>
    <r>
      <rPr>
        <sz val="11"/>
        <color theme="1"/>
        <rFont val="Calibri"/>
        <family val="2"/>
        <scheme val="minor"/>
      </rPr>
      <t xml:space="preserve"> and </t>
    </r>
    <r>
      <rPr>
        <b/>
        <sz val="11"/>
        <color theme="1"/>
        <rFont val="Calibri"/>
        <family val="2"/>
        <scheme val="minor"/>
      </rPr>
      <t>MDM-2</t>
    </r>
    <r>
      <rPr>
        <sz val="11"/>
        <color theme="1"/>
        <rFont val="Calibri"/>
        <family val="2"/>
        <scheme val="minor"/>
      </rPr>
      <t xml:space="preserve"> was assessed by immunohistochemical staining of tumour tissues collected at initial surgery prior to treatment with</t>
    </r>
    <r>
      <rPr>
        <b/>
        <sz val="11"/>
        <color theme="1"/>
        <rFont val="Calibri"/>
        <family val="2"/>
        <scheme val="minor"/>
      </rPr>
      <t xml:space="preserve"> CDDP</t>
    </r>
    <r>
      <rPr>
        <sz val="11"/>
        <color theme="1"/>
        <rFont val="Calibri"/>
        <family val="2"/>
        <scheme val="minor"/>
      </rPr>
      <t xml:space="preserve">-based chemotherapy. Among 66 patients with advanced </t>
    </r>
    <r>
      <rPr>
        <b/>
        <sz val="11"/>
        <color theme="1"/>
        <rFont val="Calibri"/>
        <family val="2"/>
        <scheme val="minor"/>
      </rPr>
      <t>ovarian</t>
    </r>
    <r>
      <rPr>
        <sz val="11"/>
        <color theme="1"/>
        <rFont val="Calibri"/>
        <family val="2"/>
        <scheme val="minor"/>
      </rPr>
      <t xml:space="preserve"> cancer with measurable tumour following surgery and evaluable for response to chemotherapy, 42, 45 and 56% were positive for bcl-2, p53 and MDM-2, respectively. </t>
    </r>
    <r>
      <rPr>
        <b/>
        <sz val="11"/>
        <color theme="1"/>
        <rFont val="Calibri"/>
        <family val="2"/>
        <scheme val="minor"/>
      </rPr>
      <t>6)</t>
    </r>
    <r>
      <rPr>
        <sz val="11"/>
        <color theme="1"/>
        <rFont val="Calibri"/>
        <family val="2"/>
        <scheme val="minor"/>
      </rPr>
      <t xml:space="preserve"> Significantly fewer tumours of patients who had a complete response to chemotherapy (CR) showed positivity for </t>
    </r>
    <r>
      <rPr>
        <b/>
        <sz val="11"/>
        <color theme="1"/>
        <rFont val="Calibri"/>
        <family val="2"/>
        <scheme val="minor"/>
      </rPr>
      <t>bcl-2</t>
    </r>
    <r>
      <rPr>
        <sz val="11"/>
        <color theme="1"/>
        <rFont val="Calibri"/>
        <family val="2"/>
        <scheme val="minor"/>
      </rPr>
      <t xml:space="preserve"> (2/20) than for p53 (6/20) and MDM-2 (8/20, P &lt; 0.001). </t>
    </r>
    <r>
      <rPr>
        <b/>
        <sz val="11"/>
        <color theme="1"/>
        <rFont val="Calibri"/>
        <family val="2"/>
        <scheme val="minor"/>
      </rPr>
      <t>7)</t>
    </r>
    <r>
      <rPr>
        <sz val="11"/>
        <color theme="1"/>
        <rFont val="Calibri"/>
        <family val="2"/>
        <scheme val="minor"/>
      </rPr>
      <t xml:space="preserve"> There was an inverse correlation between bcl-2 staining and initial response to chemotherapy, especially in serous and endometrial adenocarcinomas. </t>
    </r>
    <r>
      <rPr>
        <b/>
        <sz val="11"/>
        <color theme="1"/>
        <rFont val="Calibri"/>
        <family val="2"/>
        <scheme val="minor"/>
      </rPr>
      <t>8)</t>
    </r>
    <r>
      <rPr>
        <sz val="11"/>
        <color theme="1"/>
        <rFont val="Calibri"/>
        <family val="2"/>
        <scheme val="minor"/>
      </rPr>
      <t xml:space="preserve"> In patients with stage III-IV, serous or endometrioid adenocarcinomas, significantly poorer survival was seen for those with bcl-2 positive tumours than those with negative </t>
    </r>
    <r>
      <rPr>
        <b/>
        <sz val="11"/>
        <color theme="1"/>
        <rFont val="Calibri"/>
        <family val="2"/>
        <scheme val="minor"/>
      </rPr>
      <t>bcl-2</t>
    </r>
    <r>
      <rPr>
        <sz val="11"/>
        <color theme="1"/>
        <rFont val="Calibri"/>
        <family val="2"/>
        <scheme val="minor"/>
      </rPr>
      <t xml:space="preserve"> staining (P = 0.0064). </t>
    </r>
  </si>
  <si>
    <r>
      <rPr>
        <b/>
        <sz val="11"/>
        <color theme="1"/>
        <rFont val="Calibri"/>
        <family val="2"/>
        <scheme val="minor"/>
      </rPr>
      <t xml:space="preserve">1) </t>
    </r>
    <r>
      <rPr>
        <sz val="11"/>
        <color theme="1"/>
        <rFont val="Calibri"/>
        <family val="2"/>
        <scheme val="minor"/>
      </rPr>
      <t>prenylated Rab acceptor 1 (</t>
    </r>
    <r>
      <rPr>
        <b/>
        <sz val="11"/>
        <color theme="1"/>
        <rFont val="Calibri"/>
        <family val="2"/>
        <scheme val="minor"/>
      </rPr>
      <t>RABAC1 or PRA1</t>
    </r>
    <r>
      <rPr>
        <sz val="11"/>
        <color theme="1"/>
        <rFont val="Calibri"/>
        <family val="2"/>
        <scheme val="minor"/>
      </rPr>
      <t xml:space="preserve">) inhibits the anti-apoptotic activity of </t>
    </r>
    <r>
      <rPr>
        <b/>
        <sz val="11"/>
        <color theme="1"/>
        <rFont val="Calibri"/>
        <family val="2"/>
        <scheme val="minor"/>
      </rPr>
      <t>BCL2A1</t>
    </r>
    <r>
      <rPr>
        <sz val="11"/>
        <color theme="1"/>
        <rFont val="Calibri"/>
        <family val="2"/>
        <scheme val="minor"/>
      </rPr>
      <t xml:space="preserve">. </t>
    </r>
    <r>
      <rPr>
        <b/>
        <sz val="11"/>
        <color theme="1"/>
        <rFont val="Calibri"/>
        <family val="2"/>
        <scheme val="minor"/>
      </rPr>
      <t xml:space="preserve">2) </t>
    </r>
    <r>
      <rPr>
        <sz val="11"/>
        <color theme="1"/>
        <rFont val="Calibri"/>
        <family val="2"/>
        <scheme val="minor"/>
      </rPr>
      <t xml:space="preserve">When apoptosis was induced by </t>
    </r>
    <r>
      <rPr>
        <b/>
        <sz val="11"/>
        <color theme="1"/>
        <rFont val="Calibri"/>
        <family val="2"/>
        <scheme val="minor"/>
      </rPr>
      <t>cisplatin</t>
    </r>
    <r>
      <rPr>
        <sz val="11"/>
        <color theme="1"/>
        <rFont val="Calibri"/>
        <family val="2"/>
        <scheme val="minor"/>
      </rPr>
      <t xml:space="preserve">, the anti-apoptotic activity of </t>
    </r>
    <r>
      <rPr>
        <b/>
        <sz val="11"/>
        <color theme="1"/>
        <rFont val="Calibri"/>
        <family val="2"/>
        <scheme val="minor"/>
      </rPr>
      <t>BCL2A1</t>
    </r>
    <r>
      <rPr>
        <sz val="11"/>
        <color theme="1"/>
        <rFont val="Calibri"/>
        <family val="2"/>
        <scheme val="minor"/>
      </rPr>
      <t xml:space="preserve"> was blocked by </t>
    </r>
    <r>
      <rPr>
        <b/>
        <sz val="11"/>
        <color theme="1"/>
        <rFont val="Calibri"/>
        <family val="2"/>
        <scheme val="minor"/>
      </rPr>
      <t>RABAC1</t>
    </r>
    <r>
      <rPr>
        <sz val="11"/>
        <color theme="1"/>
        <rFont val="Calibri"/>
        <family val="2"/>
        <scheme val="minor"/>
      </rPr>
      <t xml:space="preserve"> expression. </t>
    </r>
    <r>
      <rPr>
        <b/>
        <sz val="11"/>
        <color theme="1"/>
        <rFont val="Calibri"/>
        <family val="2"/>
        <scheme val="minor"/>
      </rPr>
      <t>3)</t>
    </r>
    <r>
      <rPr>
        <sz val="11"/>
        <color theme="1"/>
        <rFont val="Calibri"/>
        <family val="2"/>
        <scheme val="minor"/>
      </rPr>
      <t xml:space="preserve"> Two days after cisplatin, significant increases were observed in five proapoptotic genes: </t>
    </r>
    <r>
      <rPr>
        <b/>
        <sz val="11"/>
        <color theme="1"/>
        <rFont val="Calibri"/>
        <family val="2"/>
        <scheme val="minor"/>
      </rPr>
      <t>Bik, Bid, Bok, Trp53p2</t>
    </r>
    <r>
      <rPr>
        <sz val="11"/>
        <color theme="1"/>
        <rFont val="Calibri"/>
        <family val="2"/>
        <scheme val="minor"/>
      </rPr>
      <t xml:space="preserve">, and </t>
    </r>
    <r>
      <rPr>
        <b/>
        <sz val="11"/>
        <color theme="1"/>
        <rFont val="Calibri"/>
        <family val="2"/>
        <scheme val="minor"/>
      </rPr>
      <t>Card6</t>
    </r>
    <r>
      <rPr>
        <sz val="11"/>
        <color theme="1"/>
        <rFont val="Calibri"/>
        <family val="2"/>
        <scheme val="minor"/>
      </rPr>
      <t xml:space="preserve"> and a significant decrease in one antiapoptotic gene </t>
    </r>
    <r>
      <rPr>
        <b/>
        <sz val="11"/>
        <color theme="1"/>
        <rFont val="Calibri"/>
        <family val="2"/>
        <scheme val="minor"/>
      </rPr>
      <t>Bcl2a1</t>
    </r>
    <r>
      <rPr>
        <sz val="11"/>
        <color theme="1"/>
        <rFont val="Calibri"/>
        <family val="2"/>
        <scheme val="minor"/>
      </rPr>
      <t xml:space="preserve">. In contrast, </t>
    </r>
    <r>
      <rPr>
        <b/>
        <sz val="11"/>
        <color theme="1"/>
        <rFont val="Calibri"/>
        <family val="2"/>
        <scheme val="minor"/>
      </rPr>
      <t>Nol3</t>
    </r>
    <r>
      <rPr>
        <sz val="11"/>
        <color theme="1"/>
        <rFont val="Calibri"/>
        <family val="2"/>
        <scheme val="minor"/>
      </rPr>
      <t xml:space="preserve">, an antiapoptotic gene, showed a significant increase in expression. </t>
    </r>
  </si>
  <si>
    <r>
      <rPr>
        <b/>
        <sz val="11"/>
        <color theme="1"/>
        <rFont val="Calibri"/>
        <family val="2"/>
        <scheme val="minor"/>
      </rPr>
      <t xml:space="preserve">1) </t>
    </r>
    <r>
      <rPr>
        <sz val="11"/>
        <color theme="1"/>
        <rFont val="Calibri"/>
        <family val="2"/>
        <scheme val="minor"/>
      </rPr>
      <t xml:space="preserve">In 18.4% of </t>
    </r>
    <r>
      <rPr>
        <b/>
        <sz val="11"/>
        <color theme="1"/>
        <rFont val="Calibri"/>
        <family val="2"/>
        <scheme val="minor"/>
      </rPr>
      <t>GC</t>
    </r>
    <r>
      <rPr>
        <sz val="11"/>
        <color theme="1"/>
        <rFont val="Calibri"/>
        <family val="2"/>
        <scheme val="minor"/>
      </rPr>
      <t xml:space="preserve"> cases (19/103), amplification of the antiapoptotic gene </t>
    </r>
    <r>
      <rPr>
        <b/>
        <sz val="11"/>
        <color theme="1"/>
        <rFont val="Calibri"/>
        <family val="2"/>
        <scheme val="minor"/>
      </rPr>
      <t>BCL2L1</t>
    </r>
    <r>
      <rPr>
        <sz val="11"/>
        <color theme="1"/>
        <rFont val="Calibri"/>
        <family val="2"/>
        <scheme val="minor"/>
      </rPr>
      <t xml:space="preserve"> was observed, and </t>
    </r>
    <r>
      <rPr>
        <b/>
        <sz val="11"/>
        <color theme="1"/>
        <rFont val="Calibri"/>
        <family val="2"/>
        <scheme val="minor"/>
      </rPr>
      <t xml:space="preserve">2) </t>
    </r>
    <r>
      <rPr>
        <sz val="11"/>
        <color theme="1"/>
        <rFont val="Calibri"/>
        <family val="2"/>
        <scheme val="minor"/>
      </rPr>
      <t xml:space="preserve">subsequently a BCL2L1 inhibitor was shown to markedly decrease cell viability in BCL2L1-amplified cell lines and in similarly altered patient-derived GC xenografts, especially when combined with other </t>
    </r>
    <r>
      <rPr>
        <b/>
        <sz val="11"/>
        <color theme="1"/>
        <rFont val="Calibri"/>
        <family val="2"/>
        <scheme val="minor"/>
      </rPr>
      <t>chemotherapeutic</t>
    </r>
    <r>
      <rPr>
        <sz val="11"/>
        <color theme="1"/>
        <rFont val="Calibri"/>
        <family val="2"/>
        <scheme val="minor"/>
      </rPr>
      <t xml:space="preserve"> agents, including </t>
    </r>
    <r>
      <rPr>
        <b/>
        <sz val="11"/>
        <color theme="1"/>
        <rFont val="Calibri"/>
        <family val="2"/>
        <scheme val="minor"/>
      </rPr>
      <t>cisplatin</t>
    </r>
    <r>
      <rPr>
        <sz val="11"/>
        <color theme="1"/>
        <rFont val="Calibri"/>
        <family val="2"/>
        <scheme val="minor"/>
      </rPr>
      <t>.</t>
    </r>
    <r>
      <rPr>
        <b/>
        <sz val="11"/>
        <color theme="1"/>
        <rFont val="Calibri"/>
        <family val="2"/>
        <scheme val="minor"/>
      </rPr>
      <t xml:space="preserve"> 3) Cisplatin</t>
    </r>
    <r>
      <rPr>
        <sz val="11"/>
        <color theme="1"/>
        <rFont val="Calibri"/>
        <family val="2"/>
        <scheme val="minor"/>
      </rPr>
      <t xml:space="preserve">-induced down-regulation of </t>
    </r>
    <r>
      <rPr>
        <b/>
        <sz val="11"/>
        <color theme="1"/>
        <rFont val="Calibri"/>
        <family val="2"/>
        <scheme val="minor"/>
      </rPr>
      <t>Bcl-xL</t>
    </r>
    <r>
      <rPr>
        <sz val="11"/>
        <color theme="1"/>
        <rFont val="Calibri"/>
        <family val="2"/>
        <scheme val="minor"/>
      </rPr>
      <t xml:space="preserve"> was strictly associated with apoptosis and absence of recurrence in in </t>
    </r>
    <r>
      <rPr>
        <b/>
        <sz val="11"/>
        <color theme="1"/>
        <rFont val="Calibri"/>
        <family val="2"/>
        <scheme val="minor"/>
      </rPr>
      <t>ovarian</t>
    </r>
    <r>
      <rPr>
        <sz val="11"/>
        <color theme="1"/>
        <rFont val="Calibri"/>
        <family val="2"/>
        <scheme val="minor"/>
      </rPr>
      <t xml:space="preserve"> carcinoma cells. </t>
    </r>
    <r>
      <rPr>
        <b/>
        <sz val="11"/>
        <color theme="1"/>
        <rFont val="Calibri"/>
        <family val="2"/>
        <scheme val="minor"/>
      </rPr>
      <t>4)</t>
    </r>
    <r>
      <rPr>
        <sz val="11"/>
        <color theme="1"/>
        <rFont val="Calibri"/>
        <family val="2"/>
        <scheme val="minor"/>
      </rPr>
      <t xml:space="preserve"> Expression of Bcl-xS to impede anti-apoptotic activity of</t>
    </r>
    <r>
      <rPr>
        <b/>
        <sz val="11"/>
        <color theme="1"/>
        <rFont val="Calibri"/>
        <family val="2"/>
        <scheme val="minor"/>
      </rPr>
      <t xml:space="preserve"> Bcl-xL</t>
    </r>
    <r>
      <rPr>
        <sz val="11"/>
        <color theme="1"/>
        <rFont val="Calibri"/>
        <family val="2"/>
        <scheme val="minor"/>
      </rPr>
      <t xml:space="preserve"> highly sensitized SKOV3 resistant cells to </t>
    </r>
    <r>
      <rPr>
        <b/>
        <sz val="11"/>
        <color theme="1"/>
        <rFont val="Calibri"/>
        <family val="2"/>
        <scheme val="minor"/>
      </rPr>
      <t>cisplatin</t>
    </r>
    <r>
      <rPr>
        <sz val="11"/>
        <color theme="1"/>
        <rFont val="Calibri"/>
        <family val="2"/>
        <scheme val="minor"/>
      </rPr>
      <t xml:space="preserve">-induced apoptosis, and delayed recurrence. </t>
    </r>
    <r>
      <rPr>
        <b/>
        <sz val="11"/>
        <color theme="1"/>
        <rFont val="Calibri"/>
        <family val="2"/>
        <scheme val="minor"/>
      </rPr>
      <t>5) cisplatin</t>
    </r>
    <r>
      <rPr>
        <sz val="11"/>
        <color theme="1"/>
        <rFont val="Calibri"/>
        <family val="2"/>
        <scheme val="minor"/>
      </rPr>
      <t xml:space="preserve">-resistant </t>
    </r>
    <r>
      <rPr>
        <b/>
        <sz val="11"/>
        <color theme="1"/>
        <rFont val="Calibri"/>
        <family val="2"/>
        <scheme val="minor"/>
      </rPr>
      <t>UC</t>
    </r>
    <r>
      <rPr>
        <sz val="11"/>
        <color theme="1"/>
        <rFont val="Calibri"/>
        <family val="2"/>
        <scheme val="minor"/>
      </rPr>
      <t xml:space="preserve"> cells (T24/R) upregulated the antiapoptotic factor, B-cell lymphoma-extra large (</t>
    </r>
    <r>
      <rPr>
        <b/>
        <sz val="11"/>
        <color theme="1"/>
        <rFont val="Calibri"/>
        <family val="2"/>
        <scheme val="minor"/>
      </rPr>
      <t>Bcl-xL</t>
    </r>
    <r>
      <rPr>
        <sz val="11"/>
        <color theme="1"/>
        <rFont val="Calibri"/>
        <family val="2"/>
        <scheme val="minor"/>
      </rPr>
      <t xml:space="preserve">). </t>
    </r>
    <r>
      <rPr>
        <b/>
        <sz val="11"/>
        <color theme="1"/>
        <rFont val="Calibri"/>
        <family val="2"/>
        <scheme val="minor"/>
      </rPr>
      <t>6)</t>
    </r>
    <r>
      <rPr>
        <sz val="11"/>
        <color theme="1"/>
        <rFont val="Calibri"/>
        <family val="2"/>
        <scheme val="minor"/>
      </rPr>
      <t xml:space="preserve"> Knockdown of </t>
    </r>
    <r>
      <rPr>
        <b/>
        <sz val="11"/>
        <color theme="1"/>
        <rFont val="Calibri"/>
        <family val="2"/>
        <scheme val="minor"/>
      </rPr>
      <t>Bcl-xL</t>
    </r>
    <r>
      <rPr>
        <sz val="11"/>
        <color theme="1"/>
        <rFont val="Calibri"/>
        <family val="2"/>
        <scheme val="minor"/>
      </rPr>
      <t xml:space="preserve"> by siRNA resensitized cisplatin-resistant cells to the </t>
    </r>
    <r>
      <rPr>
        <b/>
        <sz val="11"/>
        <color theme="1"/>
        <rFont val="Calibri"/>
        <family val="2"/>
        <scheme val="minor"/>
      </rPr>
      <t>cisplatin</t>
    </r>
    <r>
      <rPr>
        <sz val="11"/>
        <color theme="1"/>
        <rFont val="Calibri"/>
        <family val="2"/>
        <scheme val="minor"/>
      </rPr>
      <t xml:space="preserve"> cytotoxic effect. </t>
    </r>
    <r>
      <rPr>
        <b/>
        <sz val="11"/>
        <color theme="1"/>
        <rFont val="Calibri"/>
        <family val="2"/>
        <scheme val="minor"/>
      </rPr>
      <t>7) HNSCC</t>
    </r>
    <r>
      <rPr>
        <sz val="11"/>
        <color theme="1"/>
        <rFont val="Calibri"/>
        <family val="2"/>
        <scheme val="minor"/>
      </rPr>
      <t xml:space="preserve"> cell lines selected for </t>
    </r>
    <r>
      <rPr>
        <b/>
        <sz val="11"/>
        <color theme="1"/>
        <rFont val="Calibri"/>
        <family val="2"/>
        <scheme val="minor"/>
      </rPr>
      <t>cisplatin</t>
    </r>
    <r>
      <rPr>
        <sz val="11"/>
        <color theme="1"/>
        <rFont val="Calibri"/>
        <family val="2"/>
        <scheme val="minor"/>
      </rPr>
      <t xml:space="preserve"> resistance had wild-type </t>
    </r>
    <r>
      <rPr>
        <b/>
        <sz val="11"/>
        <color theme="1"/>
        <rFont val="Calibri"/>
        <family val="2"/>
        <scheme val="minor"/>
      </rPr>
      <t>p53</t>
    </r>
    <r>
      <rPr>
        <sz val="11"/>
        <color theme="1"/>
        <rFont val="Calibri"/>
        <family val="2"/>
        <scheme val="minor"/>
      </rPr>
      <t xml:space="preserve"> and high levels of </t>
    </r>
    <r>
      <rPr>
        <b/>
        <sz val="11"/>
        <color theme="1"/>
        <rFont val="Calibri"/>
        <family val="2"/>
        <scheme val="minor"/>
      </rPr>
      <t>Bcl-xL</t>
    </r>
    <r>
      <rPr>
        <sz val="11"/>
        <color theme="1"/>
        <rFont val="Calibri"/>
        <family val="2"/>
        <scheme val="minor"/>
      </rPr>
      <t xml:space="preserve">. </t>
    </r>
    <r>
      <rPr>
        <b/>
        <sz val="11"/>
        <color theme="1"/>
        <rFont val="Calibri"/>
        <family val="2"/>
        <scheme val="minor"/>
      </rPr>
      <t>8)</t>
    </r>
    <r>
      <rPr>
        <sz val="11"/>
        <color theme="1"/>
        <rFont val="Calibri"/>
        <family val="2"/>
        <scheme val="minor"/>
      </rPr>
      <t xml:space="preserve"> Patients whose tumors expressed low levels of </t>
    </r>
    <r>
      <rPr>
        <b/>
        <sz val="11"/>
        <color theme="1"/>
        <rFont val="Calibri"/>
        <family val="2"/>
        <scheme val="minor"/>
      </rPr>
      <t>p53</t>
    </r>
    <r>
      <rPr>
        <sz val="11"/>
        <color theme="1"/>
        <rFont val="Calibri"/>
        <family val="2"/>
        <scheme val="minor"/>
      </rPr>
      <t xml:space="preserve"> and </t>
    </r>
    <r>
      <rPr>
        <b/>
        <sz val="11"/>
        <color theme="1"/>
        <rFont val="Calibri"/>
        <family val="2"/>
        <scheme val="minor"/>
      </rPr>
      <t xml:space="preserve">Bcl-xL </t>
    </r>
    <r>
      <rPr>
        <sz val="11"/>
        <color theme="1"/>
        <rFont val="Calibri"/>
        <family val="2"/>
        <scheme val="minor"/>
      </rPr>
      <t xml:space="preserve">enjoyed the best organ preservation and disease-free survival whereas patients whose tumors expressed low levels of </t>
    </r>
    <r>
      <rPr>
        <b/>
        <sz val="11"/>
        <color theme="1"/>
        <rFont val="Calibri"/>
        <family val="2"/>
        <scheme val="minor"/>
      </rPr>
      <t>p53</t>
    </r>
    <r>
      <rPr>
        <sz val="11"/>
        <color theme="1"/>
        <rFont val="Calibri"/>
        <family val="2"/>
        <scheme val="minor"/>
      </rPr>
      <t xml:space="preserve"> and high levels of</t>
    </r>
    <r>
      <rPr>
        <b/>
        <sz val="11"/>
        <color theme="1"/>
        <rFont val="Calibri"/>
        <family val="2"/>
        <scheme val="minor"/>
      </rPr>
      <t xml:space="preserve"> Bcl-xL</t>
    </r>
    <r>
      <rPr>
        <sz val="11"/>
        <color theme="1"/>
        <rFont val="Calibri"/>
        <family val="2"/>
        <scheme val="minor"/>
      </rPr>
      <t xml:space="preserve"> had the worst outcome. </t>
    </r>
  </si>
  <si>
    <r>
      <rPr>
        <b/>
        <sz val="11"/>
        <color theme="1"/>
        <rFont val="Calibri"/>
        <family val="2"/>
        <scheme val="minor"/>
      </rPr>
      <t xml:space="preserve">1) </t>
    </r>
    <r>
      <rPr>
        <sz val="11"/>
        <color theme="1"/>
        <rFont val="Calibri"/>
        <family val="2"/>
        <scheme val="minor"/>
      </rPr>
      <t>treatment of</t>
    </r>
    <r>
      <rPr>
        <b/>
        <sz val="11"/>
        <color theme="1"/>
        <rFont val="Calibri"/>
        <family val="2"/>
        <scheme val="minor"/>
      </rPr>
      <t xml:space="preserve"> ovarian</t>
    </r>
    <r>
      <rPr>
        <sz val="11"/>
        <color theme="1"/>
        <rFont val="Calibri"/>
        <family val="2"/>
        <scheme val="minor"/>
      </rPr>
      <t xml:space="preserve"> cancer cells with </t>
    </r>
    <r>
      <rPr>
        <b/>
        <sz val="11"/>
        <color theme="1"/>
        <rFont val="Calibri"/>
        <family val="2"/>
        <scheme val="minor"/>
      </rPr>
      <t>cisplatin</t>
    </r>
    <r>
      <rPr>
        <sz val="11"/>
        <color theme="1"/>
        <rFont val="Calibri"/>
        <family val="2"/>
        <scheme val="minor"/>
      </rPr>
      <t xml:space="preserve"> caused </t>
    </r>
    <r>
      <rPr>
        <b/>
        <sz val="11"/>
        <color theme="1"/>
        <rFont val="Calibri"/>
        <family val="2"/>
        <scheme val="minor"/>
      </rPr>
      <t>Bim</t>
    </r>
    <r>
      <rPr>
        <sz val="11"/>
        <color theme="1"/>
        <rFont val="Calibri"/>
        <family val="2"/>
        <scheme val="minor"/>
      </rPr>
      <t xml:space="preserve"> </t>
    </r>
    <r>
      <rPr>
        <b/>
        <sz val="11"/>
        <color theme="1"/>
        <rFont val="Calibri"/>
        <family val="2"/>
        <scheme val="minor"/>
      </rPr>
      <t>phosphorylation</t>
    </r>
    <r>
      <rPr>
        <sz val="11"/>
        <color theme="1"/>
        <rFont val="Calibri"/>
        <family val="2"/>
        <scheme val="minor"/>
      </rPr>
      <t xml:space="preserve"> and subsequent degradation. </t>
    </r>
    <r>
      <rPr>
        <b/>
        <sz val="11"/>
        <color theme="1"/>
        <rFont val="Calibri"/>
        <family val="2"/>
        <scheme val="minor"/>
      </rPr>
      <t xml:space="preserve">2) </t>
    </r>
    <r>
      <rPr>
        <sz val="11"/>
        <color theme="1"/>
        <rFont val="Calibri"/>
        <family val="2"/>
        <scheme val="minor"/>
      </rPr>
      <t xml:space="preserve">its degradation is associated with cisplatin resistance. </t>
    </r>
    <r>
      <rPr>
        <b/>
        <sz val="11"/>
        <color theme="1"/>
        <rFont val="Calibri"/>
        <family val="2"/>
        <scheme val="minor"/>
      </rPr>
      <t xml:space="preserve">3) </t>
    </r>
    <r>
      <rPr>
        <sz val="11"/>
        <color theme="1"/>
        <rFont val="Calibri"/>
        <family val="2"/>
        <scheme val="minor"/>
      </rPr>
      <t xml:space="preserve">cisplatin treatment caused the activation of ERK, which correlated with Bim phosphorylation and degradation. </t>
    </r>
    <r>
      <rPr>
        <b/>
        <sz val="11"/>
        <color theme="1"/>
        <rFont val="Calibri"/>
        <family val="2"/>
        <scheme val="minor"/>
      </rPr>
      <t xml:space="preserve">4) </t>
    </r>
    <r>
      <rPr>
        <sz val="11"/>
        <color theme="1"/>
        <rFont val="Calibri"/>
        <family val="2"/>
        <scheme val="minor"/>
      </rPr>
      <t xml:space="preserve">By inhibiting ERK phosphorylation, Bim phosphorylation and degradation were blocked. </t>
    </r>
    <r>
      <rPr>
        <b/>
        <sz val="11"/>
        <color theme="1"/>
        <rFont val="Calibri"/>
        <family val="2"/>
        <scheme val="minor"/>
      </rPr>
      <t>5)</t>
    </r>
    <r>
      <rPr>
        <sz val="11"/>
        <color theme="1"/>
        <rFont val="Calibri"/>
        <family val="2"/>
        <scheme val="minor"/>
      </rPr>
      <t xml:space="preserve"> Bim was phosphorylated and degraded in cisplatin-resistant OV433 cells but not in the parental OV433 cells. </t>
    </r>
    <r>
      <rPr>
        <b/>
        <sz val="11"/>
        <color theme="1"/>
        <rFont val="Calibri"/>
        <family val="2"/>
        <scheme val="minor"/>
      </rPr>
      <t xml:space="preserve">6) </t>
    </r>
    <r>
      <rPr>
        <sz val="11"/>
        <color theme="1"/>
        <rFont val="Calibri"/>
        <family val="2"/>
        <scheme val="minor"/>
      </rPr>
      <t>inhibition of Bim degradation by the proteasome inhibitor MG132 sensitized resistant OV433 cells to cisplatin-induced death. </t>
    </r>
  </si>
  <si>
    <r>
      <rPr>
        <b/>
        <sz val="11"/>
        <color theme="1"/>
        <rFont val="Calibri"/>
        <family val="2"/>
        <scheme val="minor"/>
      </rPr>
      <t xml:space="preserve">1) </t>
    </r>
    <r>
      <rPr>
        <sz val="11"/>
        <color theme="1"/>
        <rFont val="Calibri"/>
        <family val="2"/>
        <scheme val="minor"/>
      </rPr>
      <t xml:space="preserve">MiR‐335‐5P was lowly expressed in </t>
    </r>
    <r>
      <rPr>
        <b/>
        <sz val="11"/>
        <color theme="1"/>
        <rFont val="Calibri"/>
        <family val="2"/>
        <scheme val="minor"/>
      </rPr>
      <t>cisplatin</t>
    </r>
    <r>
      <rPr>
        <sz val="11"/>
        <color theme="1"/>
        <rFont val="Calibri"/>
        <family val="2"/>
        <scheme val="minor"/>
      </rPr>
      <t>-resistant ovarian cancer A2780/DDP cells.</t>
    </r>
    <r>
      <rPr>
        <b/>
        <sz val="11"/>
        <color theme="1"/>
        <rFont val="Calibri"/>
        <family val="2"/>
        <scheme val="minor"/>
      </rPr>
      <t xml:space="preserve"> 2)</t>
    </r>
    <r>
      <rPr>
        <sz val="11"/>
        <color theme="1"/>
        <rFont val="Calibri"/>
        <family val="2"/>
        <scheme val="minor"/>
      </rPr>
      <t xml:space="preserve"> Overexpression of miR‐335‐5p suppressed </t>
    </r>
    <r>
      <rPr>
        <b/>
        <sz val="11"/>
        <color theme="1"/>
        <rFont val="Calibri"/>
        <family val="2"/>
        <scheme val="minor"/>
      </rPr>
      <t>BCL2L2</t>
    </r>
    <r>
      <rPr>
        <sz val="11"/>
        <color theme="1"/>
        <rFont val="Calibri"/>
        <family val="2"/>
        <scheme val="minor"/>
      </rPr>
      <t xml:space="preserve"> expression in A2780 and A2780/DDP cells. </t>
    </r>
    <r>
      <rPr>
        <b/>
        <sz val="11"/>
        <color theme="1"/>
        <rFont val="Calibri"/>
        <family val="2"/>
        <scheme val="minor"/>
      </rPr>
      <t>3)</t>
    </r>
    <r>
      <rPr>
        <sz val="11"/>
        <color theme="1"/>
        <rFont val="Calibri"/>
        <family val="2"/>
        <scheme val="minor"/>
      </rPr>
      <t xml:space="preserve"> MiR‐335‐5p suppressed cell viability and enhanced cell apoptosis of A2780/DDP cells through downregulating BCL2L2. </t>
    </r>
    <r>
      <rPr>
        <b/>
        <sz val="11"/>
        <color theme="1"/>
        <rFont val="Calibri"/>
        <family val="2"/>
        <scheme val="minor"/>
      </rPr>
      <t>4)</t>
    </r>
    <r>
      <rPr>
        <sz val="11"/>
        <color theme="1"/>
        <rFont val="Calibri"/>
        <family val="2"/>
        <scheme val="minor"/>
      </rPr>
      <t xml:space="preserve"> MiR‐335‐5p reduced the DDP‐resistance and inhibited the growth of A2780/DDP cells in vivo</t>
    </r>
  </si>
  <si>
    <r>
      <rPr>
        <b/>
        <sz val="11"/>
        <color theme="1"/>
        <rFont val="Calibri"/>
        <family val="2"/>
        <scheme val="minor"/>
      </rPr>
      <t>1)</t>
    </r>
    <r>
      <rPr>
        <sz val="11"/>
        <color theme="1"/>
        <rFont val="Calibri"/>
        <family val="2"/>
        <scheme val="minor"/>
      </rPr>
      <t xml:space="preserve"> a central role in autophagy </t>
    </r>
    <r>
      <rPr>
        <b/>
        <sz val="11"/>
        <color theme="1"/>
        <rFont val="Calibri"/>
        <family val="2"/>
        <scheme val="minor"/>
      </rPr>
      <t>2)</t>
    </r>
    <r>
      <rPr>
        <sz val="11"/>
        <color theme="1"/>
        <rFont val="Calibri"/>
        <family val="2"/>
        <scheme val="minor"/>
      </rPr>
      <t xml:space="preserve"> core subunit of the PI3K complex</t>
    </r>
    <r>
      <rPr>
        <b/>
        <sz val="11"/>
        <color theme="1"/>
        <rFont val="Calibri"/>
        <family val="2"/>
        <scheme val="minor"/>
      </rPr>
      <t xml:space="preserve"> 3)</t>
    </r>
    <r>
      <rPr>
        <sz val="11"/>
        <color theme="1"/>
        <rFont val="Calibri"/>
        <family val="2"/>
        <scheme val="minor"/>
      </rPr>
      <t xml:space="preserve"> PI3KC3-C1 is involved in initiation of autophagosomes and PI3KC3-C2 in maturation of autophagosomes and endocytosis. </t>
    </r>
  </si>
  <si>
    <r>
      <rPr>
        <b/>
        <sz val="11"/>
        <color theme="1"/>
        <rFont val="Calibri"/>
        <family val="2"/>
        <scheme val="minor"/>
      </rPr>
      <t>1) Cisplatin</t>
    </r>
    <r>
      <rPr>
        <sz val="11"/>
        <color theme="1"/>
        <rFont val="Calibri"/>
        <family val="2"/>
        <scheme val="minor"/>
      </rPr>
      <t xml:space="preserve"> induced autophagy by upregulating the mRNA and protein expression levels of autophagy protein (Atg)5 and </t>
    </r>
    <r>
      <rPr>
        <b/>
        <sz val="11"/>
        <color theme="1"/>
        <rFont val="Calibri"/>
        <family val="2"/>
        <scheme val="minor"/>
      </rPr>
      <t>Beclin 1</t>
    </r>
    <r>
      <rPr>
        <sz val="11"/>
        <color theme="1"/>
        <rFont val="Calibri"/>
        <family val="2"/>
        <scheme val="minor"/>
      </rPr>
      <t xml:space="preserve">. </t>
    </r>
    <r>
      <rPr>
        <b/>
        <sz val="11"/>
        <color theme="1"/>
        <rFont val="Calibri"/>
        <family val="2"/>
        <scheme val="minor"/>
      </rPr>
      <t xml:space="preserve">2) </t>
    </r>
    <r>
      <rPr>
        <sz val="11"/>
        <color theme="1"/>
        <rFont val="Calibri"/>
        <family val="2"/>
        <scheme val="minor"/>
      </rPr>
      <t xml:space="preserve">knockdown of </t>
    </r>
    <r>
      <rPr>
        <b/>
        <sz val="11"/>
        <color theme="1"/>
        <rFont val="Calibri"/>
        <family val="2"/>
        <scheme val="minor"/>
      </rPr>
      <t>Atg5</t>
    </r>
    <r>
      <rPr>
        <sz val="11"/>
        <color theme="1"/>
        <rFont val="Calibri"/>
        <family val="2"/>
        <scheme val="minor"/>
      </rPr>
      <t xml:space="preserve"> and </t>
    </r>
    <r>
      <rPr>
        <b/>
        <sz val="11"/>
        <color theme="1"/>
        <rFont val="Calibri"/>
        <family val="2"/>
        <scheme val="minor"/>
      </rPr>
      <t>Beclin 1</t>
    </r>
    <r>
      <rPr>
        <sz val="11"/>
        <color theme="1"/>
        <rFont val="Calibri"/>
        <family val="2"/>
        <scheme val="minor"/>
      </rPr>
      <t xml:space="preserve"> by small interfering RNA transfection impaired cisplatin‑induced activation of autophagic responses, increased caspase‑3 cleavage and inhibited cell viability. </t>
    </r>
    <r>
      <rPr>
        <b/>
        <sz val="11"/>
        <color theme="1"/>
        <rFont val="Calibri"/>
        <family val="2"/>
        <scheme val="minor"/>
      </rPr>
      <t>3)</t>
    </r>
    <r>
      <rPr>
        <sz val="11"/>
        <color theme="1"/>
        <rFont val="Calibri"/>
        <family val="2"/>
        <scheme val="minor"/>
      </rPr>
      <t xml:space="preserve"> Amongst 141 </t>
    </r>
    <r>
      <rPr>
        <b/>
        <sz val="11"/>
        <color theme="1"/>
        <rFont val="Calibri"/>
        <family val="2"/>
        <scheme val="minor"/>
      </rPr>
      <t>ovarian</t>
    </r>
    <r>
      <rPr>
        <sz val="11"/>
        <color theme="1"/>
        <rFont val="Calibri"/>
        <family val="2"/>
        <scheme val="minor"/>
      </rPr>
      <t xml:space="preserve"> carcinoma samples, the loss of </t>
    </r>
    <r>
      <rPr>
        <b/>
        <sz val="11"/>
        <color theme="1"/>
        <rFont val="Calibri"/>
        <family val="2"/>
        <scheme val="minor"/>
      </rPr>
      <t>BECN1</t>
    </r>
    <r>
      <rPr>
        <sz val="11"/>
        <color theme="1"/>
        <rFont val="Calibri"/>
        <family val="2"/>
        <scheme val="minor"/>
      </rPr>
      <t xml:space="preserve">, LC3, and HMGB-1 expression was identified in 59 (41.8%), 35 (24.8%), and 66 (46.8%) samples, respectively. </t>
    </r>
    <r>
      <rPr>
        <b/>
        <sz val="11"/>
        <color theme="1"/>
        <rFont val="Calibri"/>
        <family val="2"/>
        <scheme val="minor"/>
      </rPr>
      <t xml:space="preserve">4) </t>
    </r>
    <r>
      <rPr>
        <sz val="11"/>
        <color theme="1"/>
        <rFont val="Calibri"/>
        <family val="2"/>
        <scheme val="minor"/>
      </rPr>
      <t xml:space="preserve">negative expression of </t>
    </r>
    <r>
      <rPr>
        <b/>
        <sz val="11"/>
        <color theme="1"/>
        <rFont val="Calibri"/>
        <family val="2"/>
        <scheme val="minor"/>
      </rPr>
      <t>Beclin 1</t>
    </r>
    <r>
      <rPr>
        <sz val="11"/>
        <color theme="1"/>
        <rFont val="Calibri"/>
        <family val="2"/>
        <scheme val="minor"/>
      </rPr>
      <t xml:space="preserve"> was associated with a shorter progression-free survival in comparison to positive Beclin 1 expression in OCCC who received cytoreductive surgery, followed by a standard </t>
    </r>
    <r>
      <rPr>
        <b/>
        <sz val="11"/>
        <color theme="1"/>
        <rFont val="Calibri"/>
        <family val="2"/>
        <scheme val="minor"/>
      </rPr>
      <t>platinum</t>
    </r>
    <r>
      <rPr>
        <sz val="11"/>
        <color theme="1"/>
        <rFont val="Calibri"/>
        <family val="2"/>
        <scheme val="minor"/>
      </rPr>
      <t xml:space="preserve">-based chemotherapy regimen (P=0.027, log-rank test). </t>
    </r>
    <r>
      <rPr>
        <b/>
        <sz val="11"/>
        <color theme="1"/>
        <rFont val="Calibri"/>
        <family val="2"/>
        <scheme val="minor"/>
      </rPr>
      <t>5)</t>
    </r>
    <r>
      <rPr>
        <sz val="11"/>
        <color theme="1"/>
        <rFont val="Calibri"/>
        <family val="2"/>
        <scheme val="minor"/>
      </rPr>
      <t xml:space="preserve"> Beclin 1-negative tumors were no more resistant to primary adjuvant chemotherapy than were Beclin 1-positive tumors (50.0 vs. 66.7%, P=0.937). </t>
    </r>
  </si>
  <si>
    <r>
      <rPr>
        <b/>
        <sz val="11"/>
        <color theme="1"/>
        <rFont val="Calibri"/>
        <family val="2"/>
        <scheme val="minor"/>
      </rPr>
      <t>1)</t>
    </r>
    <r>
      <rPr>
        <sz val="11"/>
        <color theme="1"/>
        <rFont val="Calibri"/>
        <family val="2"/>
        <scheme val="minor"/>
      </rPr>
      <t xml:space="preserve"> </t>
    </r>
    <r>
      <rPr>
        <b/>
        <sz val="11"/>
        <color theme="1"/>
        <rFont val="Calibri"/>
        <family val="2"/>
        <scheme val="minor"/>
      </rPr>
      <t>BEX3</t>
    </r>
    <r>
      <rPr>
        <sz val="11"/>
        <color theme="1"/>
        <rFont val="Calibri"/>
        <family val="2"/>
        <scheme val="minor"/>
      </rPr>
      <t xml:space="preserve"> expression was inducible in response to </t>
    </r>
    <r>
      <rPr>
        <b/>
        <sz val="11"/>
        <color theme="1"/>
        <rFont val="Calibri"/>
        <family val="2"/>
        <scheme val="minor"/>
      </rPr>
      <t>cisplatin</t>
    </r>
    <r>
      <rPr>
        <sz val="11"/>
        <color theme="1"/>
        <rFont val="Calibri"/>
        <family val="2"/>
        <scheme val="minor"/>
      </rPr>
      <t xml:space="preserve"> treatment. </t>
    </r>
    <r>
      <rPr>
        <b/>
        <sz val="11"/>
        <color theme="1"/>
        <rFont val="Calibri"/>
        <family val="2"/>
        <scheme val="minor"/>
      </rPr>
      <t>2)</t>
    </r>
    <r>
      <rPr>
        <sz val="11"/>
        <color theme="1"/>
        <rFont val="Calibri"/>
        <family val="2"/>
        <scheme val="minor"/>
      </rPr>
      <t xml:space="preserve"> significant upregulation of BEX3 was observed in cisplatin‐resistant NPC cells.</t>
    </r>
    <r>
      <rPr>
        <b/>
        <sz val="11"/>
        <color theme="1"/>
        <rFont val="Calibri"/>
        <family val="2"/>
        <scheme val="minor"/>
      </rPr>
      <t xml:space="preserve"> 3)</t>
    </r>
    <r>
      <rPr>
        <sz val="11"/>
        <color theme="1"/>
        <rFont val="Calibri"/>
        <family val="2"/>
        <scheme val="minor"/>
      </rPr>
      <t xml:space="preserve"> BEX3 overexpression is important for the </t>
    </r>
    <r>
      <rPr>
        <b/>
        <sz val="11"/>
        <color theme="1"/>
        <rFont val="Calibri"/>
        <family val="2"/>
        <scheme val="minor"/>
      </rPr>
      <t>NPC</t>
    </r>
    <r>
      <rPr>
        <sz val="11"/>
        <color theme="1"/>
        <rFont val="Calibri"/>
        <family val="2"/>
        <scheme val="minor"/>
      </rPr>
      <t xml:space="preserve"> cell to enrich the stemness features and acquire cisplatin‐resistant phenotype, </t>
    </r>
  </si>
  <si>
    <r>
      <rPr>
        <b/>
        <sz val="11"/>
        <color theme="1"/>
        <rFont val="Calibri"/>
        <family val="2"/>
        <scheme val="minor"/>
      </rPr>
      <t>1)</t>
    </r>
    <r>
      <rPr>
        <sz val="11"/>
        <color theme="1"/>
        <rFont val="Calibri"/>
        <family val="2"/>
        <scheme val="minor"/>
      </rPr>
      <t xml:space="preserve"> </t>
    </r>
    <r>
      <rPr>
        <b/>
        <sz val="11"/>
        <color theme="1"/>
        <rFont val="Calibri"/>
        <family val="2"/>
        <scheme val="minor"/>
      </rPr>
      <t>DEC1</t>
    </r>
    <r>
      <rPr>
        <sz val="11"/>
        <color theme="1"/>
        <rFont val="Calibri"/>
        <family val="2"/>
        <scheme val="minor"/>
      </rPr>
      <t xml:space="preserve"> expression was up-regulated in </t>
    </r>
    <r>
      <rPr>
        <b/>
        <sz val="11"/>
        <color theme="1"/>
        <rFont val="Calibri"/>
        <family val="2"/>
        <scheme val="minor"/>
      </rPr>
      <t>CDDP</t>
    </r>
    <r>
      <rPr>
        <sz val="11"/>
        <color theme="1"/>
        <rFont val="Calibri"/>
        <family val="2"/>
        <scheme val="minor"/>
      </rPr>
      <t xml:space="preserve">-treated </t>
    </r>
    <r>
      <rPr>
        <b/>
        <sz val="11"/>
        <color theme="1"/>
        <rFont val="Calibri"/>
        <family val="2"/>
        <scheme val="minor"/>
      </rPr>
      <t>esophageal</t>
    </r>
    <r>
      <rPr>
        <sz val="11"/>
        <color theme="1"/>
        <rFont val="Calibri"/>
        <family val="2"/>
        <scheme val="minor"/>
      </rPr>
      <t xml:space="preserve"> cancer TE 10 cells. </t>
    </r>
    <r>
      <rPr>
        <b/>
        <sz val="11"/>
        <color theme="1"/>
        <rFont val="Calibri"/>
        <family val="2"/>
        <scheme val="minor"/>
      </rPr>
      <t xml:space="preserve">2) </t>
    </r>
    <r>
      <rPr>
        <sz val="11"/>
        <color theme="1"/>
        <rFont val="Calibri"/>
        <family val="2"/>
        <scheme val="minor"/>
      </rPr>
      <t xml:space="preserve">DEC1 knockdown by siRNA in TE 10 decreased CDDP-induced apoptosis. </t>
    </r>
    <r>
      <rPr>
        <b/>
        <sz val="11"/>
        <color theme="1"/>
        <rFont val="Calibri"/>
        <family val="2"/>
        <scheme val="minor"/>
      </rPr>
      <t>3)</t>
    </r>
    <r>
      <rPr>
        <sz val="11"/>
        <color theme="1"/>
        <rFont val="Calibri"/>
        <family val="2"/>
        <scheme val="minor"/>
      </rPr>
      <t xml:space="preserve"> DEC1 overexpression promoted CDDP-induced apoptosis. </t>
    </r>
    <r>
      <rPr>
        <b/>
        <sz val="11"/>
        <color theme="1"/>
        <rFont val="Calibri"/>
        <family val="2"/>
        <scheme val="minor"/>
      </rPr>
      <t>4)</t>
    </r>
    <r>
      <rPr>
        <sz val="11"/>
        <color theme="1"/>
        <rFont val="Calibri"/>
        <family val="2"/>
        <scheme val="minor"/>
      </rPr>
      <t xml:space="preserve"> In 118 archived tissues, the positive rate of DEC1 was reduced in human</t>
    </r>
    <r>
      <rPr>
        <b/>
        <sz val="11"/>
        <color theme="1"/>
        <rFont val="Calibri"/>
        <family val="2"/>
        <scheme val="minor"/>
      </rPr>
      <t xml:space="preserve"> lung</t>
    </r>
    <r>
      <rPr>
        <sz val="11"/>
        <color theme="1"/>
        <rFont val="Calibri"/>
        <family val="2"/>
        <scheme val="minor"/>
      </rPr>
      <t xml:space="preserve"> cancer samples (36/118, 30.5 %) compared with adjacent normal lung tissues (106/118, 89.8 %), as measured by immunohistochemical staining. </t>
    </r>
    <r>
      <rPr>
        <b/>
        <sz val="11"/>
        <color theme="1"/>
        <rFont val="Calibri"/>
        <family val="2"/>
        <scheme val="minor"/>
      </rPr>
      <t xml:space="preserve">5) </t>
    </r>
    <r>
      <rPr>
        <sz val="11"/>
        <color theme="1"/>
        <rFont val="Calibri"/>
        <family val="2"/>
        <scheme val="minor"/>
      </rPr>
      <t xml:space="preserve">Loss of DEC1 was correlated with poor differentiation (p = 0.005) and high p-TNM stage (p = 0.002). </t>
    </r>
  </si>
  <si>
    <r>
      <rPr>
        <b/>
        <sz val="11"/>
        <color theme="1"/>
        <rFont val="Calibri"/>
        <family val="2"/>
        <scheme val="minor"/>
      </rPr>
      <t xml:space="preserve">1) </t>
    </r>
    <r>
      <rPr>
        <sz val="11"/>
        <color theme="1"/>
        <rFont val="Calibri"/>
        <family val="2"/>
        <scheme val="minor"/>
      </rPr>
      <t xml:space="preserve">RNAi-mediated silencing of </t>
    </r>
    <r>
      <rPr>
        <b/>
        <sz val="11"/>
        <color theme="1"/>
        <rFont val="Calibri"/>
        <family val="2"/>
        <scheme val="minor"/>
      </rPr>
      <t>Bid</t>
    </r>
    <r>
      <rPr>
        <sz val="11"/>
        <color theme="1"/>
        <rFont val="Calibri"/>
        <family val="2"/>
        <scheme val="minor"/>
      </rPr>
      <t xml:space="preserve"> or Bak in Bax-deficient human </t>
    </r>
    <r>
      <rPr>
        <b/>
        <sz val="11"/>
        <color theme="1"/>
        <rFont val="Calibri"/>
        <family val="2"/>
        <scheme val="minor"/>
      </rPr>
      <t>prostate</t>
    </r>
    <r>
      <rPr>
        <sz val="11"/>
        <color theme="1"/>
        <rFont val="Calibri"/>
        <family val="2"/>
        <scheme val="minor"/>
      </rPr>
      <t xml:space="preserve"> cancer DU 145 cells suppressed the </t>
    </r>
    <r>
      <rPr>
        <b/>
        <sz val="11"/>
        <color theme="1"/>
        <rFont val="Calibri"/>
        <family val="2"/>
        <scheme val="minor"/>
      </rPr>
      <t>cisplatin</t>
    </r>
    <r>
      <rPr>
        <sz val="11"/>
        <color theme="1"/>
        <rFont val="Calibri"/>
        <family val="2"/>
        <scheme val="minor"/>
      </rPr>
      <t xml:space="preserve"> drug combination-induced cytotoxicity, further underscoring the involvement of mitochondrial signaling.</t>
    </r>
    <r>
      <rPr>
        <b/>
        <sz val="11"/>
        <color theme="1"/>
        <rFont val="Calibri"/>
        <family val="2"/>
        <scheme val="minor"/>
      </rPr>
      <t> 2)</t>
    </r>
    <r>
      <rPr>
        <sz val="11"/>
        <color theme="1"/>
        <rFont val="Calibri"/>
        <family val="2"/>
        <scheme val="minor"/>
      </rPr>
      <t xml:space="preserve"> There is increasing evidence that </t>
    </r>
    <r>
      <rPr>
        <b/>
        <sz val="11"/>
        <color theme="1"/>
        <rFont val="Calibri"/>
        <family val="2"/>
        <scheme val="minor"/>
      </rPr>
      <t xml:space="preserve">mitochondrial priming </t>
    </r>
    <r>
      <rPr>
        <sz val="11"/>
        <color theme="1"/>
        <rFont val="Calibri"/>
        <family val="2"/>
        <scheme val="minor"/>
      </rPr>
      <t>correlates with</t>
    </r>
    <r>
      <rPr>
        <b/>
        <sz val="11"/>
        <color theme="1"/>
        <rFont val="Calibri"/>
        <family val="2"/>
        <scheme val="minor"/>
      </rPr>
      <t xml:space="preserve"> cisplatin response</t>
    </r>
    <r>
      <rPr>
        <sz val="11"/>
        <color theme="1"/>
        <rFont val="Calibri"/>
        <family val="2"/>
        <scheme val="minor"/>
      </rPr>
      <t xml:space="preserve"> in various cancers. Notably, </t>
    </r>
    <r>
      <rPr>
        <b/>
        <sz val="11"/>
        <color theme="1"/>
        <rFont val="Calibri"/>
        <family val="2"/>
        <scheme val="minor"/>
      </rPr>
      <t>Bim</t>
    </r>
    <r>
      <rPr>
        <sz val="11"/>
        <color theme="1"/>
        <rFont val="Calibri"/>
        <family val="2"/>
        <scheme val="minor"/>
      </rPr>
      <t xml:space="preserve"> and </t>
    </r>
    <r>
      <rPr>
        <b/>
        <sz val="11"/>
        <color theme="1"/>
        <rFont val="Calibri"/>
        <family val="2"/>
        <scheme val="minor"/>
      </rPr>
      <t>Bid</t>
    </r>
    <r>
      <rPr>
        <sz val="11"/>
        <color theme="1"/>
        <rFont val="Calibri"/>
        <family val="2"/>
        <scheme val="minor"/>
      </rPr>
      <t xml:space="preserve">, two of the proapoptotic BH3-only proteins, are recognized as the most effective inducers of mitochondrial priming in </t>
    </r>
    <r>
      <rPr>
        <b/>
        <sz val="11"/>
        <color theme="1"/>
        <rFont val="Calibri"/>
        <family val="2"/>
        <scheme val="minor"/>
      </rPr>
      <t>OC</t>
    </r>
    <r>
      <rPr>
        <sz val="11"/>
        <color theme="1"/>
        <rFont val="Calibri"/>
        <family val="2"/>
        <scheme val="minor"/>
      </rPr>
      <t xml:space="preserve">. </t>
    </r>
    <r>
      <rPr>
        <b/>
        <sz val="11"/>
        <color theme="1"/>
        <rFont val="Calibri"/>
        <family val="2"/>
        <scheme val="minor"/>
      </rPr>
      <t>3)</t>
    </r>
    <r>
      <rPr>
        <sz val="11"/>
        <color theme="1"/>
        <rFont val="Calibri"/>
        <family val="2"/>
        <scheme val="minor"/>
      </rPr>
      <t xml:space="preserve"> Overexpression of truncated </t>
    </r>
    <r>
      <rPr>
        <b/>
        <sz val="11"/>
        <color theme="1"/>
        <rFont val="Calibri"/>
        <family val="2"/>
        <scheme val="minor"/>
      </rPr>
      <t xml:space="preserve">Bid </t>
    </r>
    <r>
      <rPr>
        <sz val="11"/>
        <color theme="1"/>
        <rFont val="Calibri"/>
        <family val="2"/>
        <scheme val="minor"/>
      </rPr>
      <t xml:space="preserve">from adenovirus (Ad-tBid), mito-primed cells displayed more sensitivity to </t>
    </r>
    <r>
      <rPr>
        <b/>
        <sz val="11"/>
        <color theme="1"/>
        <rFont val="Calibri"/>
        <family val="2"/>
        <scheme val="minor"/>
      </rPr>
      <t>cisplatin</t>
    </r>
    <r>
      <rPr>
        <sz val="11"/>
        <color theme="1"/>
        <rFont val="Calibri"/>
        <family val="2"/>
        <scheme val="minor"/>
      </rPr>
      <t xml:space="preserve"> both in vitro and ex vivo. </t>
    </r>
    <r>
      <rPr>
        <b/>
        <sz val="11"/>
        <color theme="1"/>
        <rFont val="Calibri"/>
        <family val="2"/>
        <scheme val="minor"/>
      </rPr>
      <t xml:space="preserve">4) </t>
    </r>
    <r>
      <rPr>
        <sz val="11"/>
        <color theme="1"/>
        <rFont val="Calibri"/>
        <family val="2"/>
        <scheme val="minor"/>
      </rPr>
      <t xml:space="preserve">a combined </t>
    </r>
    <r>
      <rPr>
        <b/>
        <sz val="11"/>
        <color theme="1"/>
        <rFont val="Calibri"/>
        <family val="2"/>
        <scheme val="minor"/>
      </rPr>
      <t>cisplatin</t>
    </r>
    <r>
      <rPr>
        <sz val="11"/>
        <color theme="1"/>
        <rFont val="Calibri"/>
        <family val="2"/>
        <scheme val="minor"/>
      </rPr>
      <t xml:space="preserve"> plus Ad-tBid therapy markedly inhibited tumor growth in a subcutaneous xenotransplanted tumor model. </t>
    </r>
  </si>
  <si>
    <r>
      <rPr>
        <b/>
        <sz val="11"/>
        <color theme="1"/>
        <rFont val="Calibri"/>
        <family val="2"/>
        <scheme val="minor"/>
      </rPr>
      <t>1)</t>
    </r>
    <r>
      <rPr>
        <sz val="11"/>
        <color theme="1"/>
        <rFont val="Calibri"/>
        <family val="2"/>
        <scheme val="minor"/>
      </rPr>
      <t xml:space="preserve"> KLF4 was induced by </t>
    </r>
    <r>
      <rPr>
        <b/>
        <sz val="11"/>
        <color theme="1"/>
        <rFont val="Calibri"/>
        <family val="2"/>
        <scheme val="minor"/>
      </rPr>
      <t>cisplatin</t>
    </r>
    <r>
      <rPr>
        <sz val="11"/>
        <color theme="1"/>
        <rFont val="Calibri"/>
        <family val="2"/>
        <scheme val="minor"/>
      </rPr>
      <t xml:space="preserve"> in </t>
    </r>
    <r>
      <rPr>
        <b/>
        <sz val="11"/>
        <color theme="1"/>
        <rFont val="Calibri"/>
        <family val="2"/>
        <scheme val="minor"/>
      </rPr>
      <t>prostate</t>
    </r>
    <r>
      <rPr>
        <sz val="11"/>
        <color theme="1"/>
        <rFont val="Calibri"/>
        <family val="2"/>
        <scheme val="minor"/>
      </rPr>
      <t xml:space="preserve"> cancer cells and that the increase in KLF4 promoted cell apoptosis. </t>
    </r>
    <r>
      <rPr>
        <b/>
        <sz val="11"/>
        <color theme="1"/>
        <rFont val="Calibri"/>
        <family val="2"/>
        <scheme val="minor"/>
      </rPr>
      <t>2)</t>
    </r>
    <r>
      <rPr>
        <sz val="11"/>
        <color theme="1"/>
        <rFont val="Calibri"/>
        <family val="2"/>
        <scheme val="minor"/>
      </rPr>
      <t xml:space="preserve"> </t>
    </r>
    <r>
      <rPr>
        <b/>
        <sz val="11"/>
        <color theme="1"/>
        <rFont val="Calibri"/>
        <family val="2"/>
        <scheme val="minor"/>
      </rPr>
      <t>KLF4</t>
    </r>
    <r>
      <rPr>
        <sz val="11"/>
        <color theme="1"/>
        <rFont val="Calibri"/>
        <family val="2"/>
        <scheme val="minor"/>
      </rPr>
      <t xml:space="preserve"> directly bound to the promoter of </t>
    </r>
    <r>
      <rPr>
        <b/>
        <sz val="11"/>
        <color theme="1"/>
        <rFont val="Calibri"/>
        <family val="2"/>
        <scheme val="minor"/>
      </rPr>
      <t>BIK</t>
    </r>
    <r>
      <rPr>
        <sz val="11"/>
        <color theme="1"/>
        <rFont val="Calibri"/>
        <family val="2"/>
        <scheme val="minor"/>
      </rPr>
      <t xml:space="preserve">, facilitating its transcription. </t>
    </r>
    <r>
      <rPr>
        <b/>
        <sz val="11"/>
        <color theme="1"/>
        <rFont val="Calibri"/>
        <family val="2"/>
        <scheme val="minor"/>
      </rPr>
      <t>3)</t>
    </r>
    <r>
      <rPr>
        <sz val="11"/>
        <color theme="1"/>
        <rFont val="Calibri"/>
        <family val="2"/>
        <scheme val="minor"/>
      </rPr>
      <t xml:space="preserve"> the gene encoding KLF4 was a direct target of miR-32-5p. The downregulation of miR-32-5p in response to </t>
    </r>
    <r>
      <rPr>
        <b/>
        <sz val="11"/>
        <color theme="1"/>
        <rFont val="Calibri"/>
        <family val="2"/>
        <scheme val="minor"/>
      </rPr>
      <t>cisplatin</t>
    </r>
    <r>
      <rPr>
        <sz val="11"/>
        <color theme="1"/>
        <rFont val="Calibri"/>
        <family val="2"/>
        <scheme val="minor"/>
      </rPr>
      <t xml:space="preserve"> treatment promoted KLF4 expression, which resulted in a increase in the chemosensitivity of prostate cancer.</t>
    </r>
  </si>
  <si>
    <r>
      <rPr>
        <b/>
        <sz val="11"/>
        <color theme="1"/>
        <rFont val="Calibri"/>
        <family val="2"/>
        <scheme val="minor"/>
      </rPr>
      <t>1) BIN1</t>
    </r>
    <r>
      <rPr>
        <sz val="11"/>
        <color theme="1"/>
        <rFont val="Calibri"/>
        <family val="2"/>
        <scheme val="minor"/>
      </rPr>
      <t xml:space="preserve"> overexpression enhances sensitivity to cisplatin, regardless of the status of TP53; knockdown of BIN1 confers cisplatin resistance. </t>
    </r>
    <r>
      <rPr>
        <b/>
        <sz val="11"/>
        <color theme="1"/>
        <rFont val="Calibri"/>
        <family val="2"/>
        <scheme val="minor"/>
      </rPr>
      <t xml:space="preserve">2) </t>
    </r>
    <r>
      <rPr>
        <sz val="11"/>
        <color theme="1"/>
        <rFont val="Calibri"/>
        <family val="2"/>
        <scheme val="minor"/>
      </rPr>
      <t xml:space="preserve">Inhibition of </t>
    </r>
    <r>
      <rPr>
        <b/>
        <sz val="11"/>
        <color theme="1"/>
        <rFont val="Calibri"/>
        <family val="2"/>
        <scheme val="minor"/>
      </rPr>
      <t>c-MYC</t>
    </r>
    <r>
      <rPr>
        <sz val="11"/>
        <color theme="1"/>
        <rFont val="Calibri"/>
        <family val="2"/>
        <scheme val="minor"/>
      </rPr>
      <t xml:space="preserve"> by BIN1 constitutes a mechanism whereby BIN1 increases </t>
    </r>
    <r>
      <rPr>
        <b/>
        <sz val="11"/>
        <color theme="1"/>
        <rFont val="Calibri"/>
        <family val="2"/>
        <scheme val="minor"/>
      </rPr>
      <t xml:space="preserve">cisplatin </t>
    </r>
    <r>
      <rPr>
        <sz val="11"/>
        <color theme="1"/>
        <rFont val="Calibri"/>
        <family val="2"/>
        <scheme val="minor"/>
      </rPr>
      <t xml:space="preserve">sensitivity; </t>
    </r>
    <r>
      <rPr>
        <b/>
        <sz val="11"/>
        <color theme="1"/>
        <rFont val="Calibri"/>
        <family val="2"/>
        <scheme val="minor"/>
      </rPr>
      <t>c-MYC</t>
    </r>
    <r>
      <rPr>
        <sz val="11"/>
        <color theme="1"/>
        <rFont val="Calibri"/>
        <family val="2"/>
        <scheme val="minor"/>
      </rPr>
      <t xml:space="preserve"> also bind and sequest </t>
    </r>
    <r>
      <rPr>
        <b/>
        <sz val="11"/>
        <color theme="1"/>
        <rFont val="Calibri"/>
        <family val="2"/>
        <scheme val="minor"/>
      </rPr>
      <t>BIN1</t>
    </r>
    <r>
      <rPr>
        <sz val="11"/>
        <color theme="1"/>
        <rFont val="Calibri"/>
        <family val="2"/>
        <scheme val="minor"/>
      </rPr>
      <t>. </t>
    </r>
    <r>
      <rPr>
        <b/>
        <sz val="11"/>
        <color theme="1"/>
        <rFont val="Calibri"/>
        <family val="2"/>
        <scheme val="minor"/>
      </rPr>
      <t>3)</t>
    </r>
    <r>
      <rPr>
        <sz val="11"/>
        <color theme="1"/>
        <rFont val="Calibri"/>
        <family val="2"/>
        <scheme val="minor"/>
      </rPr>
      <t xml:space="preserve"> </t>
    </r>
    <r>
      <rPr>
        <b/>
        <sz val="11"/>
        <color theme="1"/>
        <rFont val="Calibri"/>
        <family val="2"/>
        <scheme val="minor"/>
      </rPr>
      <t>BIN1</t>
    </r>
    <r>
      <rPr>
        <sz val="11"/>
        <color theme="1"/>
        <rFont val="Calibri"/>
        <family val="2"/>
        <scheme val="minor"/>
      </rPr>
      <t xml:space="preserve"> bound to the automodification domain of and suppressed the catalytic activity of </t>
    </r>
    <r>
      <rPr>
        <b/>
        <sz val="11"/>
        <color theme="1"/>
        <rFont val="Calibri"/>
        <family val="2"/>
        <scheme val="minor"/>
      </rPr>
      <t>PARP1</t>
    </r>
    <r>
      <rPr>
        <sz val="11"/>
        <color theme="1"/>
        <rFont val="Calibri"/>
        <family val="2"/>
        <scheme val="minor"/>
      </rPr>
      <t>;</t>
    </r>
    <r>
      <rPr>
        <b/>
        <sz val="11"/>
        <color theme="1"/>
        <rFont val="Calibri"/>
        <family val="2"/>
        <scheme val="minor"/>
      </rPr>
      <t xml:space="preserve"> PARP1 </t>
    </r>
    <r>
      <rPr>
        <sz val="11"/>
        <color theme="1"/>
        <rFont val="Calibri"/>
        <family val="2"/>
        <scheme val="minor"/>
      </rPr>
      <t xml:space="preserve">also suppresses </t>
    </r>
    <r>
      <rPr>
        <b/>
        <sz val="11"/>
        <color theme="1"/>
        <rFont val="Calibri"/>
        <family val="2"/>
        <scheme val="minor"/>
      </rPr>
      <t xml:space="preserve">BIN1 </t>
    </r>
    <r>
      <rPr>
        <sz val="11"/>
        <color theme="1"/>
        <rFont val="Calibri"/>
        <family val="2"/>
        <scheme val="minor"/>
      </rPr>
      <t xml:space="preserve">activity. </t>
    </r>
    <r>
      <rPr>
        <b/>
        <sz val="11"/>
        <color theme="1"/>
        <rFont val="Calibri"/>
        <family val="2"/>
        <scheme val="minor"/>
      </rPr>
      <t xml:space="preserve">3) </t>
    </r>
    <r>
      <rPr>
        <sz val="11"/>
        <color theme="1"/>
        <rFont val="Calibri"/>
        <family val="2"/>
        <scheme val="minor"/>
      </rPr>
      <t xml:space="preserve">overexpressed </t>
    </r>
    <r>
      <rPr>
        <b/>
        <sz val="11"/>
        <color theme="1"/>
        <rFont val="Calibri"/>
        <family val="2"/>
        <scheme val="minor"/>
      </rPr>
      <t>c-MYC</t>
    </r>
    <r>
      <rPr>
        <sz val="11"/>
        <color theme="1"/>
        <rFont val="Calibri"/>
        <family val="2"/>
        <scheme val="minor"/>
      </rPr>
      <t xml:space="preserve"> repressed </t>
    </r>
    <r>
      <rPr>
        <b/>
        <sz val="11"/>
        <color theme="1"/>
        <rFont val="Calibri"/>
        <family val="2"/>
        <scheme val="minor"/>
      </rPr>
      <t>BIN1</t>
    </r>
    <r>
      <rPr>
        <sz val="11"/>
        <color theme="1"/>
        <rFont val="Calibri"/>
        <family val="2"/>
        <scheme val="minor"/>
      </rPr>
      <t xml:space="preserve"> expression  thereby released </t>
    </r>
    <r>
      <rPr>
        <b/>
        <sz val="11"/>
        <color theme="1"/>
        <rFont val="Calibri"/>
        <family val="2"/>
        <scheme val="minor"/>
      </rPr>
      <t>PARP1</t>
    </r>
    <r>
      <rPr>
        <sz val="11"/>
        <color theme="1"/>
        <rFont val="Calibri"/>
        <family val="2"/>
        <scheme val="minor"/>
      </rPr>
      <t xml:space="preserve"> activity, which results in increased DNA repair activity and allows cancer cells to acquire </t>
    </r>
    <r>
      <rPr>
        <b/>
        <sz val="11"/>
        <color theme="1"/>
        <rFont val="Calibri"/>
        <family val="2"/>
        <scheme val="minor"/>
      </rPr>
      <t>cisplatin</t>
    </r>
    <r>
      <rPr>
        <sz val="11"/>
        <color theme="1"/>
        <rFont val="Calibri"/>
        <family val="2"/>
        <scheme val="minor"/>
      </rPr>
      <t xml:space="preserve"> resistance. </t>
    </r>
    <r>
      <rPr>
        <b/>
        <sz val="11"/>
        <color theme="1"/>
        <rFont val="Calibri"/>
        <family val="2"/>
        <scheme val="minor"/>
      </rPr>
      <t>4) BIN1</t>
    </r>
    <r>
      <rPr>
        <sz val="11"/>
        <color theme="1"/>
        <rFont val="Calibri"/>
        <family val="2"/>
        <scheme val="minor"/>
      </rPr>
      <t xml:space="preserve"> prevented </t>
    </r>
    <r>
      <rPr>
        <b/>
        <sz val="11"/>
        <color theme="1"/>
        <rFont val="Calibri"/>
        <family val="2"/>
        <scheme val="minor"/>
      </rPr>
      <t>E2F1</t>
    </r>
    <r>
      <rPr>
        <sz val="11"/>
        <color theme="1"/>
        <rFont val="Calibri"/>
        <family val="2"/>
        <scheme val="minor"/>
      </rPr>
      <t xml:space="preserve"> from transcriptionally activating the human </t>
    </r>
    <r>
      <rPr>
        <b/>
        <sz val="11"/>
        <color theme="1"/>
        <rFont val="Calibri"/>
        <family val="2"/>
        <scheme val="minor"/>
      </rPr>
      <t>ATM</t>
    </r>
    <r>
      <rPr>
        <sz val="11"/>
        <color theme="1"/>
        <rFont val="Calibri"/>
        <family val="2"/>
        <scheme val="minor"/>
      </rPr>
      <t xml:space="preserve"> promoter.  </t>
    </r>
  </si>
  <si>
    <r>
      <rPr>
        <b/>
        <sz val="11"/>
        <color theme="1"/>
        <rFont val="Calibri"/>
        <family val="2"/>
        <scheme val="minor"/>
      </rPr>
      <t xml:space="preserve">1) </t>
    </r>
    <r>
      <rPr>
        <sz val="11"/>
        <color theme="1"/>
        <rFont val="Calibri"/>
        <family val="2"/>
        <scheme val="minor"/>
      </rPr>
      <t xml:space="preserve">Genetic and pharmacological inhibition of XIAP, </t>
    </r>
    <r>
      <rPr>
        <b/>
        <sz val="11"/>
        <color theme="1"/>
        <rFont val="Calibri"/>
        <family val="2"/>
        <scheme val="minor"/>
      </rPr>
      <t>BIRC2</t>
    </r>
    <r>
      <rPr>
        <sz val="11"/>
        <color theme="1"/>
        <rFont val="Calibri"/>
        <family val="2"/>
        <scheme val="minor"/>
      </rPr>
      <t xml:space="preserve">, and BIRC3 is sufficient to restore </t>
    </r>
    <r>
      <rPr>
        <b/>
        <sz val="11"/>
        <color theme="1"/>
        <rFont val="Calibri"/>
        <family val="2"/>
        <scheme val="minor"/>
      </rPr>
      <t>cisplatin</t>
    </r>
    <r>
      <rPr>
        <sz val="11"/>
        <color theme="1"/>
        <rFont val="Calibri"/>
        <family val="2"/>
        <scheme val="minor"/>
      </rPr>
      <t xml:space="preserve">-induced apoptosis in </t>
    </r>
    <r>
      <rPr>
        <b/>
        <sz val="11"/>
        <color theme="1"/>
        <rFont val="Calibri"/>
        <family val="2"/>
        <scheme val="minor"/>
      </rPr>
      <t>ovarian</t>
    </r>
    <r>
      <rPr>
        <sz val="11"/>
        <color theme="1"/>
        <rFont val="Calibri"/>
        <family val="2"/>
        <scheme val="minor"/>
      </rPr>
      <t xml:space="preserve"> cancer cells in the presence of COL11A1 in </t>
    </r>
    <r>
      <rPr>
        <b/>
        <sz val="11"/>
        <color theme="1"/>
        <rFont val="Calibri"/>
        <family val="2"/>
        <scheme val="minor"/>
      </rPr>
      <t>ovarian</t>
    </r>
    <r>
      <rPr>
        <sz val="11"/>
        <color theme="1"/>
        <rFont val="Calibri"/>
        <family val="2"/>
        <scheme val="minor"/>
      </rPr>
      <t xml:space="preserve"> cancer cells and xenograft mouse models, respectively. </t>
    </r>
    <r>
      <rPr>
        <b/>
        <sz val="11"/>
        <color theme="1"/>
        <rFont val="Calibri"/>
        <family val="2"/>
        <scheme val="minor"/>
      </rPr>
      <t xml:space="preserve">2) </t>
    </r>
    <r>
      <rPr>
        <sz val="11"/>
        <color theme="1"/>
        <rFont val="Calibri"/>
        <family val="2"/>
        <scheme val="minor"/>
      </rPr>
      <t xml:space="preserve">AT-406, which induces </t>
    </r>
    <r>
      <rPr>
        <b/>
        <sz val="11"/>
        <color theme="1"/>
        <rFont val="Calibri"/>
        <family val="2"/>
        <scheme val="minor"/>
      </rPr>
      <t>cIAP1</t>
    </r>
    <r>
      <rPr>
        <sz val="11"/>
        <color theme="1"/>
        <rFont val="Calibri"/>
        <family val="2"/>
        <scheme val="minor"/>
      </rPr>
      <t xml:space="preserve"> degradation, enhances the </t>
    </r>
    <r>
      <rPr>
        <b/>
        <sz val="11"/>
        <color theme="1"/>
        <rFont val="Calibri"/>
        <family val="2"/>
        <scheme val="minor"/>
      </rPr>
      <t>carboplatin</t>
    </r>
    <r>
      <rPr>
        <sz val="11"/>
        <color theme="1"/>
        <rFont val="Calibri"/>
        <family val="2"/>
        <scheme val="minor"/>
      </rPr>
      <t xml:space="preserve">-induced ovarian cancer cell death and increases survival of the experimental mice. </t>
    </r>
    <r>
      <rPr>
        <b/>
        <sz val="11"/>
        <color theme="1"/>
        <rFont val="Calibri"/>
        <family val="2"/>
        <scheme val="minor"/>
      </rPr>
      <t xml:space="preserve">4) </t>
    </r>
    <r>
      <rPr>
        <sz val="11"/>
        <color theme="1"/>
        <rFont val="Calibri"/>
        <family val="2"/>
        <scheme val="minor"/>
      </rPr>
      <t xml:space="preserve">High levels of </t>
    </r>
    <r>
      <rPr>
        <b/>
        <sz val="11"/>
        <color theme="1"/>
        <rFont val="Calibri"/>
        <family val="2"/>
        <scheme val="minor"/>
      </rPr>
      <t>cIAP1</t>
    </r>
    <r>
      <rPr>
        <sz val="11"/>
        <color theme="1"/>
        <rFont val="Calibri"/>
        <family val="2"/>
        <scheme val="minor"/>
      </rPr>
      <t xml:space="preserve"> and 2 were detected in up to 50% of high-grade serous and non-high-grade serous </t>
    </r>
    <r>
      <rPr>
        <b/>
        <sz val="11"/>
        <color theme="1"/>
        <rFont val="Calibri"/>
        <family val="2"/>
        <scheme val="minor"/>
      </rPr>
      <t>platinum</t>
    </r>
    <r>
      <rPr>
        <sz val="11"/>
        <color theme="1"/>
        <rFont val="Calibri"/>
        <family val="2"/>
        <scheme val="minor"/>
      </rPr>
      <t>-resistant carcinomas.</t>
    </r>
    <r>
      <rPr>
        <b/>
        <sz val="11"/>
        <color theme="1"/>
        <rFont val="Calibri"/>
        <family val="2"/>
        <scheme val="minor"/>
      </rPr>
      <t xml:space="preserve"> 5)</t>
    </r>
    <r>
      <rPr>
        <sz val="11"/>
        <color theme="1"/>
        <rFont val="Calibri"/>
        <family val="2"/>
        <scheme val="minor"/>
      </rPr>
      <t xml:space="preserve"> </t>
    </r>
    <r>
      <rPr>
        <b/>
        <sz val="11"/>
        <color theme="1"/>
        <rFont val="Calibri"/>
        <family val="2"/>
        <scheme val="minor"/>
      </rPr>
      <t>cIAP</t>
    </r>
    <r>
      <rPr>
        <sz val="11"/>
        <color theme="1"/>
        <rFont val="Calibri"/>
        <family val="2"/>
        <scheme val="minor"/>
      </rPr>
      <t xml:space="preserve"> proteins are effectively degraded with the drug </t>
    </r>
    <r>
      <rPr>
        <b/>
        <sz val="11"/>
        <color theme="1"/>
        <rFont val="Calibri"/>
        <family val="2"/>
        <scheme val="minor"/>
      </rPr>
      <t>birinapant</t>
    </r>
    <r>
      <rPr>
        <sz val="11"/>
        <color theme="1"/>
        <rFont val="Calibri"/>
        <family val="2"/>
        <scheme val="minor"/>
      </rPr>
      <t xml:space="preserve">. In platinum-resistant tumors with ≥22.4 ng of cIAP per 20 μg of tumor lysate, the combination of birinapant with carboplatin was effective in eliminating the cancer. </t>
    </r>
  </si>
  <si>
    <r>
      <rPr>
        <b/>
        <sz val="11"/>
        <color theme="1"/>
        <rFont val="Calibri"/>
        <family val="2"/>
        <scheme val="minor"/>
      </rPr>
      <t>1)</t>
    </r>
    <r>
      <rPr>
        <sz val="11"/>
        <color theme="1"/>
        <rFont val="Calibri"/>
        <family val="2"/>
        <scheme val="minor"/>
      </rPr>
      <t xml:space="preserve"> Genetic and pharmacological inhibition of XIAP, BIRC2, and </t>
    </r>
    <r>
      <rPr>
        <b/>
        <sz val="11"/>
        <color theme="1"/>
        <rFont val="Calibri"/>
        <family val="2"/>
        <scheme val="minor"/>
      </rPr>
      <t>BIRC3</t>
    </r>
    <r>
      <rPr>
        <sz val="11"/>
        <color theme="1"/>
        <rFont val="Calibri"/>
        <family val="2"/>
        <scheme val="minor"/>
      </rPr>
      <t xml:space="preserve"> is sufficient to restore </t>
    </r>
    <r>
      <rPr>
        <b/>
        <sz val="11"/>
        <color theme="1"/>
        <rFont val="Calibri"/>
        <family val="2"/>
        <scheme val="minor"/>
      </rPr>
      <t>cisplatin</t>
    </r>
    <r>
      <rPr>
        <sz val="11"/>
        <color theme="1"/>
        <rFont val="Calibri"/>
        <family val="2"/>
        <scheme val="minor"/>
      </rPr>
      <t>-induced apoptosis in</t>
    </r>
    <r>
      <rPr>
        <b/>
        <sz val="11"/>
        <color theme="1"/>
        <rFont val="Calibri"/>
        <family val="2"/>
        <scheme val="minor"/>
      </rPr>
      <t xml:space="preserve"> ovarian</t>
    </r>
    <r>
      <rPr>
        <sz val="11"/>
        <color theme="1"/>
        <rFont val="Calibri"/>
        <family val="2"/>
        <scheme val="minor"/>
      </rPr>
      <t xml:space="preserve"> cancer cells in the presence of COL11A1 in ovarian cancer cells and xenograft mouse models, respectively. </t>
    </r>
    <r>
      <rPr>
        <b/>
        <sz val="11"/>
        <color theme="1"/>
        <rFont val="Calibri"/>
        <family val="2"/>
        <scheme val="minor"/>
      </rPr>
      <t>2)</t>
    </r>
    <r>
      <rPr>
        <sz val="11"/>
        <color theme="1"/>
        <rFont val="Calibri"/>
        <family val="2"/>
        <scheme val="minor"/>
      </rPr>
      <t xml:space="preserve"> the components of COL11A1- integrin α1β1/DDR2- Src-PI3K/Akt-NF-kB-</t>
    </r>
    <r>
      <rPr>
        <b/>
        <sz val="11"/>
        <color theme="1"/>
        <rFont val="Calibri"/>
        <family val="2"/>
        <scheme val="minor"/>
      </rPr>
      <t>IAP</t>
    </r>
    <r>
      <rPr>
        <sz val="11"/>
        <color theme="1"/>
        <rFont val="Calibri"/>
        <family val="2"/>
        <scheme val="minor"/>
      </rPr>
      <t xml:space="preserve"> signaling pathway serve as poor prognosis markers in ovarian cancer patients. </t>
    </r>
    <r>
      <rPr>
        <b/>
        <sz val="11"/>
        <color theme="1"/>
        <rFont val="Calibri"/>
        <family val="2"/>
        <scheme val="minor"/>
      </rPr>
      <t xml:space="preserve">3) </t>
    </r>
    <r>
      <rPr>
        <sz val="11"/>
        <color theme="1"/>
        <rFont val="Calibri"/>
        <family val="2"/>
        <scheme val="minor"/>
      </rPr>
      <t xml:space="preserve">In vitro, (5Z)-7-oxozeaenol significantly reduced </t>
    </r>
    <r>
      <rPr>
        <b/>
        <sz val="11"/>
        <color theme="1"/>
        <rFont val="Calibri"/>
        <family val="2"/>
        <scheme val="minor"/>
      </rPr>
      <t>BIRC3</t>
    </r>
    <r>
      <rPr>
        <sz val="11"/>
        <color theme="1"/>
        <rFont val="Calibri"/>
        <family val="2"/>
        <scheme val="minor"/>
      </rPr>
      <t xml:space="preserve"> expression in FLO-1 and KYAE-1 cells. Exposure to chemotherapeutic agents or radiotherapy plus (5Z)-7-oxozeaenol resulted in a strong synergistic antiapoptotic effect. </t>
    </r>
    <r>
      <rPr>
        <b/>
        <sz val="11"/>
        <color theme="1"/>
        <rFont val="Calibri"/>
        <family val="2"/>
        <scheme val="minor"/>
      </rPr>
      <t>4)</t>
    </r>
    <r>
      <rPr>
        <sz val="11"/>
        <color theme="1"/>
        <rFont val="Calibri"/>
        <family val="2"/>
        <scheme val="minor"/>
      </rPr>
      <t xml:space="preserve"> In </t>
    </r>
    <r>
      <rPr>
        <b/>
        <sz val="11"/>
        <color theme="1"/>
        <rFont val="Calibri"/>
        <family val="2"/>
        <scheme val="minor"/>
      </rPr>
      <t>oesophageal</t>
    </r>
    <r>
      <rPr>
        <sz val="11"/>
        <color theme="1"/>
        <rFont val="Calibri"/>
        <family val="2"/>
        <scheme val="minor"/>
      </rPr>
      <t xml:space="preserve"> cancer patients, median expression of </t>
    </r>
    <r>
      <rPr>
        <b/>
        <sz val="11"/>
        <color theme="1"/>
        <rFont val="Calibri"/>
        <family val="2"/>
        <scheme val="minor"/>
      </rPr>
      <t>BIRC3</t>
    </r>
    <r>
      <rPr>
        <sz val="11"/>
        <color theme="1"/>
        <rFont val="Calibri"/>
        <family val="2"/>
        <scheme val="minor"/>
      </rPr>
      <t xml:space="preserve"> was significantly (P&lt;0.0001) higher in adenocarcinoma than in the more sensitive squamous cell carcinoma subtype. </t>
    </r>
    <r>
      <rPr>
        <b/>
        <sz val="11"/>
        <color theme="1"/>
        <rFont val="Calibri"/>
        <family val="2"/>
        <scheme val="minor"/>
      </rPr>
      <t xml:space="preserve">5) </t>
    </r>
    <r>
      <rPr>
        <sz val="11"/>
        <color theme="1"/>
        <rFont val="Calibri"/>
        <family val="2"/>
        <scheme val="minor"/>
      </rPr>
      <t xml:space="preserve">The </t>
    </r>
    <r>
      <rPr>
        <b/>
        <sz val="11"/>
        <color theme="1"/>
        <rFont val="Calibri"/>
        <family val="2"/>
        <scheme val="minor"/>
      </rPr>
      <t>BIRC3</t>
    </r>
    <r>
      <rPr>
        <sz val="11"/>
        <color theme="1"/>
        <rFont val="Calibri"/>
        <family val="2"/>
        <scheme val="minor"/>
      </rPr>
      <t xml:space="preserve"> expression significantly discriminated patients with sensitive or resistant adenocarcinoma against docetaxel, </t>
    </r>
    <r>
      <rPr>
        <b/>
        <sz val="11"/>
        <color theme="1"/>
        <rFont val="Calibri"/>
        <family val="2"/>
        <scheme val="minor"/>
      </rPr>
      <t>cisplatin</t>
    </r>
    <r>
      <rPr>
        <sz val="11"/>
        <color theme="1"/>
        <rFont val="Calibri"/>
        <family val="2"/>
        <scheme val="minor"/>
      </rPr>
      <t xml:space="preserve">, 5-fluorouracil, and concurrent radiotherapy. </t>
    </r>
  </si>
  <si>
    <r>
      <rPr>
        <b/>
        <sz val="11"/>
        <color theme="1"/>
        <rFont val="Calibri"/>
        <family val="2"/>
        <scheme val="minor"/>
      </rPr>
      <t xml:space="preserve">1) </t>
    </r>
    <r>
      <rPr>
        <sz val="11"/>
        <color theme="1"/>
        <rFont val="Calibri"/>
        <family val="2"/>
        <scheme val="minor"/>
      </rPr>
      <t xml:space="preserve">knockdown of </t>
    </r>
    <r>
      <rPr>
        <b/>
        <sz val="11"/>
        <color theme="1"/>
        <rFont val="Calibri"/>
        <family val="2"/>
        <scheme val="minor"/>
      </rPr>
      <t>SVV</t>
    </r>
    <r>
      <rPr>
        <sz val="11"/>
        <color theme="1"/>
        <rFont val="Calibri"/>
        <family val="2"/>
        <scheme val="minor"/>
      </rPr>
      <t xml:space="preserve"> enhanced </t>
    </r>
    <r>
      <rPr>
        <b/>
        <sz val="11"/>
        <color theme="1"/>
        <rFont val="Calibri"/>
        <family val="2"/>
        <scheme val="minor"/>
      </rPr>
      <t>cisplatin</t>
    </r>
    <r>
      <rPr>
        <sz val="11"/>
        <color theme="1"/>
        <rFont val="Calibri"/>
        <family val="2"/>
        <scheme val="minor"/>
      </rPr>
      <t xml:space="preserve">-induced cell apoptosis and inhibited the invasive potential in </t>
    </r>
    <r>
      <rPr>
        <b/>
        <sz val="11"/>
        <color theme="1"/>
        <rFont val="Calibri"/>
        <family val="2"/>
        <scheme val="minor"/>
      </rPr>
      <t>ovarian</t>
    </r>
    <r>
      <rPr>
        <sz val="11"/>
        <color theme="1"/>
        <rFont val="Calibri"/>
        <family val="2"/>
        <scheme val="minor"/>
      </rPr>
      <t xml:space="preserve"> cancer A2780/CP cells. </t>
    </r>
    <r>
      <rPr>
        <b/>
        <sz val="11"/>
        <color theme="1"/>
        <rFont val="Calibri"/>
        <family val="2"/>
        <scheme val="minor"/>
      </rPr>
      <t>2)</t>
    </r>
    <r>
      <rPr>
        <sz val="11"/>
        <color theme="1"/>
        <rFont val="Calibri"/>
        <family val="2"/>
        <scheme val="minor"/>
      </rPr>
      <t xml:space="preserve"> </t>
    </r>
    <r>
      <rPr>
        <b/>
        <sz val="11"/>
        <color theme="1"/>
        <rFont val="Calibri"/>
        <family val="2"/>
        <scheme val="minor"/>
      </rPr>
      <t>CDDP</t>
    </r>
    <r>
      <rPr>
        <sz val="11"/>
        <color theme="1"/>
        <rFont val="Calibri"/>
        <family val="2"/>
        <scheme val="minor"/>
      </rPr>
      <t xml:space="preserve"> induced </t>
    </r>
    <r>
      <rPr>
        <b/>
        <sz val="11"/>
        <color theme="1"/>
        <rFont val="Calibri"/>
        <family val="2"/>
        <scheme val="minor"/>
      </rPr>
      <t>survivin</t>
    </r>
    <r>
      <rPr>
        <sz val="11"/>
        <color theme="1"/>
        <rFont val="Calibri"/>
        <family val="2"/>
        <scheme val="minor"/>
      </rPr>
      <t xml:space="preserve"> expression, which was blocked by siRNA in </t>
    </r>
    <r>
      <rPr>
        <b/>
        <sz val="11"/>
        <color theme="1"/>
        <rFont val="Calibri"/>
        <family val="2"/>
        <scheme val="minor"/>
      </rPr>
      <t>rat hepatoma</t>
    </r>
    <r>
      <rPr>
        <sz val="11"/>
        <color theme="1"/>
        <rFont val="Calibri"/>
        <family val="2"/>
        <scheme val="minor"/>
      </rPr>
      <t xml:space="preserve"> cell line K-251. </t>
    </r>
    <r>
      <rPr>
        <b/>
        <sz val="11"/>
        <color theme="1"/>
        <rFont val="Calibri"/>
        <family val="2"/>
        <scheme val="minor"/>
      </rPr>
      <t xml:space="preserve">3) </t>
    </r>
    <r>
      <rPr>
        <sz val="11"/>
        <color theme="1"/>
        <rFont val="Calibri"/>
        <family val="2"/>
        <scheme val="minor"/>
      </rPr>
      <t xml:space="preserve">PI3K inhibitor LY294002 also attenuated </t>
    </r>
    <r>
      <rPr>
        <b/>
        <sz val="11"/>
        <color theme="1"/>
        <rFont val="Calibri"/>
        <family val="2"/>
        <scheme val="minor"/>
      </rPr>
      <t>survivin</t>
    </r>
    <r>
      <rPr>
        <sz val="11"/>
        <color theme="1"/>
        <rFont val="Calibri"/>
        <family val="2"/>
        <scheme val="minor"/>
      </rPr>
      <t xml:space="preserve"> expression induced by </t>
    </r>
    <r>
      <rPr>
        <b/>
        <sz val="11"/>
        <color theme="1"/>
        <rFont val="Calibri"/>
        <family val="2"/>
        <scheme val="minor"/>
      </rPr>
      <t>CDDP</t>
    </r>
    <r>
      <rPr>
        <sz val="11"/>
        <color theme="1"/>
        <rFont val="Calibri"/>
        <family val="2"/>
        <scheme val="minor"/>
      </rPr>
      <t xml:space="preserve">. </t>
    </r>
    <r>
      <rPr>
        <b/>
        <sz val="11"/>
        <color theme="1"/>
        <rFont val="Calibri"/>
        <family val="2"/>
        <scheme val="minor"/>
      </rPr>
      <t xml:space="preserve">4) </t>
    </r>
    <r>
      <rPr>
        <sz val="11"/>
        <color theme="1"/>
        <rFont val="Calibri"/>
        <family val="2"/>
        <scheme val="minor"/>
      </rPr>
      <t xml:space="preserve">Of 1,065 </t>
    </r>
    <r>
      <rPr>
        <b/>
        <sz val="11"/>
        <color theme="1"/>
        <rFont val="Calibri"/>
        <family val="2"/>
        <scheme val="minor"/>
      </rPr>
      <t>gastric</t>
    </r>
    <r>
      <rPr>
        <sz val="11"/>
        <color theme="1"/>
        <rFont val="Calibri"/>
        <family val="2"/>
        <scheme val="minor"/>
      </rPr>
      <t xml:space="preserve"> carcinoma samples, higher expression of </t>
    </r>
    <r>
      <rPr>
        <b/>
        <sz val="11"/>
        <color theme="1"/>
        <rFont val="Calibri"/>
        <family val="2"/>
        <scheme val="minor"/>
      </rPr>
      <t xml:space="preserve">BIRC5 </t>
    </r>
    <r>
      <rPr>
        <sz val="11"/>
        <color theme="1"/>
        <rFont val="Calibri"/>
        <family val="2"/>
        <scheme val="minor"/>
      </rPr>
      <t xml:space="preserve">were predictive for poor OS. </t>
    </r>
    <r>
      <rPr>
        <b/>
        <sz val="11"/>
        <color theme="1"/>
        <rFont val="Calibri"/>
        <family val="2"/>
        <scheme val="minor"/>
      </rPr>
      <t>6)</t>
    </r>
    <r>
      <rPr>
        <sz val="11"/>
        <color theme="1"/>
        <rFont val="Calibri"/>
        <family val="2"/>
        <scheme val="minor"/>
      </rPr>
      <t xml:space="preserve"> Positive </t>
    </r>
    <r>
      <rPr>
        <b/>
        <sz val="11"/>
        <color theme="1"/>
        <rFont val="Calibri"/>
        <family val="2"/>
        <scheme val="minor"/>
      </rPr>
      <t>survivin</t>
    </r>
    <r>
      <rPr>
        <sz val="11"/>
        <color theme="1"/>
        <rFont val="Calibri"/>
        <family val="2"/>
        <scheme val="minor"/>
      </rPr>
      <t xml:space="preserve"> expression was also associated with </t>
    </r>
    <r>
      <rPr>
        <b/>
        <sz val="11"/>
        <color theme="1"/>
        <rFont val="Calibri"/>
        <family val="2"/>
        <scheme val="minor"/>
      </rPr>
      <t>platinum</t>
    </r>
    <r>
      <rPr>
        <sz val="11"/>
        <color theme="1"/>
        <rFont val="Calibri"/>
        <family val="2"/>
        <scheme val="minor"/>
      </rPr>
      <t xml:space="preserve"> resistance in </t>
    </r>
    <r>
      <rPr>
        <b/>
        <sz val="11"/>
        <color theme="1"/>
        <rFont val="Calibri"/>
        <family val="2"/>
        <scheme val="minor"/>
      </rPr>
      <t>EOC</t>
    </r>
    <r>
      <rPr>
        <sz val="11"/>
        <color theme="1"/>
        <rFont val="Calibri"/>
        <family val="2"/>
        <scheme val="minor"/>
      </rPr>
      <t xml:space="preserve"> patients. </t>
    </r>
    <r>
      <rPr>
        <b/>
        <sz val="11"/>
        <color theme="1"/>
        <rFont val="Calibri"/>
        <family val="2"/>
        <scheme val="minor"/>
      </rPr>
      <t>7)</t>
    </r>
    <r>
      <rPr>
        <sz val="11"/>
        <color theme="1"/>
        <rFont val="Calibri"/>
        <family val="2"/>
        <scheme val="minor"/>
      </rPr>
      <t xml:space="preserve"> Fourteen patients with advanced </t>
    </r>
    <r>
      <rPr>
        <b/>
        <sz val="11"/>
        <color theme="1"/>
        <rFont val="Calibri"/>
        <family val="2"/>
        <scheme val="minor"/>
      </rPr>
      <t>esophageal</t>
    </r>
    <r>
      <rPr>
        <sz val="11"/>
        <color theme="1"/>
        <rFont val="Calibri"/>
        <family val="2"/>
        <scheme val="minor"/>
      </rPr>
      <t xml:space="preserve"> cancer had received </t>
    </r>
    <r>
      <rPr>
        <b/>
        <sz val="11"/>
        <color theme="1"/>
        <rFont val="Calibri"/>
        <family val="2"/>
        <scheme val="minor"/>
      </rPr>
      <t>platinum</t>
    </r>
    <r>
      <rPr>
        <sz val="11"/>
        <color theme="1"/>
        <rFont val="Calibri"/>
        <family val="2"/>
        <scheme val="minor"/>
      </rPr>
      <t xml:space="preserve">-based chemotherapy prior to surgery. The </t>
    </r>
    <r>
      <rPr>
        <b/>
        <sz val="11"/>
        <color theme="1"/>
        <rFont val="Calibri"/>
        <family val="2"/>
        <scheme val="minor"/>
      </rPr>
      <t>survivin</t>
    </r>
    <r>
      <rPr>
        <sz val="11"/>
        <color theme="1"/>
        <rFont val="Calibri"/>
        <family val="2"/>
        <scheme val="minor"/>
      </rPr>
      <t xml:space="preserve"> expression in the cancer tissue in patients who achieved a partial response (PR) was significantly lower than that in patients with no change (NC) and in patients with progressive disease. </t>
    </r>
  </si>
  <si>
    <r>
      <rPr>
        <b/>
        <sz val="11"/>
        <color theme="1"/>
        <rFont val="Calibri"/>
        <family val="2"/>
        <scheme val="minor"/>
      </rPr>
      <t xml:space="preserve">1) </t>
    </r>
    <r>
      <rPr>
        <sz val="11"/>
        <color theme="1"/>
        <rFont val="Calibri"/>
        <family val="2"/>
        <scheme val="minor"/>
      </rPr>
      <t xml:space="preserve">in four </t>
    </r>
    <r>
      <rPr>
        <b/>
        <sz val="11"/>
        <color theme="1"/>
        <rFont val="Calibri"/>
        <family val="2"/>
        <scheme val="minor"/>
      </rPr>
      <t>colon</t>
    </r>
    <r>
      <rPr>
        <sz val="11"/>
        <color theme="1"/>
        <rFont val="Calibri"/>
        <family val="2"/>
        <scheme val="minor"/>
      </rPr>
      <t xml:space="preserve"> cancer cell lines (HCT116, RKO, KM12C, and SW620), different response to </t>
    </r>
    <r>
      <rPr>
        <b/>
        <sz val="11"/>
        <color theme="1"/>
        <rFont val="Calibri"/>
        <family val="2"/>
        <scheme val="minor"/>
      </rPr>
      <t>cisplatin</t>
    </r>
    <r>
      <rPr>
        <sz val="11"/>
        <color theme="1"/>
        <rFont val="Calibri"/>
        <family val="2"/>
        <scheme val="minor"/>
      </rPr>
      <t xml:space="preserve"> was related to endogenous </t>
    </r>
    <r>
      <rPr>
        <b/>
        <sz val="11"/>
        <color theme="1"/>
        <rFont val="Calibri"/>
        <family val="2"/>
        <scheme val="minor"/>
      </rPr>
      <t>Livin</t>
    </r>
    <r>
      <rPr>
        <sz val="11"/>
        <color theme="1"/>
        <rFont val="Calibri"/>
        <family val="2"/>
        <scheme val="minor"/>
      </rPr>
      <t xml:space="preserve"> expression level. </t>
    </r>
    <r>
      <rPr>
        <b/>
        <sz val="11"/>
        <color theme="1"/>
        <rFont val="Calibri"/>
        <family val="2"/>
        <scheme val="minor"/>
      </rPr>
      <t xml:space="preserve">2) </t>
    </r>
    <r>
      <rPr>
        <sz val="11"/>
        <color theme="1"/>
        <rFont val="Calibri"/>
        <family val="2"/>
        <scheme val="minor"/>
      </rPr>
      <t xml:space="preserve">the expression of Livin was upregulated after cisplatin treatment in a dose-dependent manner. </t>
    </r>
    <r>
      <rPr>
        <b/>
        <sz val="11"/>
        <color theme="1"/>
        <rFont val="Calibri"/>
        <family val="2"/>
        <scheme val="minor"/>
      </rPr>
      <t>3) Livin</t>
    </r>
    <r>
      <rPr>
        <sz val="11"/>
        <color theme="1"/>
        <rFont val="Calibri"/>
        <family val="2"/>
        <scheme val="minor"/>
      </rPr>
      <t xml:space="preserve"> remained in the cytoplasm after treatment with cisplatin, the elevated expression of Livin was enhanced at the mRNA level. </t>
    </r>
    <r>
      <rPr>
        <b/>
        <sz val="11"/>
        <color theme="1"/>
        <rFont val="Calibri"/>
        <family val="2"/>
        <scheme val="minor"/>
      </rPr>
      <t xml:space="preserve">4) </t>
    </r>
    <r>
      <rPr>
        <sz val="11"/>
        <color theme="1"/>
        <rFont val="Calibri"/>
        <family val="2"/>
        <scheme val="minor"/>
      </rPr>
      <t xml:space="preserve">The PI3K inhibitor LY294002 inhibited both the phosphorylation of mTOR and upregulation of Livin. </t>
    </r>
    <r>
      <rPr>
        <b/>
        <sz val="11"/>
        <color theme="1"/>
        <rFont val="Calibri"/>
        <family val="2"/>
        <scheme val="minor"/>
      </rPr>
      <t xml:space="preserve">5) </t>
    </r>
    <r>
      <rPr>
        <sz val="11"/>
        <color theme="1"/>
        <rFont val="Calibri"/>
        <family val="2"/>
        <scheme val="minor"/>
      </rPr>
      <t>The stable overexpression of Livin inhibited the activation of caspase-3 and led to resistance to cisplatin, while the knockdown of Livin by siRNA rendered colon cancer cells more sensitive to cisplatin. </t>
    </r>
  </si>
  <si>
    <r>
      <rPr>
        <b/>
        <sz val="11"/>
        <color theme="1"/>
        <rFont val="Calibri"/>
        <family val="2"/>
        <scheme val="minor"/>
      </rPr>
      <t xml:space="preserve">1) </t>
    </r>
    <r>
      <rPr>
        <sz val="11"/>
        <color theme="1"/>
        <rFont val="Calibri"/>
        <family val="2"/>
        <scheme val="minor"/>
      </rPr>
      <t>The average expression levels of </t>
    </r>
    <r>
      <rPr>
        <b/>
        <sz val="11"/>
        <color theme="1"/>
        <rFont val="Calibri"/>
        <family val="2"/>
        <scheme val="minor"/>
      </rPr>
      <t>BLM</t>
    </r>
    <r>
      <rPr>
        <sz val="11"/>
        <color theme="1"/>
        <rFont val="Calibri"/>
        <family val="2"/>
        <scheme val="minor"/>
      </rPr>
      <t xml:space="preserve"> and FANCI were significantly higher in the </t>
    </r>
    <r>
      <rPr>
        <b/>
        <sz val="11"/>
        <color theme="1"/>
        <rFont val="Calibri"/>
        <family val="2"/>
        <scheme val="minor"/>
      </rPr>
      <t>carboplatin</t>
    </r>
    <r>
      <rPr>
        <sz val="11"/>
        <color theme="1"/>
        <rFont val="Calibri"/>
        <family val="2"/>
        <scheme val="minor"/>
      </rPr>
      <t xml:space="preserve">-sensitive ovarian cancers (P = 0.026 and P = 0.036, respectively). </t>
    </r>
    <r>
      <rPr>
        <b/>
        <sz val="11"/>
        <color theme="1"/>
        <rFont val="Calibri"/>
        <family val="2"/>
        <scheme val="minor"/>
      </rPr>
      <t xml:space="preserve">2) </t>
    </r>
    <r>
      <rPr>
        <sz val="11"/>
        <color theme="1"/>
        <rFont val="Calibri"/>
        <family val="2"/>
        <scheme val="minor"/>
      </rPr>
      <t xml:space="preserve">The knockdown of either </t>
    </r>
    <r>
      <rPr>
        <b/>
        <sz val="11"/>
        <color theme="1"/>
        <rFont val="Calibri"/>
        <family val="2"/>
        <scheme val="minor"/>
      </rPr>
      <t>BLM</t>
    </r>
    <r>
      <rPr>
        <sz val="11"/>
        <color theme="1"/>
        <rFont val="Calibri"/>
        <family val="2"/>
        <scheme val="minor"/>
      </rPr>
      <t xml:space="preserve"> or FANCI by siRNA resulted in </t>
    </r>
    <r>
      <rPr>
        <b/>
        <sz val="11"/>
        <color theme="1"/>
        <rFont val="Calibri"/>
        <family val="2"/>
        <scheme val="minor"/>
      </rPr>
      <t>greater resistance to cisplatin</t>
    </r>
    <r>
      <rPr>
        <sz val="11"/>
        <color theme="1"/>
        <rFont val="Calibri"/>
        <family val="2"/>
        <scheme val="minor"/>
      </rPr>
      <t xml:space="preserve"> but no significant effect on sensitivity to paclitaxel. </t>
    </r>
  </si>
  <si>
    <r>
      <rPr>
        <b/>
        <sz val="11"/>
        <color theme="1"/>
        <rFont val="Calibri"/>
        <family val="2"/>
        <scheme val="minor"/>
      </rPr>
      <t>1)</t>
    </r>
    <r>
      <rPr>
        <sz val="11"/>
        <color theme="1"/>
        <rFont val="Calibri"/>
        <family val="2"/>
        <scheme val="minor"/>
      </rPr>
      <t xml:space="preserve"> Combined treatment of doxorubicin or </t>
    </r>
    <r>
      <rPr>
        <b/>
        <sz val="11"/>
        <color theme="1"/>
        <rFont val="Calibri"/>
        <family val="2"/>
        <scheme val="minor"/>
      </rPr>
      <t>carboplatin</t>
    </r>
    <r>
      <rPr>
        <sz val="11"/>
        <color theme="1"/>
        <rFont val="Calibri"/>
        <family val="2"/>
        <scheme val="minor"/>
      </rPr>
      <t xml:space="preserve"> with I-</t>
    </r>
    <r>
      <rPr>
        <b/>
        <sz val="11"/>
        <color theme="1"/>
        <rFont val="Calibri"/>
        <family val="2"/>
        <scheme val="minor"/>
      </rPr>
      <t>BRD9</t>
    </r>
    <r>
      <rPr>
        <sz val="11"/>
        <color theme="1"/>
        <rFont val="Calibri"/>
        <family val="2"/>
        <scheme val="minor"/>
      </rPr>
      <t xml:space="preserve"> resulted in additive to synergistic inhibitory effects on cell proliferation. </t>
    </r>
    <r>
      <rPr>
        <b/>
        <sz val="11"/>
        <color theme="1"/>
        <rFont val="Calibri"/>
        <family val="2"/>
        <scheme val="minor"/>
      </rPr>
      <t>2)</t>
    </r>
    <r>
      <rPr>
        <sz val="11"/>
        <color theme="1"/>
        <rFont val="Calibri"/>
        <family val="2"/>
        <scheme val="minor"/>
      </rPr>
      <t xml:space="preserve"> following DNA damage, the bromodomain of </t>
    </r>
    <r>
      <rPr>
        <b/>
        <sz val="11"/>
        <color theme="1"/>
        <rFont val="Calibri"/>
        <family val="2"/>
        <scheme val="minor"/>
      </rPr>
      <t>BRD9</t>
    </r>
    <r>
      <rPr>
        <sz val="11"/>
        <color theme="1"/>
        <rFont val="Calibri"/>
        <family val="2"/>
        <scheme val="minor"/>
      </rPr>
      <t xml:space="preserve"> binds acetylated K515 on </t>
    </r>
    <r>
      <rPr>
        <b/>
        <sz val="11"/>
        <color theme="1"/>
        <rFont val="Calibri"/>
        <family val="2"/>
        <scheme val="minor"/>
      </rPr>
      <t>RAD54</t>
    </r>
    <r>
      <rPr>
        <sz val="11"/>
        <color theme="1"/>
        <rFont val="Calibri"/>
        <family val="2"/>
        <scheme val="minor"/>
      </rPr>
      <t xml:space="preserve"> and facilitates RAD54's interaction with </t>
    </r>
    <r>
      <rPr>
        <b/>
        <sz val="11"/>
        <color theme="1"/>
        <rFont val="Calibri"/>
        <family val="2"/>
        <scheme val="minor"/>
      </rPr>
      <t>RAD51</t>
    </r>
    <r>
      <rPr>
        <sz val="11"/>
        <color theme="1"/>
        <rFont val="Calibri"/>
        <family val="2"/>
        <scheme val="minor"/>
      </rPr>
      <t xml:space="preserve">, which is essential for HR. </t>
    </r>
    <r>
      <rPr>
        <b/>
        <sz val="11"/>
        <color theme="1"/>
        <rFont val="Calibri"/>
        <family val="2"/>
        <scheme val="minor"/>
      </rPr>
      <t xml:space="preserve">3) </t>
    </r>
    <r>
      <rPr>
        <sz val="11"/>
        <color theme="1"/>
        <rFont val="Calibri"/>
        <family val="2"/>
        <scheme val="minor"/>
      </rPr>
      <t xml:space="preserve">BRD9 is overexpressed in </t>
    </r>
    <r>
      <rPr>
        <b/>
        <sz val="11"/>
        <color theme="1"/>
        <rFont val="Calibri"/>
        <family val="2"/>
        <scheme val="minor"/>
      </rPr>
      <t>ovarian</t>
    </r>
    <r>
      <rPr>
        <sz val="11"/>
        <color theme="1"/>
        <rFont val="Calibri"/>
        <family val="2"/>
        <scheme val="minor"/>
      </rPr>
      <t xml:space="preserve"> cancer and</t>
    </r>
    <r>
      <rPr>
        <b/>
        <sz val="11"/>
        <color theme="1"/>
        <rFont val="Calibri"/>
        <family val="2"/>
        <scheme val="minor"/>
      </rPr>
      <t xml:space="preserve"> </t>
    </r>
    <r>
      <rPr>
        <sz val="11"/>
        <color theme="1"/>
        <rFont val="Calibri"/>
        <family val="2"/>
        <scheme val="minor"/>
      </rPr>
      <t xml:space="preserve">depleting BRD9 sensitizes cancer cells to olaparib and </t>
    </r>
    <r>
      <rPr>
        <b/>
        <sz val="11"/>
        <color theme="1"/>
        <rFont val="Calibri"/>
        <family val="2"/>
        <scheme val="minor"/>
      </rPr>
      <t>cisplatin</t>
    </r>
    <r>
      <rPr>
        <sz val="11"/>
        <color theme="1"/>
        <rFont val="Calibri"/>
        <family val="2"/>
        <scheme val="minor"/>
      </rPr>
      <t xml:space="preserve">. </t>
    </r>
  </si>
  <si>
    <r>
      <rPr>
        <b/>
        <sz val="11"/>
        <color theme="1"/>
        <rFont val="Calibri"/>
        <family val="2"/>
        <scheme val="minor"/>
      </rPr>
      <t xml:space="preserve">1) </t>
    </r>
    <r>
      <rPr>
        <sz val="11"/>
        <color theme="1"/>
        <rFont val="Calibri"/>
        <family val="2"/>
        <scheme val="minor"/>
      </rPr>
      <t xml:space="preserve">overexpressed or inhibited </t>
    </r>
    <r>
      <rPr>
        <b/>
        <sz val="11"/>
        <color theme="1"/>
        <rFont val="Calibri"/>
        <family val="2"/>
        <scheme val="minor"/>
      </rPr>
      <t>CYR61</t>
    </r>
    <r>
      <rPr>
        <sz val="11"/>
        <color theme="1"/>
        <rFont val="Calibri"/>
        <family val="2"/>
        <scheme val="minor"/>
      </rPr>
      <t xml:space="preserve"> expression in human </t>
    </r>
    <r>
      <rPr>
        <b/>
        <sz val="11"/>
        <color theme="1"/>
        <rFont val="Calibri"/>
        <family val="2"/>
        <scheme val="minor"/>
      </rPr>
      <t>cervical</t>
    </r>
    <r>
      <rPr>
        <sz val="11"/>
        <color theme="1"/>
        <rFont val="Calibri"/>
        <family val="2"/>
        <scheme val="minor"/>
      </rPr>
      <t xml:space="preserve"> cancer cells (HeLa cells): CYR61 prevents </t>
    </r>
    <r>
      <rPr>
        <b/>
        <sz val="11"/>
        <color theme="1"/>
        <rFont val="Calibri"/>
        <family val="2"/>
        <scheme val="minor"/>
      </rPr>
      <t>cisplatin</t>
    </r>
    <r>
      <rPr>
        <sz val="11"/>
        <color theme="1"/>
        <rFont val="Calibri"/>
        <family val="2"/>
        <scheme val="minor"/>
      </rPr>
      <t>-induced apoptosis by inhibiting caspase-3 activity in HeLa cells. </t>
    </r>
    <r>
      <rPr>
        <b/>
        <sz val="11"/>
        <color theme="1"/>
        <rFont val="Calibri"/>
        <family val="2"/>
        <scheme val="minor"/>
      </rPr>
      <t xml:space="preserve">2) </t>
    </r>
    <r>
      <rPr>
        <sz val="11"/>
        <color theme="1"/>
        <rFont val="Calibri"/>
        <family val="2"/>
        <scheme val="minor"/>
      </rPr>
      <t xml:space="preserve">Overexpression of CTGF, WISP-1, CYR61, and NOVH was found in 55 (24 of 44), 46 (20 of 44), 39 (17 of 44), and 11% (5 of 44) primary </t>
    </r>
    <r>
      <rPr>
        <b/>
        <sz val="11"/>
        <color theme="1"/>
        <rFont val="Calibri"/>
        <family val="2"/>
        <scheme val="minor"/>
      </rPr>
      <t>breast</t>
    </r>
    <r>
      <rPr>
        <sz val="11"/>
        <color theme="1"/>
        <rFont val="Calibri"/>
        <family val="2"/>
        <scheme val="minor"/>
      </rPr>
      <t xml:space="preserve"> tumors, respectively. </t>
    </r>
    <r>
      <rPr>
        <b/>
        <sz val="11"/>
        <color theme="1"/>
        <rFont val="Calibri"/>
        <family val="2"/>
        <scheme val="minor"/>
      </rPr>
      <t xml:space="preserve">3) </t>
    </r>
    <r>
      <rPr>
        <sz val="11"/>
        <color theme="1"/>
        <rFont val="Calibri"/>
        <family val="2"/>
        <scheme val="minor"/>
      </rPr>
      <t xml:space="preserve">significant associations were found between CYR61 expression and stage, tumor size, lymph node, age, and estrogen receptor expression. </t>
    </r>
    <r>
      <rPr>
        <b/>
        <sz val="11"/>
        <color theme="1"/>
        <rFont val="Calibri"/>
        <family val="2"/>
        <scheme val="minor"/>
      </rPr>
      <t xml:space="preserve">4) </t>
    </r>
    <r>
      <rPr>
        <sz val="11"/>
        <color theme="1"/>
        <rFont val="Calibri"/>
        <family val="2"/>
        <scheme val="minor"/>
      </rPr>
      <t xml:space="preserve">Among the 20 cases of paired normal and tumour tissues, Cyr61 expression was associated with statistically significant </t>
    </r>
    <r>
      <rPr>
        <b/>
        <sz val="11"/>
        <color theme="1"/>
        <rFont val="Calibri"/>
        <family val="2"/>
        <scheme val="minor"/>
      </rPr>
      <t xml:space="preserve">colorectal </t>
    </r>
    <r>
      <rPr>
        <sz val="11"/>
        <color theme="1"/>
        <rFont val="Calibri"/>
        <family val="2"/>
        <scheme val="minor"/>
      </rPr>
      <t xml:space="preserve">cancer-specific mortality (p = 0.029). </t>
    </r>
  </si>
  <si>
    <r>
      <rPr>
        <b/>
        <sz val="11"/>
        <color theme="1"/>
        <rFont val="Calibri"/>
        <family val="2"/>
        <scheme val="minor"/>
      </rPr>
      <t xml:space="preserve">1) </t>
    </r>
    <r>
      <rPr>
        <sz val="11"/>
        <color theme="1"/>
        <rFont val="Calibri"/>
        <family val="2"/>
        <scheme val="minor"/>
      </rPr>
      <t>Genomic amplification of 19q12 occurs in several cancer types including</t>
    </r>
    <r>
      <rPr>
        <b/>
        <sz val="11"/>
        <color theme="1"/>
        <rFont val="Calibri"/>
        <family val="2"/>
        <scheme val="minor"/>
      </rPr>
      <t xml:space="preserve"> ovarian</t>
    </r>
    <r>
      <rPr>
        <sz val="11"/>
        <color theme="1"/>
        <rFont val="Calibri"/>
        <family val="2"/>
        <scheme val="minor"/>
      </rPr>
      <t xml:space="preserve"> cancer where it is associated with primary treatment failure.</t>
    </r>
    <r>
      <rPr>
        <b/>
        <sz val="11"/>
        <color theme="1"/>
        <rFont val="Calibri"/>
        <family val="2"/>
        <scheme val="minor"/>
      </rPr>
      <t xml:space="preserve"> 2)</t>
    </r>
    <r>
      <rPr>
        <sz val="11"/>
        <color theme="1"/>
        <rFont val="Calibri"/>
        <family val="2"/>
        <scheme val="minor"/>
      </rPr>
      <t xml:space="preserve"> We systematically attenuated expression of genes within the minimally defined 19q12 region in ovarian cell lines using siRNA to identify driver oncogene(s) within the amplicon. </t>
    </r>
    <r>
      <rPr>
        <b/>
        <sz val="11"/>
        <color theme="1"/>
        <rFont val="Calibri"/>
        <family val="2"/>
        <scheme val="minor"/>
      </rPr>
      <t xml:space="preserve">3) </t>
    </r>
    <r>
      <rPr>
        <sz val="11"/>
        <color theme="1"/>
        <rFont val="Calibri"/>
        <family val="2"/>
        <scheme val="minor"/>
      </rPr>
      <t xml:space="preserve">Knockdown of </t>
    </r>
    <r>
      <rPr>
        <b/>
        <sz val="11"/>
        <color theme="1"/>
        <rFont val="Calibri"/>
        <family val="2"/>
        <scheme val="minor"/>
      </rPr>
      <t>CCNE1</t>
    </r>
    <r>
      <rPr>
        <sz val="11"/>
        <color theme="1"/>
        <rFont val="Calibri"/>
        <family val="2"/>
        <scheme val="minor"/>
      </rPr>
      <t xml:space="preserve"> resulted in G1/S phase arrest, reduced cell viability and apoptosis only in amplification-carrying cells. </t>
    </r>
    <r>
      <rPr>
        <b/>
        <sz val="11"/>
        <color theme="1"/>
        <rFont val="Calibri"/>
        <family val="2"/>
        <scheme val="minor"/>
      </rPr>
      <t xml:space="preserve">4) </t>
    </r>
    <r>
      <rPr>
        <sz val="11"/>
        <color theme="1"/>
        <rFont val="Calibri"/>
        <family val="2"/>
        <scheme val="minor"/>
      </rPr>
      <t xml:space="preserve">Although CCNE1 knockdown increased </t>
    </r>
    <r>
      <rPr>
        <b/>
        <sz val="11"/>
        <color theme="1"/>
        <rFont val="Calibri"/>
        <family val="2"/>
        <scheme val="minor"/>
      </rPr>
      <t>cisplatin</t>
    </r>
    <r>
      <rPr>
        <sz val="11"/>
        <color theme="1"/>
        <rFont val="Calibri"/>
        <family val="2"/>
        <scheme val="minor"/>
      </rPr>
      <t xml:space="preserve"> resistance in short-term assays, clonogenic survival was inhibited after treatment.</t>
    </r>
    <r>
      <rPr>
        <b/>
        <sz val="11"/>
        <color theme="1"/>
        <rFont val="Calibri"/>
        <family val="2"/>
        <scheme val="minor"/>
      </rPr>
      <t xml:space="preserve"> 5) </t>
    </r>
    <r>
      <rPr>
        <sz val="11"/>
        <color theme="1"/>
        <rFont val="Calibri"/>
        <family val="2"/>
        <scheme val="minor"/>
      </rPr>
      <t xml:space="preserve">Significant differences in Ccne1 and Ran expression were observed in a comparison of low malignant potential and grade 1 tumor samples (p&lt;0.01). </t>
    </r>
    <r>
      <rPr>
        <b/>
        <sz val="11"/>
        <color theme="1"/>
        <rFont val="Calibri"/>
        <family val="2"/>
        <scheme val="minor"/>
      </rPr>
      <t xml:space="preserve">6) </t>
    </r>
    <r>
      <rPr>
        <sz val="11"/>
        <color theme="1"/>
        <rFont val="Calibri"/>
        <family val="2"/>
        <scheme val="minor"/>
      </rPr>
      <t xml:space="preserve">irrespective of the grade, Ccne1, Ran, Cdc20 and Cks1 showed significant differences of expression in association with the clinical stage of disease. </t>
    </r>
    <r>
      <rPr>
        <b/>
        <sz val="11"/>
        <color theme="1"/>
        <rFont val="Calibri"/>
        <family val="2"/>
        <scheme val="minor"/>
      </rPr>
      <t xml:space="preserve">7) </t>
    </r>
    <r>
      <rPr>
        <sz val="11"/>
        <color theme="1"/>
        <rFont val="Calibri"/>
        <family val="2"/>
        <scheme val="minor"/>
      </rPr>
      <t xml:space="preserve">While high level of Ccne1 have previously been associated with poor outcomes, here we found that high level of either Ran or Cdc20 appear to be more tightly associated with a poor prognosis (p&lt;0.001, 0.03, respectively). </t>
    </r>
  </si>
  <si>
    <r>
      <rPr>
        <b/>
        <sz val="11"/>
        <color theme="1"/>
        <rFont val="Calibri"/>
        <family val="2"/>
        <scheme val="minor"/>
      </rPr>
      <t xml:space="preserve">1) </t>
    </r>
    <r>
      <rPr>
        <sz val="11"/>
        <color theme="1"/>
        <rFont val="Calibri"/>
        <family val="2"/>
        <scheme val="minor"/>
      </rPr>
      <t xml:space="preserve">high level of </t>
    </r>
    <r>
      <rPr>
        <b/>
        <sz val="11"/>
        <color theme="1"/>
        <rFont val="Calibri"/>
        <family val="2"/>
        <scheme val="minor"/>
      </rPr>
      <t>cyclin I</t>
    </r>
    <r>
      <rPr>
        <sz val="11"/>
        <color theme="1"/>
        <rFont val="Calibri"/>
        <family val="2"/>
        <scheme val="minor"/>
      </rPr>
      <t xml:space="preserve"> was associated with </t>
    </r>
    <r>
      <rPr>
        <b/>
        <sz val="11"/>
        <color theme="1"/>
        <rFont val="Calibri"/>
        <family val="2"/>
        <scheme val="minor"/>
      </rPr>
      <t>cisplatin</t>
    </r>
    <r>
      <rPr>
        <sz val="11"/>
        <color theme="1"/>
        <rFont val="Calibri"/>
        <family val="2"/>
        <scheme val="minor"/>
      </rPr>
      <t xml:space="preserve"> resistance in </t>
    </r>
    <r>
      <rPr>
        <b/>
        <sz val="11"/>
        <color theme="1"/>
        <rFont val="Calibri"/>
        <family val="2"/>
        <scheme val="minor"/>
      </rPr>
      <t>CC</t>
    </r>
    <r>
      <rPr>
        <sz val="11"/>
        <color theme="1"/>
        <rFont val="Calibri"/>
        <family val="2"/>
        <scheme val="minor"/>
      </rPr>
      <t xml:space="preserve">. </t>
    </r>
    <r>
      <rPr>
        <b/>
        <sz val="11"/>
        <color theme="1"/>
        <rFont val="Calibri"/>
        <family val="2"/>
        <scheme val="minor"/>
      </rPr>
      <t xml:space="preserve">2) cyclin I </t>
    </r>
    <r>
      <rPr>
        <sz val="11"/>
        <color theme="1"/>
        <rFont val="Calibri"/>
        <family val="2"/>
        <scheme val="minor"/>
      </rPr>
      <t xml:space="preserve">protein becomes highly expressed in human </t>
    </r>
    <r>
      <rPr>
        <b/>
        <sz val="11"/>
        <color theme="1"/>
        <rFont val="Calibri"/>
        <family val="2"/>
        <scheme val="minor"/>
      </rPr>
      <t>CC</t>
    </r>
    <r>
      <rPr>
        <sz val="11"/>
        <color theme="1"/>
        <rFont val="Calibri"/>
        <family val="2"/>
        <scheme val="minor"/>
      </rPr>
      <t xml:space="preserve"> patients resistant to </t>
    </r>
    <r>
      <rPr>
        <b/>
        <sz val="11"/>
        <color theme="1"/>
        <rFont val="Calibri"/>
        <family val="2"/>
        <scheme val="minor"/>
      </rPr>
      <t>cisplatin</t>
    </r>
    <r>
      <rPr>
        <sz val="11"/>
        <color theme="1"/>
        <rFont val="Calibri"/>
        <family val="2"/>
        <scheme val="minor"/>
      </rPr>
      <t xml:space="preserve"> chemotherapy. </t>
    </r>
    <r>
      <rPr>
        <b/>
        <sz val="11"/>
        <color theme="1"/>
        <rFont val="Calibri"/>
        <family val="2"/>
        <scheme val="minor"/>
      </rPr>
      <t xml:space="preserve">3) </t>
    </r>
    <r>
      <rPr>
        <sz val="11"/>
        <color theme="1"/>
        <rFont val="Calibri"/>
        <family val="2"/>
        <scheme val="minor"/>
      </rPr>
      <t xml:space="preserve">Stable overexpressed </t>
    </r>
    <r>
      <rPr>
        <b/>
        <sz val="11"/>
        <color theme="1"/>
        <rFont val="Calibri"/>
        <family val="2"/>
        <scheme val="minor"/>
      </rPr>
      <t>cyclin I</t>
    </r>
    <r>
      <rPr>
        <sz val="11"/>
        <color theme="1"/>
        <rFont val="Calibri"/>
        <family val="2"/>
        <scheme val="minor"/>
      </rPr>
      <t xml:space="preserve"> promotes </t>
    </r>
    <r>
      <rPr>
        <b/>
        <sz val="11"/>
        <color theme="1"/>
        <rFont val="Calibri"/>
        <family val="2"/>
        <scheme val="minor"/>
      </rPr>
      <t>Hela cell</t>
    </r>
    <r>
      <rPr>
        <sz val="11"/>
        <color theme="1"/>
        <rFont val="Calibri"/>
        <family val="2"/>
        <scheme val="minor"/>
      </rPr>
      <t xml:space="preserve"> resistance to higher concentrations of </t>
    </r>
    <r>
      <rPr>
        <b/>
        <sz val="11"/>
        <color theme="1"/>
        <rFont val="Calibri"/>
        <family val="2"/>
        <scheme val="minor"/>
      </rPr>
      <t>cisplatin</t>
    </r>
    <r>
      <rPr>
        <sz val="11"/>
        <color theme="1"/>
        <rFont val="Calibri"/>
        <family val="2"/>
        <scheme val="minor"/>
      </rPr>
      <t xml:space="preserve">. </t>
    </r>
    <r>
      <rPr>
        <b/>
        <sz val="11"/>
        <color theme="1"/>
        <rFont val="Calibri"/>
        <family val="2"/>
        <scheme val="minor"/>
      </rPr>
      <t xml:space="preserve">4) </t>
    </r>
    <r>
      <rPr>
        <sz val="11"/>
        <color theme="1"/>
        <rFont val="Calibri"/>
        <family val="2"/>
        <scheme val="minor"/>
      </rPr>
      <t xml:space="preserve">upregulated level of </t>
    </r>
    <r>
      <rPr>
        <b/>
        <sz val="11"/>
        <color theme="1"/>
        <rFont val="Calibri"/>
        <family val="2"/>
        <scheme val="minor"/>
      </rPr>
      <t>cyclin I</t>
    </r>
    <r>
      <rPr>
        <sz val="11"/>
        <color theme="1"/>
        <rFont val="Calibri"/>
        <family val="2"/>
        <scheme val="minor"/>
      </rPr>
      <t xml:space="preserve"> increased tumor cells growth in vitro and enhanced tumor resistance to cisplatin in vivo. </t>
    </r>
    <r>
      <rPr>
        <b/>
        <sz val="11"/>
        <color theme="1"/>
        <rFont val="Calibri"/>
        <family val="2"/>
        <scheme val="minor"/>
      </rPr>
      <t xml:space="preserve">5) </t>
    </r>
    <r>
      <rPr>
        <sz val="11"/>
        <color theme="1"/>
        <rFont val="Calibri"/>
        <family val="2"/>
        <scheme val="minor"/>
      </rPr>
      <t>cyclin I upregulated the expression of cyclin-dependent kinase 5 (</t>
    </r>
    <r>
      <rPr>
        <b/>
        <sz val="11"/>
        <color theme="1"/>
        <rFont val="Calibri"/>
        <family val="2"/>
        <scheme val="minor"/>
      </rPr>
      <t>Cdk5</t>
    </r>
    <r>
      <rPr>
        <sz val="11"/>
        <color theme="1"/>
        <rFont val="Calibri"/>
        <family val="2"/>
        <scheme val="minor"/>
      </rPr>
      <t xml:space="preserve">) promoting cisplatin resistance by preventing apoptosis in CC cell line. </t>
    </r>
    <r>
      <rPr>
        <b/>
        <sz val="11"/>
        <color theme="1"/>
        <rFont val="Calibri"/>
        <family val="2"/>
        <scheme val="minor"/>
      </rPr>
      <t xml:space="preserve">6) </t>
    </r>
    <r>
      <rPr>
        <sz val="11"/>
        <color theme="1"/>
        <rFont val="Calibri"/>
        <family val="2"/>
        <scheme val="minor"/>
      </rPr>
      <t>the cyclin I overexpressed Hela cell lines produce increased sensitivity to cisplatin treatment through knockdown of Cdk5 protein with siRNA.</t>
    </r>
  </si>
  <si>
    <r>
      <rPr>
        <b/>
        <sz val="11"/>
        <color theme="1"/>
        <rFont val="Calibri"/>
        <family val="2"/>
        <scheme val="minor"/>
      </rPr>
      <t>1)</t>
    </r>
    <r>
      <rPr>
        <sz val="11"/>
        <color theme="1"/>
        <rFont val="Calibri"/>
        <family val="2"/>
        <scheme val="minor"/>
      </rPr>
      <t xml:space="preserve"> CD24 was expressed in 70.1% of primary </t>
    </r>
    <r>
      <rPr>
        <b/>
        <sz val="11"/>
        <color theme="1"/>
        <rFont val="Calibri"/>
        <family val="2"/>
        <scheme val="minor"/>
      </rPr>
      <t>ovarian</t>
    </r>
    <r>
      <rPr>
        <sz val="11"/>
        <color theme="1"/>
        <rFont val="Calibri"/>
        <family val="2"/>
        <scheme val="minor"/>
      </rPr>
      <t xml:space="preserve"> carcinoma tissues, which were obtained from 174 patients, </t>
    </r>
    <r>
      <rPr>
        <b/>
        <sz val="11"/>
        <color theme="1"/>
        <rFont val="Calibri"/>
        <family val="2"/>
        <scheme val="minor"/>
      </rPr>
      <t>2)</t>
    </r>
    <r>
      <rPr>
        <sz val="11"/>
        <color theme="1"/>
        <rFont val="Calibri"/>
        <family val="2"/>
        <scheme val="minor"/>
      </rPr>
      <t xml:space="preserve"> the expression of CD24 was an independent predictor of survival in patients with </t>
    </r>
    <r>
      <rPr>
        <b/>
        <sz val="11"/>
        <color theme="1"/>
        <rFont val="Calibri"/>
        <family val="2"/>
        <scheme val="minor"/>
      </rPr>
      <t>ovarian</t>
    </r>
    <r>
      <rPr>
        <sz val="11"/>
        <color theme="1"/>
        <rFont val="Calibri"/>
        <family val="2"/>
        <scheme val="minor"/>
      </rPr>
      <t xml:space="preserve"> cancer who received 6-course conventional TC (paclitaxel and </t>
    </r>
    <r>
      <rPr>
        <b/>
        <sz val="11"/>
        <color theme="1"/>
        <rFont val="Calibri"/>
        <family val="2"/>
        <scheme val="minor"/>
      </rPr>
      <t>carboplatin</t>
    </r>
    <r>
      <rPr>
        <sz val="11"/>
        <color theme="1"/>
        <rFont val="Calibri"/>
        <family val="2"/>
        <scheme val="minor"/>
      </rPr>
      <t>) therapies.</t>
    </r>
    <r>
      <rPr>
        <b/>
        <sz val="11"/>
        <color theme="1"/>
        <rFont val="Calibri"/>
        <family val="2"/>
        <scheme val="minor"/>
      </rPr>
      <t xml:space="preserve"> 3) CD24</t>
    </r>
    <r>
      <rPr>
        <sz val="11"/>
        <color theme="1"/>
        <rFont val="Calibri"/>
        <family val="2"/>
        <scheme val="minor"/>
      </rPr>
      <t xml:space="preserve"> induces the EMT phenomenon, which is involved in cell invasion, the highly proliferative phenotype, colony formation and which is associated with </t>
    </r>
    <r>
      <rPr>
        <b/>
        <sz val="11"/>
        <color theme="1"/>
        <rFont val="Calibri"/>
        <family val="2"/>
        <scheme val="minor"/>
      </rPr>
      <t>cisplatin</t>
    </r>
    <r>
      <rPr>
        <sz val="11"/>
        <color theme="1"/>
        <rFont val="Calibri"/>
        <family val="2"/>
        <scheme val="minor"/>
      </rPr>
      <t xml:space="preserve"> resistance and the properties of CSCs, via the activation of PI3K/Akt, NF-κB and ERK in Caov-3 </t>
    </r>
    <r>
      <rPr>
        <b/>
        <sz val="11"/>
        <color theme="1"/>
        <rFont val="Calibri"/>
        <family val="2"/>
        <scheme val="minor"/>
      </rPr>
      <t>cisplatin</t>
    </r>
    <r>
      <rPr>
        <sz val="11"/>
        <color theme="1"/>
        <rFont val="Calibri"/>
        <family val="2"/>
        <scheme val="minor"/>
      </rPr>
      <t xml:space="preserve">-resistant cell lines. </t>
    </r>
    <r>
      <rPr>
        <b/>
        <sz val="11"/>
        <color theme="1"/>
        <rFont val="Calibri"/>
        <family val="2"/>
        <scheme val="minor"/>
      </rPr>
      <t>4)</t>
    </r>
    <r>
      <rPr>
        <sz val="11"/>
        <color theme="1"/>
        <rFont val="Calibri"/>
        <family val="2"/>
        <scheme val="minor"/>
      </rPr>
      <t xml:space="preserve"> </t>
    </r>
    <r>
      <rPr>
        <b/>
        <sz val="11"/>
        <color theme="1"/>
        <rFont val="Calibri"/>
        <family val="2"/>
        <scheme val="minor"/>
      </rPr>
      <t>CD24</t>
    </r>
    <r>
      <rPr>
        <sz val="11"/>
        <color theme="1"/>
        <rFont val="Calibri"/>
        <family val="2"/>
        <scheme val="minor"/>
      </rPr>
      <t xml:space="preserve"> expression level appears to be a significant molecular phenotype of </t>
    </r>
    <r>
      <rPr>
        <b/>
        <sz val="11"/>
        <color theme="1"/>
        <rFont val="Calibri"/>
        <family val="2"/>
        <scheme val="minor"/>
      </rPr>
      <t>cisplatin</t>
    </r>
    <r>
      <rPr>
        <sz val="11"/>
        <color theme="1"/>
        <rFont val="Calibri"/>
        <family val="2"/>
        <scheme val="minor"/>
      </rPr>
      <t xml:space="preserve">-resistant residual cells in </t>
    </r>
    <r>
      <rPr>
        <b/>
        <sz val="11"/>
        <color theme="1"/>
        <rFont val="Calibri"/>
        <family val="2"/>
        <scheme val="minor"/>
      </rPr>
      <t>laryngeal</t>
    </r>
    <r>
      <rPr>
        <sz val="11"/>
        <color theme="1"/>
        <rFont val="Calibri"/>
        <family val="2"/>
        <scheme val="minor"/>
      </rPr>
      <t xml:space="preserve"> carcinoma lines. </t>
    </r>
    <r>
      <rPr>
        <b/>
        <sz val="11"/>
        <color theme="1"/>
        <rFont val="Calibri"/>
        <family val="2"/>
        <scheme val="minor"/>
      </rPr>
      <t>5) CD24</t>
    </r>
    <r>
      <rPr>
        <sz val="11"/>
        <color theme="1"/>
        <rFont val="Calibri"/>
        <family val="2"/>
        <scheme val="minor"/>
      </rPr>
      <t xml:space="preserve"> expression level directly affects </t>
    </r>
    <r>
      <rPr>
        <b/>
        <sz val="11"/>
        <color theme="1"/>
        <rFont val="Calibri"/>
        <family val="2"/>
        <scheme val="minor"/>
      </rPr>
      <t>cisplatin</t>
    </r>
    <r>
      <rPr>
        <sz val="11"/>
        <color theme="1"/>
        <rFont val="Calibri"/>
        <family val="2"/>
        <scheme val="minor"/>
      </rPr>
      <t xml:space="preserve"> sensitivity and affects the expression of critical apoptotic, stem and drug resistance genes. </t>
    </r>
    <r>
      <rPr>
        <b/>
        <sz val="11"/>
        <color theme="1"/>
        <rFont val="Calibri"/>
        <family val="2"/>
        <scheme val="minor"/>
      </rPr>
      <t xml:space="preserve">6) </t>
    </r>
    <r>
      <rPr>
        <sz val="11"/>
        <color theme="1"/>
        <rFont val="Calibri"/>
        <family val="2"/>
        <scheme val="minor"/>
      </rPr>
      <t xml:space="preserve">A relatively small retrospective patient tumor analysis suggests that CD24 high tumors go on to show an unfavorable response to </t>
    </r>
    <r>
      <rPr>
        <b/>
        <sz val="11"/>
        <color theme="1"/>
        <rFont val="Calibri"/>
        <family val="2"/>
        <scheme val="minor"/>
      </rPr>
      <t>cisplatin</t>
    </r>
    <r>
      <rPr>
        <sz val="11"/>
        <color theme="1"/>
        <rFont val="Calibri"/>
        <family val="2"/>
        <scheme val="minor"/>
      </rPr>
      <t xml:space="preserve"> treatment. </t>
    </r>
  </si>
  <si>
    <r>
      <rPr>
        <b/>
        <sz val="11"/>
        <color theme="1"/>
        <rFont val="Calibri"/>
        <family val="2"/>
        <scheme val="minor"/>
      </rPr>
      <t>1)</t>
    </r>
    <r>
      <rPr>
        <sz val="11"/>
        <color theme="1"/>
        <rFont val="Calibri"/>
        <family val="2"/>
        <scheme val="minor"/>
      </rPr>
      <t xml:space="preserve"> </t>
    </r>
    <r>
      <rPr>
        <b/>
        <sz val="11"/>
        <color theme="1"/>
        <rFont val="Calibri"/>
        <family val="2"/>
        <scheme val="minor"/>
      </rPr>
      <t>PD-L1</t>
    </r>
    <r>
      <rPr>
        <sz val="11"/>
        <color theme="1"/>
        <rFont val="Calibri"/>
        <family val="2"/>
        <scheme val="minor"/>
      </rPr>
      <t xml:space="preserve"> expression was significantly increased in A549/</t>
    </r>
    <r>
      <rPr>
        <b/>
        <sz val="11"/>
        <color theme="1"/>
        <rFont val="Calibri"/>
        <family val="2"/>
        <scheme val="minor"/>
      </rPr>
      <t>CDDP</t>
    </r>
    <r>
      <rPr>
        <sz val="11"/>
        <color theme="1"/>
        <rFont val="Calibri"/>
        <family val="2"/>
        <scheme val="minor"/>
      </rPr>
      <t xml:space="preserve">, MCF7/ADR and HepG2/ADR cells and was attributed mainly to enhanced </t>
    </r>
    <r>
      <rPr>
        <b/>
        <sz val="11"/>
        <color theme="1"/>
        <rFont val="Calibri"/>
        <family val="2"/>
        <scheme val="minor"/>
      </rPr>
      <t>JNK/c-Jun signaling</t>
    </r>
    <r>
      <rPr>
        <sz val="11"/>
        <color theme="1"/>
        <rFont val="Calibri"/>
        <family val="2"/>
        <scheme val="minor"/>
      </rPr>
      <t xml:space="preserve"> activation. </t>
    </r>
    <r>
      <rPr>
        <b/>
        <sz val="11"/>
        <color theme="1"/>
        <rFont val="Calibri"/>
        <family val="2"/>
        <scheme val="minor"/>
      </rPr>
      <t xml:space="preserve">2) </t>
    </r>
    <r>
      <rPr>
        <sz val="11"/>
        <color theme="1"/>
        <rFont val="Calibri"/>
        <family val="2"/>
        <scheme val="minor"/>
      </rPr>
      <t xml:space="preserve">Mechanistically, decreased COP1 increased c-Jun accumulation, which subsequently inhibited </t>
    </r>
    <r>
      <rPr>
        <b/>
        <sz val="11"/>
        <color theme="1"/>
        <rFont val="Calibri"/>
        <family val="2"/>
        <scheme val="minor"/>
      </rPr>
      <t>HDAC3</t>
    </r>
    <r>
      <rPr>
        <sz val="11"/>
        <color theme="1"/>
        <rFont val="Calibri"/>
        <family val="2"/>
        <scheme val="minor"/>
      </rPr>
      <t xml:space="preserve"> expression and thereby enhanced histone H3 acetylation of the PD-L1 promoter.</t>
    </r>
    <r>
      <rPr>
        <b/>
        <sz val="11"/>
        <color theme="1"/>
        <rFont val="Calibri"/>
        <family val="2"/>
        <scheme val="minor"/>
      </rPr>
      <t xml:space="preserve"> 3)</t>
    </r>
    <r>
      <rPr>
        <sz val="11"/>
        <color theme="1"/>
        <rFont val="Calibri"/>
        <family val="2"/>
        <scheme val="minor"/>
      </rPr>
      <t xml:space="preserve">  PD-L1 expression could be inhibited by JNK/c-Jun inhibition or HDAC3 overexpression in vivo, which could largely reverse inhibited CD3+ T cell proliferation in vitro. </t>
    </r>
    <r>
      <rPr>
        <b/>
        <sz val="11"/>
        <color theme="1"/>
        <rFont val="Calibri"/>
        <family val="2"/>
        <scheme val="minor"/>
      </rPr>
      <t>4) PD-L1</t>
    </r>
    <r>
      <rPr>
        <sz val="11"/>
        <color theme="1"/>
        <rFont val="Calibri"/>
        <family val="2"/>
        <scheme val="minor"/>
      </rPr>
      <t xml:space="preserve"> expression was significantly increased in the cisplatin-resistant clinical </t>
    </r>
    <r>
      <rPr>
        <b/>
        <sz val="11"/>
        <color theme="1"/>
        <rFont val="Calibri"/>
        <family val="2"/>
        <scheme val="minor"/>
      </rPr>
      <t>NSCLC</t>
    </r>
    <r>
      <rPr>
        <sz val="11"/>
        <color theme="1"/>
        <rFont val="Calibri"/>
        <family val="2"/>
        <scheme val="minor"/>
      </rPr>
      <t xml:space="preserve"> samples and positively correlated with c-Jun expression but negatively correlated with </t>
    </r>
    <r>
      <rPr>
        <b/>
        <sz val="11"/>
        <color theme="1"/>
        <rFont val="Calibri"/>
        <family val="2"/>
        <scheme val="minor"/>
      </rPr>
      <t>HDAC3</t>
    </r>
    <r>
      <rPr>
        <sz val="11"/>
        <color theme="1"/>
        <rFont val="Calibri"/>
        <family val="2"/>
        <scheme val="minor"/>
      </rPr>
      <t xml:space="preserve"> expression. </t>
    </r>
    <r>
      <rPr>
        <b/>
        <sz val="11"/>
        <color theme="1"/>
        <rFont val="Calibri"/>
        <family val="2"/>
        <scheme val="minor"/>
      </rPr>
      <t>5) PD-L1</t>
    </r>
    <r>
      <rPr>
        <sz val="11"/>
        <color theme="1"/>
        <rFont val="Calibri"/>
        <family val="2"/>
        <scheme val="minor"/>
      </rPr>
      <t xml:space="preserve"> directly interacted with integrin β6 (ITGB6) and activated the ITGB6/FAK/STAT3 signaling pathway in </t>
    </r>
    <r>
      <rPr>
        <b/>
        <sz val="11"/>
        <color theme="1"/>
        <rFont val="Calibri"/>
        <family val="2"/>
        <scheme val="minor"/>
      </rPr>
      <t>bladder</t>
    </r>
    <r>
      <rPr>
        <sz val="11"/>
        <color theme="1"/>
        <rFont val="Calibri"/>
        <family val="2"/>
        <scheme val="minor"/>
      </rPr>
      <t xml:space="preserve"> cancer to regulate glucose metabolism and cisplatin-induced apoptosis. </t>
    </r>
  </si>
  <si>
    <r>
      <rPr>
        <b/>
        <sz val="11"/>
        <color theme="1"/>
        <rFont val="Calibri"/>
        <family val="2"/>
        <scheme val="minor"/>
      </rPr>
      <t xml:space="preserve">1) </t>
    </r>
    <r>
      <rPr>
        <sz val="11"/>
        <color theme="1"/>
        <rFont val="Calibri"/>
        <family val="2"/>
        <scheme val="minor"/>
      </rPr>
      <t xml:space="preserve">sCD40L showed a significant dose-dependence </t>
    </r>
    <r>
      <rPr>
        <b/>
        <sz val="11"/>
        <color theme="1"/>
        <rFont val="Calibri"/>
        <family val="2"/>
        <scheme val="minor"/>
      </rPr>
      <t>inhibitory</t>
    </r>
    <r>
      <rPr>
        <sz val="11"/>
        <color theme="1"/>
        <rFont val="Calibri"/>
        <family val="2"/>
        <scheme val="minor"/>
      </rPr>
      <t xml:space="preserve"> effect on the proliferation of </t>
    </r>
    <r>
      <rPr>
        <b/>
        <sz val="11"/>
        <color theme="1"/>
        <rFont val="Calibri"/>
        <family val="2"/>
        <scheme val="minor"/>
      </rPr>
      <t>ovarian</t>
    </r>
    <r>
      <rPr>
        <sz val="11"/>
        <color theme="1"/>
        <rFont val="Calibri"/>
        <family val="2"/>
        <scheme val="minor"/>
      </rPr>
      <t xml:space="preserve"> cancer cell lines. </t>
    </r>
    <r>
      <rPr>
        <b/>
        <sz val="11"/>
        <color theme="1"/>
        <rFont val="Calibri"/>
        <family val="2"/>
        <scheme val="minor"/>
      </rPr>
      <t>2)</t>
    </r>
    <r>
      <rPr>
        <sz val="11"/>
        <color theme="1"/>
        <rFont val="Calibri"/>
        <family val="2"/>
        <scheme val="minor"/>
      </rPr>
      <t xml:space="preserve"> sCD40L in combination with </t>
    </r>
    <r>
      <rPr>
        <b/>
        <sz val="11"/>
        <color theme="1"/>
        <rFont val="Calibri"/>
        <family val="2"/>
        <scheme val="minor"/>
      </rPr>
      <t>cisplatin</t>
    </r>
    <r>
      <rPr>
        <sz val="11"/>
        <color theme="1"/>
        <rFont val="Calibri"/>
        <family val="2"/>
        <scheme val="minor"/>
      </rPr>
      <t xml:space="preserve"> could sensitized SKOV3/DDP cells to cisplatin treatment and reversed the drug resistance of SKOV3/DDP cells. </t>
    </r>
    <r>
      <rPr>
        <b/>
        <sz val="11"/>
        <color theme="1"/>
        <rFont val="Calibri"/>
        <family val="2"/>
        <scheme val="minor"/>
      </rPr>
      <t xml:space="preserve">3) </t>
    </r>
    <r>
      <rPr>
        <sz val="11"/>
        <color theme="1"/>
        <rFont val="Calibri"/>
        <family val="2"/>
        <scheme val="minor"/>
      </rPr>
      <t xml:space="preserve">Activation of CD40 by rsCD40L induces two phases of autocrine TNF-α: the rapid early phase involving p38 MAP kinase and the robust and persistent late phase through enhanced tnf-α gene transcription. </t>
    </r>
    <r>
      <rPr>
        <b/>
        <sz val="11"/>
        <color theme="1"/>
        <rFont val="Calibri"/>
        <family val="2"/>
        <scheme val="minor"/>
      </rPr>
      <t>4)</t>
    </r>
    <r>
      <rPr>
        <sz val="11"/>
        <color theme="1"/>
        <rFont val="Calibri"/>
        <family val="2"/>
        <scheme val="minor"/>
      </rPr>
      <t xml:space="preserve"> Blocking TNF-α with either a specific TNFR1 siRNA or a neutralizing anti-TNF-α antibody dramatically attenuated the potentiation effect of rsCD40L on cisplatin-induced cancer cell death. </t>
    </r>
    <r>
      <rPr>
        <b/>
        <sz val="11"/>
        <color theme="1"/>
        <rFont val="Calibri"/>
        <family val="2"/>
        <scheme val="minor"/>
      </rPr>
      <t>5)</t>
    </r>
    <r>
      <rPr>
        <sz val="11"/>
        <color theme="1"/>
        <rFont val="Calibri"/>
        <family val="2"/>
        <scheme val="minor"/>
      </rPr>
      <t xml:space="preserve"> Positive CD40 mutant expression suggests a poorer prognosis of </t>
    </r>
    <r>
      <rPr>
        <b/>
        <sz val="11"/>
        <color theme="1"/>
        <rFont val="Calibri"/>
        <family val="2"/>
        <scheme val="minor"/>
      </rPr>
      <t>gastric</t>
    </r>
    <r>
      <rPr>
        <sz val="11"/>
        <color theme="1"/>
        <rFont val="Calibri"/>
        <family val="2"/>
        <scheme val="minor"/>
      </rPr>
      <t xml:space="preserve"> cancer cases.</t>
    </r>
  </si>
  <si>
    <r>
      <rPr>
        <b/>
        <sz val="11"/>
        <color theme="1"/>
        <rFont val="Calibri"/>
        <family val="2"/>
        <scheme val="minor"/>
      </rPr>
      <t xml:space="preserve">1) </t>
    </r>
    <r>
      <rPr>
        <sz val="11"/>
        <color theme="1"/>
        <rFont val="Calibri"/>
        <family val="2"/>
        <scheme val="minor"/>
      </rPr>
      <t xml:space="preserve">miR-199a targets </t>
    </r>
    <r>
      <rPr>
        <b/>
        <sz val="11"/>
        <color theme="1"/>
        <rFont val="Calibri"/>
        <family val="2"/>
        <scheme val="minor"/>
      </rPr>
      <t>CD44</t>
    </r>
    <r>
      <rPr>
        <sz val="11"/>
        <color theme="1"/>
        <rFont val="Calibri"/>
        <family val="2"/>
        <scheme val="minor"/>
      </rPr>
      <t xml:space="preserve"> via an miR-199a-binding site in the 3'-UTR; </t>
    </r>
    <r>
      <rPr>
        <b/>
        <sz val="11"/>
        <color theme="1"/>
        <rFont val="Calibri"/>
        <family val="2"/>
        <scheme val="minor"/>
      </rPr>
      <t>CD44</t>
    </r>
    <r>
      <rPr>
        <sz val="11"/>
        <color theme="1"/>
        <rFont val="Calibri"/>
        <family val="2"/>
        <scheme val="minor"/>
      </rPr>
      <t xml:space="preserve"> mRNA and protein expression was significantly decreased in miR-199a-transfected </t>
    </r>
    <r>
      <rPr>
        <b/>
        <sz val="11"/>
        <color theme="1"/>
        <rFont val="Calibri"/>
        <family val="2"/>
        <scheme val="minor"/>
      </rPr>
      <t>ovarian</t>
    </r>
    <r>
      <rPr>
        <sz val="11"/>
        <color theme="1"/>
        <rFont val="Calibri"/>
        <family val="2"/>
        <scheme val="minor"/>
      </rPr>
      <t xml:space="preserve"> CICs. </t>
    </r>
    <r>
      <rPr>
        <b/>
        <sz val="11"/>
        <color theme="1"/>
        <rFont val="Calibri"/>
        <family val="2"/>
        <scheme val="minor"/>
      </rPr>
      <t xml:space="preserve">3) </t>
    </r>
    <r>
      <rPr>
        <sz val="11"/>
        <color theme="1"/>
        <rFont val="Calibri"/>
        <family val="2"/>
        <scheme val="minor"/>
      </rPr>
      <t>miR-199a significantly increased the chemosensitivity of ovarian CICs to</t>
    </r>
    <r>
      <rPr>
        <b/>
        <sz val="11"/>
        <color theme="1"/>
        <rFont val="Calibri"/>
        <family val="2"/>
        <scheme val="minor"/>
      </rPr>
      <t xml:space="preserve"> cisplatin</t>
    </r>
    <r>
      <rPr>
        <sz val="11"/>
        <color theme="1"/>
        <rFont val="Calibri"/>
        <family val="2"/>
        <scheme val="minor"/>
      </rPr>
      <t xml:space="preserve">, pacitaxel, and adriamycin, and reduced mRNA expression of the multidrug resistance gene </t>
    </r>
    <r>
      <rPr>
        <b/>
        <sz val="11"/>
        <color theme="1"/>
        <rFont val="Calibri"/>
        <family val="2"/>
        <scheme val="minor"/>
      </rPr>
      <t>ABCG2</t>
    </r>
    <r>
      <rPr>
        <sz val="11"/>
        <color theme="1"/>
        <rFont val="Calibri"/>
        <family val="2"/>
        <scheme val="minor"/>
      </rPr>
      <t xml:space="preserve">. </t>
    </r>
    <r>
      <rPr>
        <b/>
        <sz val="11"/>
        <color theme="1"/>
        <rFont val="Calibri"/>
        <family val="2"/>
        <scheme val="minor"/>
      </rPr>
      <t>4)</t>
    </r>
    <r>
      <rPr>
        <sz val="11"/>
        <color theme="1"/>
        <rFont val="Calibri"/>
        <family val="2"/>
        <scheme val="minor"/>
      </rPr>
      <t xml:space="preserve"> xenograft experiments confirmed that miR-199a suppressed the growth of xenograft tumors formed by ovarian CICs in vivo. </t>
    </r>
    <r>
      <rPr>
        <b/>
        <sz val="11"/>
        <color theme="1"/>
        <rFont val="Calibri"/>
        <family val="2"/>
        <scheme val="minor"/>
      </rPr>
      <t>5)</t>
    </r>
    <r>
      <rPr>
        <sz val="11"/>
        <color theme="1"/>
        <rFont val="Calibri"/>
        <family val="2"/>
        <scheme val="minor"/>
      </rPr>
      <t xml:space="preserve"> the </t>
    </r>
    <r>
      <rPr>
        <b/>
        <sz val="11"/>
        <color theme="1"/>
        <rFont val="Calibri"/>
        <family val="2"/>
        <scheme val="minor"/>
      </rPr>
      <t>CD44</t>
    </r>
    <r>
      <rPr>
        <sz val="11"/>
        <color theme="1"/>
        <rFont val="Calibri"/>
        <family val="2"/>
        <scheme val="minor"/>
      </rPr>
      <t xml:space="preserve"> variant isoform </t>
    </r>
    <r>
      <rPr>
        <b/>
        <sz val="11"/>
        <color theme="1"/>
        <rFont val="Calibri"/>
        <family val="2"/>
        <scheme val="minor"/>
      </rPr>
      <t xml:space="preserve">CD44v9 </t>
    </r>
    <r>
      <rPr>
        <sz val="11"/>
        <color theme="1"/>
        <rFont val="Calibri"/>
        <family val="2"/>
        <scheme val="minor"/>
      </rPr>
      <t xml:space="preserve">positivity was an independent risk factor of cancer-specific survival (P = 0.024, hazard ratio = 5.16) in </t>
    </r>
    <r>
      <rPr>
        <b/>
        <sz val="11"/>
        <color theme="1"/>
        <rFont val="Calibri"/>
        <family val="2"/>
        <scheme val="minor"/>
      </rPr>
      <t xml:space="preserve">urothelial </t>
    </r>
    <r>
      <rPr>
        <sz val="11"/>
        <color theme="1"/>
        <rFont val="Calibri"/>
        <family val="2"/>
        <scheme val="minor"/>
      </rPr>
      <t xml:space="preserve">cancer patients who had recurrence and/or metastasis and received </t>
    </r>
    <r>
      <rPr>
        <b/>
        <sz val="11"/>
        <color theme="1"/>
        <rFont val="Calibri"/>
        <family val="2"/>
        <scheme val="minor"/>
      </rPr>
      <t>cisplatin</t>
    </r>
    <r>
      <rPr>
        <sz val="11"/>
        <color theme="1"/>
        <rFont val="Calibri"/>
        <family val="2"/>
        <scheme val="minor"/>
      </rPr>
      <t xml:space="preserve">-based chemotherapy. </t>
    </r>
    <r>
      <rPr>
        <b/>
        <sz val="11"/>
        <color theme="1"/>
        <rFont val="Calibri"/>
        <family val="2"/>
        <scheme val="minor"/>
      </rPr>
      <t>6)</t>
    </r>
    <r>
      <rPr>
        <sz val="11"/>
        <color theme="1"/>
        <rFont val="Calibri"/>
        <family val="2"/>
        <scheme val="minor"/>
      </rPr>
      <t xml:space="preserve"> The expression of </t>
    </r>
    <r>
      <rPr>
        <b/>
        <sz val="11"/>
        <color theme="1"/>
        <rFont val="Calibri"/>
        <family val="2"/>
        <scheme val="minor"/>
      </rPr>
      <t>CD44v8-10</t>
    </r>
    <r>
      <rPr>
        <sz val="11"/>
        <color theme="1"/>
        <rFont val="Calibri"/>
        <family val="2"/>
        <scheme val="minor"/>
      </rPr>
      <t xml:space="preserve"> and xCT was stronger in urothelial cancer cisplatin-resistant T24PR cells than in T24 cells. The amount of intracellular glutathione was significantly higher in T24PR cells than in T24 cells, and intracellular ROS production by </t>
    </r>
    <r>
      <rPr>
        <b/>
        <sz val="11"/>
        <color theme="1"/>
        <rFont val="Calibri"/>
        <family val="2"/>
        <scheme val="minor"/>
      </rPr>
      <t>cisplatin</t>
    </r>
    <r>
      <rPr>
        <sz val="11"/>
        <color theme="1"/>
        <rFont val="Calibri"/>
        <family val="2"/>
        <scheme val="minor"/>
      </rPr>
      <t xml:space="preserve"> was lower in T24PR cells than in T24 cells. </t>
    </r>
    <r>
      <rPr>
        <b/>
        <sz val="11"/>
        <color theme="1"/>
        <rFont val="Calibri"/>
        <family val="2"/>
        <scheme val="minor"/>
      </rPr>
      <t>7)</t>
    </r>
    <r>
      <rPr>
        <sz val="11"/>
        <color theme="1"/>
        <rFont val="Calibri"/>
        <family val="2"/>
        <scheme val="minor"/>
      </rPr>
      <t xml:space="preserve"> the knockdown of </t>
    </r>
    <r>
      <rPr>
        <b/>
        <sz val="11"/>
        <color theme="1"/>
        <rFont val="Calibri"/>
        <family val="2"/>
        <scheme val="minor"/>
      </rPr>
      <t>CD44v8-10</t>
    </r>
    <r>
      <rPr>
        <sz val="11"/>
        <color theme="1"/>
        <rFont val="Calibri"/>
        <family val="2"/>
        <scheme val="minor"/>
      </rPr>
      <t xml:space="preserve"> by siRNA led to the recovery of </t>
    </r>
    <r>
      <rPr>
        <b/>
        <sz val="11"/>
        <color theme="1"/>
        <rFont val="Calibri"/>
        <family val="2"/>
        <scheme val="minor"/>
      </rPr>
      <t>cisplatin</t>
    </r>
    <r>
      <rPr>
        <sz val="11"/>
        <color theme="1"/>
        <rFont val="Calibri"/>
        <family val="2"/>
        <scheme val="minor"/>
      </rPr>
      <t xml:space="preserve"> sensitivity in T24PR cells. </t>
    </r>
    <r>
      <rPr>
        <b/>
        <sz val="11"/>
        <color theme="1"/>
        <rFont val="Calibri"/>
        <family val="2"/>
        <scheme val="minor"/>
      </rPr>
      <t xml:space="preserve">8) </t>
    </r>
    <r>
      <rPr>
        <sz val="11"/>
        <color theme="1"/>
        <rFont val="Calibri"/>
        <family val="2"/>
        <scheme val="minor"/>
      </rPr>
      <t xml:space="preserve">increased expression of </t>
    </r>
    <r>
      <rPr>
        <b/>
        <sz val="11"/>
        <color theme="1"/>
        <rFont val="Calibri"/>
        <family val="2"/>
        <scheme val="minor"/>
      </rPr>
      <t>CD44</t>
    </r>
    <r>
      <rPr>
        <sz val="11"/>
        <color theme="1"/>
        <rFont val="Calibri"/>
        <family val="2"/>
        <scheme val="minor"/>
      </rPr>
      <t xml:space="preserve"> in the cut margin of recurrent </t>
    </r>
    <r>
      <rPr>
        <b/>
        <sz val="11"/>
        <color theme="1"/>
        <rFont val="Calibri"/>
        <family val="2"/>
        <scheme val="minor"/>
      </rPr>
      <t>HNSCC</t>
    </r>
    <r>
      <rPr>
        <sz val="11"/>
        <color theme="1"/>
        <rFont val="Calibri"/>
        <family val="2"/>
        <scheme val="minor"/>
      </rPr>
      <t xml:space="preserve"> patients were associated with poor prognosis. </t>
    </r>
    <r>
      <rPr>
        <b/>
        <sz val="11"/>
        <color theme="1"/>
        <rFont val="Calibri"/>
        <family val="2"/>
        <scheme val="minor"/>
      </rPr>
      <t xml:space="preserve">9) </t>
    </r>
    <r>
      <rPr>
        <sz val="11"/>
        <color theme="1"/>
        <rFont val="Calibri"/>
        <family val="2"/>
        <scheme val="minor"/>
      </rPr>
      <t xml:space="preserve">inhibition of CD44 by using 1,2,3,4 tetrahydroisoquinoline (THIQ) modulates the expression of </t>
    </r>
    <r>
      <rPr>
        <b/>
        <sz val="11"/>
        <color theme="1"/>
        <rFont val="Calibri"/>
        <family val="2"/>
        <scheme val="minor"/>
      </rPr>
      <t>Wnt/ β-catenin</t>
    </r>
    <r>
      <rPr>
        <sz val="11"/>
        <color theme="1"/>
        <rFont val="Calibri"/>
        <family val="2"/>
        <scheme val="minor"/>
      </rPr>
      <t xml:space="preserve"> signaling proteins and further silencing of β-catenin also decreases the expression of CD44. </t>
    </r>
    <r>
      <rPr>
        <b/>
        <sz val="11"/>
        <color theme="1"/>
        <rFont val="Calibri"/>
        <family val="2"/>
        <scheme val="minor"/>
      </rPr>
      <t>10)</t>
    </r>
    <r>
      <rPr>
        <sz val="11"/>
        <color theme="1"/>
        <rFont val="Calibri"/>
        <family val="2"/>
        <scheme val="minor"/>
      </rPr>
      <t xml:space="preserve"> inhibition of </t>
    </r>
    <r>
      <rPr>
        <b/>
        <sz val="11"/>
        <color theme="1"/>
        <rFont val="Calibri"/>
        <family val="2"/>
        <scheme val="minor"/>
      </rPr>
      <t>CD44</t>
    </r>
    <r>
      <rPr>
        <sz val="11"/>
        <color theme="1"/>
        <rFont val="Calibri"/>
        <family val="2"/>
        <scheme val="minor"/>
      </rPr>
      <t xml:space="preserve"> chemosensitizes </t>
    </r>
    <r>
      <rPr>
        <b/>
        <sz val="11"/>
        <color theme="1"/>
        <rFont val="Calibri"/>
        <family val="2"/>
        <scheme val="minor"/>
      </rPr>
      <t>cisplatin</t>
    </r>
    <r>
      <rPr>
        <sz val="11"/>
        <color theme="1"/>
        <rFont val="Calibri"/>
        <family val="2"/>
        <scheme val="minor"/>
      </rPr>
      <t xml:space="preserve">-resistant </t>
    </r>
    <r>
      <rPr>
        <b/>
        <sz val="11"/>
        <color theme="1"/>
        <rFont val="Calibri"/>
        <family val="2"/>
        <scheme val="minor"/>
      </rPr>
      <t>HNSCC</t>
    </r>
    <r>
      <rPr>
        <sz val="11"/>
        <color theme="1"/>
        <rFont val="Calibri"/>
        <family val="2"/>
        <scheme val="minor"/>
      </rPr>
      <t xml:space="preserve"> cells towards </t>
    </r>
    <r>
      <rPr>
        <b/>
        <sz val="11"/>
        <color theme="1"/>
        <rFont val="Calibri"/>
        <family val="2"/>
        <scheme val="minor"/>
      </rPr>
      <t>cisplatin</t>
    </r>
    <r>
      <rPr>
        <sz val="11"/>
        <color theme="1"/>
        <rFont val="Calibri"/>
        <family val="2"/>
        <scheme val="minor"/>
      </rPr>
      <t xml:space="preserve">. </t>
    </r>
  </si>
  <si>
    <r>
      <rPr>
        <b/>
        <sz val="11"/>
        <color theme="1"/>
        <rFont val="Calibri"/>
        <family val="2"/>
        <scheme val="minor"/>
      </rPr>
      <t xml:space="preserve">1) </t>
    </r>
    <r>
      <rPr>
        <sz val="11"/>
        <color theme="1"/>
        <rFont val="Calibri"/>
        <family val="2"/>
        <scheme val="minor"/>
      </rPr>
      <t>Effector T cells and fibroblasts are major components in the</t>
    </r>
    <r>
      <rPr>
        <b/>
        <sz val="11"/>
        <color theme="1"/>
        <rFont val="Calibri"/>
        <family val="2"/>
        <scheme val="minor"/>
      </rPr>
      <t xml:space="preserve"> tumor microenvironment</t>
    </r>
    <r>
      <rPr>
        <sz val="11"/>
        <color theme="1"/>
        <rFont val="Calibri"/>
        <family val="2"/>
        <scheme val="minor"/>
      </rPr>
      <t xml:space="preserve">. </t>
    </r>
    <r>
      <rPr>
        <b/>
        <sz val="11"/>
        <color theme="1"/>
        <rFont val="Calibri"/>
        <family val="2"/>
        <scheme val="minor"/>
      </rPr>
      <t>2)</t>
    </r>
    <r>
      <rPr>
        <sz val="11"/>
        <color theme="1"/>
        <rFont val="Calibri"/>
        <family val="2"/>
        <scheme val="minor"/>
      </rPr>
      <t xml:space="preserve"> the interaction between effector T cells and fibroblasts play a role in </t>
    </r>
    <r>
      <rPr>
        <b/>
        <sz val="11"/>
        <color theme="1"/>
        <rFont val="Calibri"/>
        <family val="2"/>
        <scheme val="minor"/>
      </rPr>
      <t>platinum</t>
    </r>
    <r>
      <rPr>
        <sz val="11"/>
        <color theme="1"/>
        <rFont val="Calibri"/>
        <family val="2"/>
        <scheme val="minor"/>
      </rPr>
      <t xml:space="preserve">-based chemoresistance and modulate chemotherapeutic response in patients with </t>
    </r>
    <r>
      <rPr>
        <b/>
        <sz val="11"/>
        <color theme="1"/>
        <rFont val="Calibri"/>
        <family val="2"/>
        <scheme val="minor"/>
      </rPr>
      <t>ovarian</t>
    </r>
    <r>
      <rPr>
        <sz val="11"/>
        <color theme="1"/>
        <rFont val="Calibri"/>
        <family val="2"/>
        <scheme val="minor"/>
      </rPr>
      <t xml:space="preserve"> cancer. </t>
    </r>
    <r>
      <rPr>
        <b/>
        <sz val="11"/>
        <color theme="1"/>
        <rFont val="Calibri"/>
        <family val="2"/>
        <scheme val="minor"/>
      </rPr>
      <t>3)</t>
    </r>
    <r>
      <rPr>
        <sz val="11"/>
        <color theme="1"/>
        <rFont val="Calibri"/>
        <family val="2"/>
        <scheme val="minor"/>
      </rPr>
      <t xml:space="preserve"> fibroblasts diminish cisplatin accumulation in ovarian cancer cells by releasing GSH and cysteine. </t>
    </r>
    <r>
      <rPr>
        <b/>
        <sz val="11"/>
        <color theme="1"/>
        <rFont val="Calibri"/>
        <family val="2"/>
        <scheme val="minor"/>
      </rPr>
      <t xml:space="preserve">4) </t>
    </r>
    <r>
      <rPr>
        <sz val="11"/>
        <color theme="1"/>
        <rFont val="Calibri"/>
        <family val="2"/>
        <scheme val="minor"/>
      </rPr>
      <t xml:space="preserve">stromal fibroblasts predict platinum-based therapeutic response and patient survival. </t>
    </r>
    <r>
      <rPr>
        <b/>
        <sz val="11"/>
        <color theme="1"/>
        <rFont val="Calibri"/>
        <family val="2"/>
        <scheme val="minor"/>
      </rPr>
      <t>5)</t>
    </r>
    <r>
      <rPr>
        <sz val="11"/>
        <color theme="1"/>
        <rFont val="Calibri"/>
        <family val="2"/>
        <scheme val="minor"/>
      </rPr>
      <t xml:space="preserve"> Intraepithelial and stromal </t>
    </r>
    <r>
      <rPr>
        <b/>
        <sz val="11"/>
        <color theme="1"/>
        <rFont val="Calibri"/>
        <family val="2"/>
        <scheme val="minor"/>
      </rPr>
      <t xml:space="preserve">CD8+ </t>
    </r>
    <r>
      <rPr>
        <sz val="11"/>
        <color theme="1"/>
        <rFont val="Calibri"/>
        <family val="2"/>
        <scheme val="minor"/>
      </rPr>
      <t xml:space="preserve">T cells correlate with improved survival in ovarian cancer. </t>
    </r>
    <r>
      <rPr>
        <b/>
        <sz val="11"/>
        <color theme="1"/>
        <rFont val="Calibri"/>
        <family val="2"/>
        <scheme val="minor"/>
      </rPr>
      <t>6)</t>
    </r>
    <r>
      <rPr>
        <sz val="11"/>
        <color theme="1"/>
        <rFont val="Calibri"/>
        <family val="2"/>
        <scheme val="minor"/>
      </rPr>
      <t xml:space="preserve"> CD8+ T cells can abolish fibroblast-mediated platinum resistance via IFNγ.</t>
    </r>
    <r>
      <rPr>
        <b/>
        <sz val="11"/>
        <color theme="1"/>
        <rFont val="Calibri"/>
        <family val="2"/>
        <scheme val="minor"/>
      </rPr>
      <t xml:space="preserve"> 7) </t>
    </r>
    <r>
      <rPr>
        <sz val="11"/>
        <color theme="1"/>
        <rFont val="Calibri"/>
        <family val="2"/>
        <scheme val="minor"/>
      </rPr>
      <t xml:space="preserve">CD8+ T cells alter the metabolism of cystine and GSH in fibroblasts. </t>
    </r>
    <r>
      <rPr>
        <b/>
        <sz val="11"/>
        <color theme="1"/>
        <rFont val="Calibri"/>
        <family val="2"/>
        <scheme val="minor"/>
      </rPr>
      <t>8)</t>
    </r>
    <r>
      <rPr>
        <sz val="11"/>
        <color theme="1"/>
        <rFont val="Calibri"/>
        <family val="2"/>
        <scheme val="minor"/>
      </rPr>
      <t xml:space="preserve"> CD8+ T cell-derived IFNγ activates GGT and promotes extracellular GSH degradation and diminishes fibroblast cysteine generation through downregulation of system xc− cysteine and glutamate antiporter. </t>
    </r>
    <r>
      <rPr>
        <b/>
        <sz val="11"/>
        <color theme="1"/>
        <rFont val="Calibri"/>
        <family val="2"/>
        <scheme val="minor"/>
      </rPr>
      <t>9)</t>
    </r>
    <r>
      <rPr>
        <sz val="11"/>
        <color theme="1"/>
        <rFont val="Calibri"/>
        <family val="2"/>
        <scheme val="minor"/>
      </rPr>
      <t xml:space="preserve"> IFNγ-activated STAT1 binds to specific promoter region of xCT and rapidly inhibits xCT gene transcription through JAK-STAT1 signaling in fibroblasts but not in tumor cells. </t>
    </r>
  </si>
  <si>
    <r>
      <rPr>
        <b/>
        <sz val="11"/>
        <color theme="1"/>
        <rFont val="Calibri"/>
        <family val="2"/>
        <scheme val="minor"/>
      </rPr>
      <t xml:space="preserve">1) </t>
    </r>
    <r>
      <rPr>
        <sz val="11"/>
        <color theme="1"/>
        <rFont val="Calibri"/>
        <family val="2"/>
        <scheme val="minor"/>
      </rPr>
      <t xml:space="preserve">silencing of </t>
    </r>
    <r>
      <rPr>
        <b/>
        <sz val="11"/>
        <color theme="1"/>
        <rFont val="Calibri"/>
        <family val="2"/>
        <scheme val="minor"/>
      </rPr>
      <t>CDC37</t>
    </r>
    <r>
      <rPr>
        <sz val="11"/>
        <color theme="1"/>
        <rFont val="Calibri"/>
        <family val="2"/>
        <scheme val="minor"/>
      </rPr>
      <t xml:space="preserve"> in human </t>
    </r>
    <r>
      <rPr>
        <b/>
        <sz val="11"/>
        <color theme="1"/>
        <rFont val="Calibri"/>
        <family val="2"/>
        <scheme val="minor"/>
      </rPr>
      <t>colon</t>
    </r>
    <r>
      <rPr>
        <sz val="11"/>
        <color theme="1"/>
        <rFont val="Calibri"/>
        <family val="2"/>
        <scheme val="minor"/>
      </rPr>
      <t xml:space="preserve"> cancer cells diminished association of kinase clients with HSP90 and reduced levels of the clients ERBB2, CRAF, CDK4 and CDK6, as well as phosphorylated AKT. </t>
    </r>
    <r>
      <rPr>
        <b/>
        <sz val="11"/>
        <color theme="1"/>
        <rFont val="Calibri"/>
        <family val="2"/>
        <scheme val="minor"/>
      </rPr>
      <t>2)</t>
    </r>
    <r>
      <rPr>
        <sz val="11"/>
        <color theme="1"/>
        <rFont val="Calibri"/>
        <family val="2"/>
        <scheme val="minor"/>
      </rPr>
      <t xml:space="preserve"> Decreased cell signalling through kinase clients was also demonstrated by reduced phosphorylation of downstream substrates and colon cancer cell proliferation was subsequently reduced by inhibition of the G1/S-phase transition. </t>
    </r>
    <r>
      <rPr>
        <b/>
        <sz val="11"/>
        <color theme="1"/>
        <rFont val="Calibri"/>
        <family val="2"/>
        <scheme val="minor"/>
      </rPr>
      <t>3)</t>
    </r>
    <r>
      <rPr>
        <sz val="11"/>
        <color theme="1"/>
        <rFont val="Calibri"/>
        <family val="2"/>
        <scheme val="minor"/>
      </rPr>
      <t xml:space="preserve"> Knockdown of FOSL1 and CDC37 in RIP3-KD cells induced cell death induced by different </t>
    </r>
    <r>
      <rPr>
        <b/>
        <sz val="11"/>
        <color theme="1"/>
        <rFont val="Calibri"/>
        <family val="2"/>
        <scheme val="minor"/>
      </rPr>
      <t>cisplatin</t>
    </r>
    <r>
      <rPr>
        <sz val="11"/>
        <color theme="1"/>
        <rFont val="Calibri"/>
        <family val="2"/>
        <scheme val="minor"/>
      </rPr>
      <t xml:space="preserve"> concentrations. </t>
    </r>
  </si>
  <si>
    <r>
      <rPr>
        <b/>
        <sz val="11"/>
        <color theme="1"/>
        <rFont val="Calibri"/>
        <family val="2"/>
        <scheme val="minor"/>
      </rPr>
      <t>1)</t>
    </r>
    <r>
      <rPr>
        <sz val="11"/>
        <color theme="1"/>
        <rFont val="Calibri"/>
        <family val="2"/>
        <scheme val="minor"/>
      </rPr>
      <t xml:space="preserve"> Direct regulation of </t>
    </r>
    <r>
      <rPr>
        <b/>
        <sz val="11"/>
        <color theme="1"/>
        <rFont val="Calibri"/>
        <family val="2"/>
        <scheme val="minor"/>
      </rPr>
      <t xml:space="preserve">miR-25 </t>
    </r>
    <r>
      <rPr>
        <sz val="11"/>
        <color theme="1"/>
        <rFont val="Calibri"/>
        <family val="2"/>
        <scheme val="minor"/>
      </rPr>
      <t xml:space="preserve">on its target gene, </t>
    </r>
    <r>
      <rPr>
        <b/>
        <sz val="11"/>
        <color theme="1"/>
        <rFont val="Calibri"/>
        <family val="2"/>
        <scheme val="minor"/>
      </rPr>
      <t>CDC42:</t>
    </r>
    <r>
      <rPr>
        <sz val="11"/>
        <color theme="1"/>
        <rFont val="Calibri"/>
        <family val="2"/>
        <scheme val="minor"/>
      </rPr>
      <t xml:space="preserve"> The expression of miR-25 in </t>
    </r>
    <r>
      <rPr>
        <b/>
        <sz val="11"/>
        <color theme="1"/>
        <rFont val="Calibri"/>
        <family val="2"/>
        <scheme val="minor"/>
      </rPr>
      <t>NSCLC</t>
    </r>
    <r>
      <rPr>
        <sz val="11"/>
        <color theme="1"/>
        <rFont val="Calibri"/>
        <family val="2"/>
        <scheme val="minor"/>
      </rPr>
      <t xml:space="preserve"> cells or human tissues was significantly higher than that in normal lung cells or adjacent non-cancerous tissues. </t>
    </r>
    <r>
      <rPr>
        <b/>
        <sz val="11"/>
        <color theme="1"/>
        <rFont val="Calibri"/>
        <family val="2"/>
        <scheme val="minor"/>
      </rPr>
      <t>2)</t>
    </r>
    <r>
      <rPr>
        <sz val="11"/>
        <color theme="1"/>
        <rFont val="Calibri"/>
        <family val="2"/>
        <scheme val="minor"/>
      </rPr>
      <t xml:space="preserve">Downregulation of miR-25 markedly inhibited A549 cell proliferation, induced G1 cell cycle arrest, increased </t>
    </r>
    <r>
      <rPr>
        <b/>
        <sz val="11"/>
        <color theme="1"/>
        <rFont val="Calibri"/>
        <family val="2"/>
        <scheme val="minor"/>
      </rPr>
      <t>cisplatin</t>
    </r>
    <r>
      <rPr>
        <sz val="11"/>
        <color theme="1"/>
        <rFont val="Calibri"/>
        <family val="2"/>
        <scheme val="minor"/>
      </rPr>
      <t xml:space="preserve"> sensitivity, and suppressed the growth of caner cell xenograft in vivo. </t>
    </r>
    <r>
      <rPr>
        <b/>
        <sz val="11"/>
        <color theme="1"/>
        <rFont val="Calibri"/>
        <family val="2"/>
        <scheme val="minor"/>
      </rPr>
      <t>3)</t>
    </r>
    <r>
      <rPr>
        <sz val="11"/>
        <color theme="1"/>
        <rFont val="Calibri"/>
        <family val="2"/>
        <scheme val="minor"/>
      </rPr>
      <t xml:space="preserve"> CDC42 was confirmed to be the directly regulated by miR-25 in A549 cells. Upregulation of CDC42 in A549 cells rescued the inhibitory effect on proliferation and the G1 cell cycle arrest induced by miR-25 downregulation.</t>
    </r>
    <r>
      <rPr>
        <b/>
        <sz val="11"/>
        <color theme="1"/>
        <rFont val="Calibri"/>
        <family val="2"/>
        <scheme val="minor"/>
      </rPr>
      <t xml:space="preserve">4) </t>
    </r>
    <r>
      <rPr>
        <sz val="11"/>
        <color theme="1"/>
        <rFont val="Calibri"/>
        <family val="2"/>
        <scheme val="minor"/>
      </rPr>
      <t>CTR2 regulates the transport of cDDP in part through control of the rate of macropinocytosis via activation of Rac1 and cdc42.  </t>
    </r>
  </si>
  <si>
    <r>
      <rPr>
        <b/>
        <sz val="11"/>
        <color theme="1"/>
        <rFont val="Calibri"/>
        <family val="2"/>
        <scheme val="minor"/>
      </rPr>
      <t xml:space="preserve">1) Cdc7 </t>
    </r>
    <r>
      <rPr>
        <sz val="11"/>
        <color theme="1"/>
        <rFont val="Calibri"/>
        <family val="2"/>
        <scheme val="minor"/>
      </rPr>
      <t xml:space="preserve">inhibitor </t>
    </r>
    <r>
      <rPr>
        <b/>
        <sz val="11"/>
        <color theme="1"/>
        <rFont val="Calibri"/>
        <family val="2"/>
        <scheme val="minor"/>
      </rPr>
      <t>dequalinium chloride</t>
    </r>
    <r>
      <rPr>
        <sz val="11"/>
        <color theme="1"/>
        <rFont val="Calibri"/>
        <family val="2"/>
        <scheme val="minor"/>
      </rPr>
      <t xml:space="preserve"> and </t>
    </r>
    <r>
      <rPr>
        <b/>
        <sz val="11"/>
        <color theme="1"/>
        <rFont val="Calibri"/>
        <family val="2"/>
        <scheme val="minor"/>
      </rPr>
      <t>clofoctol</t>
    </r>
    <r>
      <rPr>
        <sz val="11"/>
        <color theme="1"/>
        <rFont val="Calibri"/>
        <family val="2"/>
        <scheme val="minor"/>
      </rPr>
      <t xml:space="preserve"> sensitize the effect of </t>
    </r>
    <r>
      <rPr>
        <b/>
        <sz val="11"/>
        <color theme="1"/>
        <rFont val="Calibri"/>
        <family val="2"/>
        <scheme val="minor"/>
      </rPr>
      <t>platinum</t>
    </r>
    <r>
      <rPr>
        <sz val="11"/>
        <color theme="1"/>
        <rFont val="Calibri"/>
        <family val="2"/>
        <scheme val="minor"/>
      </rPr>
      <t xml:space="preserve"> compounds and radiation due to synergistic effect. </t>
    </r>
    <r>
      <rPr>
        <b/>
        <sz val="11"/>
        <color theme="1"/>
        <rFont val="Calibri"/>
        <family val="2"/>
        <scheme val="minor"/>
      </rPr>
      <t xml:space="preserve">2) </t>
    </r>
    <r>
      <rPr>
        <sz val="11"/>
        <color theme="1"/>
        <rFont val="Calibri"/>
        <family val="2"/>
        <scheme val="minor"/>
      </rPr>
      <t xml:space="preserve">A total of 18 significantly upregulated genes were detected in cisplatin resistant </t>
    </r>
    <r>
      <rPr>
        <b/>
        <sz val="11"/>
        <color theme="1"/>
        <rFont val="Calibri"/>
        <family val="2"/>
        <scheme val="minor"/>
      </rPr>
      <t>BC</t>
    </r>
    <r>
      <rPr>
        <sz val="11"/>
        <color theme="1"/>
        <rFont val="Calibri"/>
        <family val="2"/>
        <scheme val="minor"/>
      </rPr>
      <t xml:space="preserve"> cell line T24R2, including PRKAR2A, PRKAR2B, CYCS, BCL2, BIRC3, DFFB, CASP6, CDK6, CCNE1, STEAP3, MCM7, ORC2, ORC5, ANAPC1, and ANAPC7, </t>
    </r>
    <r>
      <rPr>
        <b/>
        <sz val="11"/>
        <color theme="1"/>
        <rFont val="Calibri"/>
        <family val="2"/>
        <scheme val="minor"/>
      </rPr>
      <t>CDC7</t>
    </r>
    <r>
      <rPr>
        <sz val="11"/>
        <color theme="1"/>
        <rFont val="Calibri"/>
        <family val="2"/>
        <scheme val="minor"/>
      </rPr>
      <t xml:space="preserve">, CDC27, and SKP1. </t>
    </r>
    <r>
      <rPr>
        <b/>
        <sz val="11"/>
        <color theme="1"/>
        <rFont val="Calibri"/>
        <family val="2"/>
        <scheme val="minor"/>
      </rPr>
      <t>3) miR-630</t>
    </r>
    <r>
      <rPr>
        <sz val="11"/>
        <color theme="1"/>
        <rFont val="Calibri"/>
        <family val="2"/>
        <scheme val="minor"/>
      </rPr>
      <t xml:space="preserve"> was highly expressed in </t>
    </r>
    <r>
      <rPr>
        <b/>
        <sz val="11"/>
        <color theme="1"/>
        <rFont val="Calibri"/>
        <family val="2"/>
        <scheme val="minor"/>
      </rPr>
      <t>A549</t>
    </r>
    <r>
      <rPr>
        <sz val="11"/>
        <color theme="1"/>
        <rFont val="Calibri"/>
        <family val="2"/>
        <scheme val="minor"/>
      </rPr>
      <t xml:space="preserve"> and NIH3T3 cells where </t>
    </r>
    <r>
      <rPr>
        <b/>
        <sz val="11"/>
        <color theme="1"/>
        <rFont val="Calibri"/>
        <family val="2"/>
        <scheme val="minor"/>
      </rPr>
      <t>CDC7</t>
    </r>
    <r>
      <rPr>
        <sz val="11"/>
        <color theme="1"/>
        <rFont val="Calibri"/>
        <family val="2"/>
        <scheme val="minor"/>
      </rPr>
      <t xml:space="preserve"> was downregulated, but lower in H1299, MCF7, MDA-MB-231, HeLa and 2BS cells where </t>
    </r>
    <r>
      <rPr>
        <b/>
        <sz val="11"/>
        <color theme="1"/>
        <rFont val="Calibri"/>
        <family val="2"/>
        <scheme val="minor"/>
      </rPr>
      <t xml:space="preserve">CDC7 </t>
    </r>
    <r>
      <rPr>
        <sz val="11"/>
        <color theme="1"/>
        <rFont val="Calibri"/>
        <family val="2"/>
        <scheme val="minor"/>
      </rPr>
      <t xml:space="preserve">was upregulated. </t>
    </r>
    <r>
      <rPr>
        <b/>
        <sz val="11"/>
        <color theme="1"/>
        <rFont val="Calibri"/>
        <family val="2"/>
        <scheme val="minor"/>
      </rPr>
      <t xml:space="preserve">4) </t>
    </r>
    <r>
      <rPr>
        <sz val="11"/>
        <color theme="1"/>
        <rFont val="Calibri"/>
        <family val="2"/>
        <scheme val="minor"/>
      </rPr>
      <t xml:space="preserve">the induction of </t>
    </r>
    <r>
      <rPr>
        <b/>
        <sz val="11"/>
        <color theme="1"/>
        <rFont val="Calibri"/>
        <family val="2"/>
        <scheme val="minor"/>
      </rPr>
      <t>miR-630</t>
    </r>
    <r>
      <rPr>
        <sz val="11"/>
        <color theme="1"/>
        <rFont val="Calibri"/>
        <family val="2"/>
        <scheme val="minor"/>
      </rPr>
      <t xml:space="preserve"> occurred commonly in a variety of human cancer and immortalized cells in response to genotoxic agents. </t>
    </r>
    <r>
      <rPr>
        <b/>
        <sz val="11"/>
        <color theme="1"/>
        <rFont val="Calibri"/>
        <family val="2"/>
        <scheme val="minor"/>
      </rPr>
      <t xml:space="preserve">5) </t>
    </r>
    <r>
      <rPr>
        <sz val="11"/>
        <color theme="1"/>
        <rFont val="Calibri"/>
        <family val="2"/>
        <scheme val="minor"/>
      </rPr>
      <t xml:space="preserve">downregulation of CDC7 by miR-630 was associated with cisplatin (CIS)-induced inhibitory proliferation in A549 cells. </t>
    </r>
    <r>
      <rPr>
        <b/>
        <sz val="11"/>
        <color theme="1"/>
        <rFont val="Calibri"/>
        <family val="2"/>
        <scheme val="minor"/>
      </rPr>
      <t>6)</t>
    </r>
    <r>
      <rPr>
        <sz val="11"/>
        <color theme="1"/>
        <rFont val="Calibri"/>
        <family val="2"/>
        <scheme val="minor"/>
      </rPr>
      <t xml:space="preserve"> There was a synergistic effect between </t>
    </r>
    <r>
      <rPr>
        <b/>
        <sz val="11"/>
        <color theme="1"/>
        <rFont val="Calibri"/>
        <family val="2"/>
        <scheme val="minor"/>
      </rPr>
      <t>CDC7</t>
    </r>
    <r>
      <rPr>
        <sz val="11"/>
        <color theme="1"/>
        <rFont val="Calibri"/>
        <family val="2"/>
        <scheme val="minor"/>
      </rPr>
      <t xml:space="preserve"> inhibitor </t>
    </r>
    <r>
      <rPr>
        <b/>
        <sz val="11"/>
        <color theme="1"/>
        <rFont val="Calibri"/>
        <family val="2"/>
        <scheme val="minor"/>
      </rPr>
      <t>XL413</t>
    </r>
    <r>
      <rPr>
        <sz val="11"/>
        <color theme="1"/>
        <rFont val="Calibri"/>
        <family val="2"/>
        <scheme val="minor"/>
      </rPr>
      <t xml:space="preserve"> and DNA-damaging agents (e.g. </t>
    </r>
    <r>
      <rPr>
        <b/>
        <sz val="11"/>
        <color theme="1"/>
        <rFont val="Calibri"/>
        <family val="2"/>
        <scheme val="minor"/>
      </rPr>
      <t>cisplatin</t>
    </r>
    <r>
      <rPr>
        <sz val="11"/>
        <color theme="1"/>
        <rFont val="Calibri"/>
        <family val="2"/>
        <scheme val="minor"/>
      </rPr>
      <t xml:space="preserve"> and 5-fluorouracil) on </t>
    </r>
    <r>
      <rPr>
        <b/>
        <sz val="11"/>
        <color theme="1"/>
        <rFont val="Calibri"/>
        <family val="2"/>
        <scheme val="minor"/>
      </rPr>
      <t>OSCC</t>
    </r>
    <r>
      <rPr>
        <sz val="11"/>
        <color theme="1"/>
        <rFont val="Calibri"/>
        <family val="2"/>
        <scheme val="minor"/>
      </rPr>
      <t xml:space="preserve"> in vitro and in vivo. </t>
    </r>
  </si>
  <si>
    <r>
      <rPr>
        <b/>
        <sz val="11"/>
        <color theme="1"/>
        <rFont val="Calibri"/>
        <family val="2"/>
        <scheme val="minor"/>
      </rPr>
      <t>1)</t>
    </r>
    <r>
      <rPr>
        <sz val="11"/>
        <color theme="1"/>
        <rFont val="Calibri"/>
        <family val="2"/>
        <scheme val="minor"/>
      </rPr>
      <t xml:space="preserve"> Disruption of </t>
    </r>
    <r>
      <rPr>
        <b/>
        <sz val="11"/>
        <color theme="1"/>
        <rFont val="Calibri"/>
        <family val="2"/>
        <scheme val="minor"/>
      </rPr>
      <t>CDCP1</t>
    </r>
    <r>
      <rPr>
        <sz val="11"/>
        <color theme="1"/>
        <rFont val="Calibri"/>
        <family val="2"/>
        <scheme val="minor"/>
      </rPr>
      <t xml:space="preserve"> via silencing and antibody-mediated inhibition markedly reduce the ability of TOV21G </t>
    </r>
    <r>
      <rPr>
        <b/>
        <sz val="11"/>
        <color theme="1"/>
        <rFont val="Calibri"/>
        <family val="2"/>
        <scheme val="minor"/>
      </rPr>
      <t>OCC</t>
    </r>
    <r>
      <rPr>
        <sz val="11"/>
        <color theme="1"/>
        <rFont val="Calibri"/>
        <family val="2"/>
        <scheme val="minor"/>
      </rPr>
      <t xml:space="preserve"> cells to form intraperitoneal tumors and induce accumulation of ascites in mice. </t>
    </r>
    <r>
      <rPr>
        <b/>
        <sz val="11"/>
        <color theme="1"/>
        <rFont val="Calibri"/>
        <family val="2"/>
        <scheme val="minor"/>
      </rPr>
      <t xml:space="preserve">2) </t>
    </r>
    <r>
      <rPr>
        <sz val="11"/>
        <color theme="1"/>
        <rFont val="Calibri"/>
        <family val="2"/>
        <scheme val="minor"/>
      </rPr>
      <t xml:space="preserve">CDCP1 effects are mediated via a novel mechanism of protein kinase B (Akt) activation. </t>
    </r>
    <r>
      <rPr>
        <b/>
        <sz val="11"/>
        <color theme="1"/>
        <rFont val="Calibri"/>
        <family val="2"/>
        <scheme val="minor"/>
      </rPr>
      <t>3)</t>
    </r>
    <r>
      <rPr>
        <sz val="11"/>
        <color theme="1"/>
        <rFont val="Calibri"/>
        <family val="2"/>
        <scheme val="minor"/>
      </rPr>
      <t xml:space="preserve"> CDCP1 is functionally important in OCC, with its expression elevated in 90% of 198 OCC tumors and increased CDCP1 expression correlating with poor patient disease-free and overall survival. </t>
    </r>
    <r>
      <rPr>
        <b/>
        <sz val="11"/>
        <color theme="1"/>
        <rFont val="Calibri"/>
        <family val="2"/>
        <scheme val="minor"/>
      </rPr>
      <t xml:space="preserve">4) </t>
    </r>
    <r>
      <rPr>
        <sz val="11"/>
        <color theme="1"/>
        <rFont val="Calibri"/>
        <family val="2"/>
        <scheme val="minor"/>
      </rPr>
      <t xml:space="preserve">CDCP1 is largely restricted to the surface of malignant cells where it is accessible to therapeutic antibodies. </t>
    </r>
    <r>
      <rPr>
        <b/>
        <sz val="11"/>
        <color theme="1"/>
        <rFont val="Calibri"/>
        <family val="2"/>
        <scheme val="minor"/>
      </rPr>
      <t>5)</t>
    </r>
    <r>
      <rPr>
        <sz val="11"/>
        <color theme="1"/>
        <rFont val="Calibri"/>
        <family val="2"/>
        <scheme val="minor"/>
      </rPr>
      <t xml:space="preserve"> antibody-mediated blockade of CDCP1 in vivo significantly increased the anti-tumor efficacy of </t>
    </r>
    <r>
      <rPr>
        <b/>
        <sz val="11"/>
        <color theme="1"/>
        <rFont val="Calibri"/>
        <family val="2"/>
        <scheme val="minor"/>
      </rPr>
      <t>carboplatin</t>
    </r>
    <r>
      <rPr>
        <sz val="11"/>
        <color theme="1"/>
        <rFont val="Calibri"/>
        <family val="2"/>
        <scheme val="minor"/>
      </rPr>
      <t xml:space="preserve">. </t>
    </r>
  </si>
  <si>
    <r>
      <rPr>
        <b/>
        <sz val="11"/>
        <color theme="1"/>
        <rFont val="Calibri"/>
        <family val="2"/>
        <scheme val="minor"/>
      </rPr>
      <t>1) cisplatin</t>
    </r>
    <r>
      <rPr>
        <sz val="11"/>
        <color theme="1"/>
        <rFont val="Calibri"/>
        <family val="2"/>
        <scheme val="minor"/>
      </rPr>
      <t xml:space="preserve">-induced transition of EMT in residual cancer cells correlated with reduced E-cadherin, and increased </t>
    </r>
    <r>
      <rPr>
        <b/>
        <sz val="11"/>
        <color theme="1"/>
        <rFont val="Calibri"/>
        <family val="2"/>
        <scheme val="minor"/>
      </rPr>
      <t>N-cadherin</t>
    </r>
    <r>
      <rPr>
        <sz val="11"/>
        <color theme="1"/>
        <rFont val="Calibri"/>
        <family val="2"/>
        <scheme val="minor"/>
      </rPr>
      <t xml:space="preserve"> and vimentin expression.</t>
    </r>
    <r>
      <rPr>
        <b/>
        <sz val="11"/>
        <color theme="1"/>
        <rFont val="Calibri"/>
        <family val="2"/>
        <scheme val="minor"/>
      </rPr>
      <t xml:space="preserve"> 2) </t>
    </r>
    <r>
      <rPr>
        <sz val="11"/>
        <color theme="1"/>
        <rFont val="Calibri"/>
        <family val="2"/>
        <scheme val="minor"/>
      </rPr>
      <t xml:space="preserve">Expression of N-cadherin is preserved in cisplatin-resistant GCT cells, pointing to an important physiological role in cell survival. </t>
    </r>
    <r>
      <rPr>
        <b/>
        <sz val="11"/>
        <color theme="1"/>
        <rFont val="Calibri"/>
        <family val="2"/>
        <scheme val="minor"/>
      </rPr>
      <t xml:space="preserve">3) </t>
    </r>
    <r>
      <rPr>
        <sz val="11"/>
        <color theme="1"/>
        <rFont val="Calibri"/>
        <family val="2"/>
        <scheme val="minor"/>
      </rPr>
      <t>N-cadherin-downregulation results in a significant decrease of proliferation, migration, and invasion and stimulates apoptosis in cisplatin-naive and resistant GCT cell lines. </t>
    </r>
    <r>
      <rPr>
        <b/>
        <sz val="11"/>
        <color theme="1"/>
        <rFont val="Calibri"/>
        <family val="2"/>
        <scheme val="minor"/>
      </rPr>
      <t>4)</t>
    </r>
    <r>
      <rPr>
        <sz val="11"/>
        <color theme="1"/>
        <rFont val="Calibri"/>
        <family val="2"/>
        <scheme val="minor"/>
      </rPr>
      <t xml:space="preserve"> Low expression of</t>
    </r>
    <r>
      <rPr>
        <b/>
        <sz val="11"/>
        <color theme="1"/>
        <rFont val="Calibri"/>
        <family val="2"/>
        <scheme val="minor"/>
      </rPr>
      <t xml:space="preserve"> </t>
    </r>
    <r>
      <rPr>
        <sz val="11"/>
        <color theme="1"/>
        <rFont val="Calibri"/>
        <family val="2"/>
        <scheme val="minor"/>
      </rPr>
      <t xml:space="preserve">CDH2 (N-cadherin) correspond to high brain metastasis-free at 2 years after diagnosis in patients with more advanced </t>
    </r>
    <r>
      <rPr>
        <b/>
        <sz val="11"/>
        <color theme="1"/>
        <rFont val="Calibri"/>
        <family val="2"/>
        <scheme val="minor"/>
      </rPr>
      <t>lung</t>
    </r>
    <r>
      <rPr>
        <sz val="11"/>
        <color theme="1"/>
        <rFont val="Calibri"/>
        <family val="2"/>
        <scheme val="minor"/>
      </rPr>
      <t xml:space="preserve"> cancer. </t>
    </r>
    <r>
      <rPr>
        <b/>
        <sz val="11"/>
        <color theme="1"/>
        <rFont val="Calibri"/>
        <family val="2"/>
        <scheme val="minor"/>
      </rPr>
      <t xml:space="preserve">5) </t>
    </r>
    <r>
      <rPr>
        <sz val="11"/>
        <color theme="1"/>
        <rFont val="Calibri"/>
        <family val="2"/>
        <scheme val="minor"/>
      </rPr>
      <t xml:space="preserve">These results were confirmed by immunohistochemical detection of N-cadherin in independent cohort of primary </t>
    </r>
    <r>
      <rPr>
        <b/>
        <sz val="11"/>
        <color theme="1"/>
        <rFont val="Calibri"/>
        <family val="2"/>
        <scheme val="minor"/>
      </rPr>
      <t>NSCLC</t>
    </r>
    <r>
      <rPr>
        <sz val="11"/>
        <color theme="1"/>
        <rFont val="Calibri"/>
        <family val="2"/>
        <scheme val="minor"/>
      </rPr>
      <t xml:space="preserve">. </t>
    </r>
    <r>
      <rPr>
        <b/>
        <sz val="11"/>
        <color theme="1"/>
        <rFont val="Calibri"/>
        <family val="2"/>
        <scheme val="minor"/>
      </rPr>
      <t xml:space="preserve">6) </t>
    </r>
    <r>
      <rPr>
        <sz val="11"/>
        <color theme="1"/>
        <rFont val="Calibri"/>
        <family val="2"/>
        <scheme val="minor"/>
      </rPr>
      <t xml:space="preserve">Patients with low CDH2 expression had an improved prognosis and benefited from </t>
    </r>
    <r>
      <rPr>
        <b/>
        <sz val="11"/>
        <color theme="1"/>
        <rFont val="Calibri"/>
        <family val="2"/>
        <scheme val="minor"/>
      </rPr>
      <t>temozolomide</t>
    </r>
    <r>
      <rPr>
        <sz val="11"/>
        <color theme="1"/>
        <rFont val="Calibri"/>
        <family val="2"/>
        <scheme val="minor"/>
      </rPr>
      <t xml:space="preserve"> therapy in </t>
    </r>
    <r>
      <rPr>
        <b/>
        <sz val="11"/>
        <color theme="1"/>
        <rFont val="Calibri"/>
        <family val="2"/>
        <scheme val="minor"/>
      </rPr>
      <t>glioblastoma</t>
    </r>
    <r>
      <rPr>
        <sz val="11"/>
        <color theme="1"/>
        <rFont val="Calibri"/>
        <family val="2"/>
        <scheme val="minor"/>
      </rPr>
      <t xml:space="preserve">. </t>
    </r>
  </si>
  <si>
    <r>
      <rPr>
        <b/>
        <sz val="11"/>
        <color theme="1"/>
        <rFont val="Calibri"/>
        <family val="2"/>
        <scheme val="minor"/>
      </rPr>
      <t>1)</t>
    </r>
    <r>
      <rPr>
        <sz val="11"/>
        <color theme="1"/>
        <rFont val="Calibri"/>
        <family val="2"/>
        <scheme val="minor"/>
      </rPr>
      <t xml:space="preserve"> the recurrent somatic </t>
    </r>
    <r>
      <rPr>
        <b/>
        <sz val="11"/>
        <color theme="1"/>
        <rFont val="Calibri"/>
        <family val="2"/>
        <scheme val="minor"/>
      </rPr>
      <t>CDK12</t>
    </r>
    <r>
      <rPr>
        <sz val="11"/>
        <color theme="1"/>
        <rFont val="Calibri"/>
        <family val="2"/>
        <scheme val="minor"/>
      </rPr>
      <t xml:space="preserve"> mutations identified in</t>
    </r>
    <r>
      <rPr>
        <b/>
        <sz val="11"/>
        <color theme="1"/>
        <rFont val="Calibri"/>
        <family val="2"/>
        <scheme val="minor"/>
      </rPr>
      <t xml:space="preserve"> ovarian</t>
    </r>
    <r>
      <rPr>
        <sz val="11"/>
        <color theme="1"/>
        <rFont val="Calibri"/>
        <family val="2"/>
        <scheme val="minor"/>
      </rPr>
      <t xml:space="preserve"> cancers impair the catalytic activity of this kinase, which is involved in the transcription of a subset of genes, including BRCA1 and other DNA repair genes. </t>
    </r>
    <r>
      <rPr>
        <b/>
        <sz val="11"/>
        <color theme="1"/>
        <rFont val="Calibri"/>
        <family val="2"/>
        <scheme val="minor"/>
      </rPr>
      <t>2)</t>
    </r>
    <r>
      <rPr>
        <sz val="11"/>
        <color theme="1"/>
        <rFont val="Calibri"/>
        <family val="2"/>
        <scheme val="minor"/>
      </rPr>
      <t xml:space="preserve"> disabling CDK12 function in ovarian cancer cells reduces BRCA1 levels, disrupts HR repair, and sensitizes these cells to the cross-linking agents melphalan and cisplatin and to the poly(ADP-ribose) polymerase (PARP) inhibitor veliparib (ABT-888). </t>
    </r>
    <r>
      <rPr>
        <b/>
        <sz val="11"/>
        <color theme="1"/>
        <rFont val="Calibri"/>
        <family val="2"/>
        <scheme val="minor"/>
      </rPr>
      <t>3</t>
    </r>
    <r>
      <rPr>
        <sz val="11"/>
        <color theme="1"/>
        <rFont val="Calibri"/>
        <family val="2"/>
        <scheme val="minor"/>
      </rPr>
      <t>) these findings suggest that many CDK12 mutations are an unrecognized cause of HR defects in ovarian cancers.</t>
    </r>
  </si>
  <si>
    <r>
      <rPr>
        <b/>
        <sz val="11"/>
        <color theme="1"/>
        <rFont val="Calibri"/>
        <family val="2"/>
        <scheme val="minor"/>
      </rPr>
      <t>1)</t>
    </r>
    <r>
      <rPr>
        <sz val="11"/>
        <color theme="1"/>
        <rFont val="Calibri"/>
        <family val="2"/>
        <scheme val="minor"/>
      </rPr>
      <t xml:space="preserve"> BRCA1 and BRCA2 are also known </t>
    </r>
    <r>
      <rPr>
        <b/>
        <sz val="11"/>
        <color theme="1"/>
        <rFont val="Calibri"/>
        <family val="2"/>
        <scheme val="minor"/>
      </rPr>
      <t>E2F</t>
    </r>
    <r>
      <rPr>
        <sz val="11"/>
        <color theme="1"/>
        <rFont val="Calibri"/>
        <family val="2"/>
        <scheme val="minor"/>
      </rPr>
      <t xml:space="preserve"> targets and overexpressed in CCNE1-amplified HGSOC. </t>
    </r>
    <r>
      <rPr>
        <b/>
        <sz val="11"/>
        <color theme="1"/>
        <rFont val="Calibri"/>
        <family val="2"/>
        <scheme val="minor"/>
      </rPr>
      <t>2)</t>
    </r>
    <r>
      <rPr>
        <sz val="11"/>
        <color theme="1"/>
        <rFont val="Calibri"/>
        <family val="2"/>
        <scheme val="minor"/>
      </rPr>
      <t xml:space="preserve"> Inhibition of CDK1/2 by SNS032 or dinaciclib resulted in downregulation of BRCA1 and chemosensitization specifically in cyclin E1-driven cells. </t>
    </r>
    <r>
      <rPr>
        <b/>
        <sz val="11"/>
        <color theme="1"/>
        <rFont val="Calibri"/>
        <family val="2"/>
        <scheme val="minor"/>
      </rPr>
      <t xml:space="preserve">3) </t>
    </r>
    <r>
      <rPr>
        <sz val="11"/>
        <color theme="1"/>
        <rFont val="Calibri"/>
        <family val="2"/>
        <scheme val="minor"/>
      </rPr>
      <t xml:space="preserve">p27kip1 expression was reduced in </t>
    </r>
    <r>
      <rPr>
        <b/>
        <sz val="11"/>
        <color theme="1"/>
        <rFont val="Calibri"/>
        <family val="2"/>
        <scheme val="minor"/>
      </rPr>
      <t>ovarian</t>
    </r>
    <r>
      <rPr>
        <sz val="11"/>
        <color theme="1"/>
        <rFont val="Calibri"/>
        <family val="2"/>
        <scheme val="minor"/>
      </rPr>
      <t xml:space="preserve"> carcinomas in contrast to benign and borderline tumors.</t>
    </r>
    <r>
      <rPr>
        <b/>
        <sz val="11"/>
        <color theme="1"/>
        <rFont val="Calibri"/>
        <family val="2"/>
        <scheme val="minor"/>
      </rPr>
      <t xml:space="preserve"> 4)</t>
    </r>
    <r>
      <rPr>
        <sz val="11"/>
        <color theme="1"/>
        <rFont val="Calibri"/>
        <family val="2"/>
        <scheme val="minor"/>
      </rPr>
      <t xml:space="preserve"> The expression of cyclin E and </t>
    </r>
    <r>
      <rPr>
        <b/>
        <sz val="11"/>
        <color theme="1"/>
        <rFont val="Calibri"/>
        <family val="2"/>
        <scheme val="minor"/>
      </rPr>
      <t xml:space="preserve">cdk2 </t>
    </r>
    <r>
      <rPr>
        <sz val="11"/>
        <color theme="1"/>
        <rFont val="Calibri"/>
        <family val="2"/>
        <scheme val="minor"/>
      </rPr>
      <t xml:space="preserve">gradually increased from benign to borderline to malignant tumors. </t>
    </r>
    <r>
      <rPr>
        <b/>
        <sz val="11"/>
        <color theme="1"/>
        <rFont val="Calibri"/>
        <family val="2"/>
        <scheme val="minor"/>
      </rPr>
      <t xml:space="preserve">5) </t>
    </r>
    <r>
      <rPr>
        <sz val="11"/>
        <color theme="1"/>
        <rFont val="Calibri"/>
        <family val="2"/>
        <scheme val="minor"/>
      </rPr>
      <t xml:space="preserve">patients with p27kip1 expression had a high overall survival rate. </t>
    </r>
    <r>
      <rPr>
        <b/>
        <sz val="11"/>
        <color theme="1"/>
        <rFont val="Calibri"/>
        <family val="2"/>
        <scheme val="minor"/>
      </rPr>
      <t xml:space="preserve">6) </t>
    </r>
    <r>
      <rPr>
        <sz val="11"/>
        <color theme="1"/>
        <rFont val="Calibri"/>
        <family val="2"/>
        <scheme val="minor"/>
      </rPr>
      <t xml:space="preserve">Patients with cyclin E overexpression had a low overall survival rate. </t>
    </r>
    <r>
      <rPr>
        <b/>
        <sz val="11"/>
        <color theme="1"/>
        <rFont val="Calibri"/>
        <family val="2"/>
        <scheme val="minor"/>
      </rPr>
      <t>7)</t>
    </r>
    <r>
      <rPr>
        <sz val="11"/>
        <color theme="1"/>
        <rFont val="Calibri"/>
        <family val="2"/>
        <scheme val="minor"/>
      </rPr>
      <t xml:space="preserve"> When the combination of these proteins was analyzed, patients with the p27kip1 (−)/cyclin E (++)</t>
    </r>
    <r>
      <rPr>
        <b/>
        <sz val="11"/>
        <color theme="1"/>
        <rFont val="Calibri"/>
        <family val="2"/>
        <scheme val="minor"/>
      </rPr>
      <t>/cdk2</t>
    </r>
    <r>
      <rPr>
        <sz val="11"/>
        <color theme="1"/>
        <rFont val="Calibri"/>
        <family val="2"/>
        <scheme val="minor"/>
      </rPr>
      <t xml:space="preserve"> (++) phenotype were significantly associated with the poorest overall survival. </t>
    </r>
  </si>
  <si>
    <r>
      <rPr>
        <b/>
        <sz val="11"/>
        <color theme="1"/>
        <rFont val="Calibri"/>
        <family val="2"/>
        <scheme val="minor"/>
      </rPr>
      <t>1) CDK7</t>
    </r>
    <r>
      <rPr>
        <sz val="11"/>
        <color theme="1"/>
        <rFont val="Calibri"/>
        <family val="2"/>
        <scheme val="minor"/>
      </rPr>
      <t xml:space="preserve"> has been identified as a differentially expressed gene that is highly correlated with </t>
    </r>
    <r>
      <rPr>
        <b/>
        <sz val="11"/>
        <color theme="1"/>
        <rFont val="Calibri"/>
        <family val="2"/>
        <scheme val="minor"/>
      </rPr>
      <t>endometrial</t>
    </r>
    <r>
      <rPr>
        <sz val="11"/>
        <color theme="1"/>
        <rFont val="Calibri"/>
        <family val="2"/>
        <scheme val="minor"/>
      </rPr>
      <t xml:space="preserve"> carcinoma. </t>
    </r>
    <r>
      <rPr>
        <b/>
        <sz val="11"/>
        <color theme="1"/>
        <rFont val="Calibri"/>
        <family val="2"/>
        <scheme val="minor"/>
      </rPr>
      <t xml:space="preserve">2) </t>
    </r>
    <r>
      <rPr>
        <sz val="11"/>
        <color theme="1"/>
        <rFont val="Calibri"/>
        <family val="2"/>
        <scheme val="minor"/>
      </rPr>
      <t xml:space="preserve">the half maximal inhibitory concentration of </t>
    </r>
    <r>
      <rPr>
        <b/>
        <sz val="11"/>
        <color theme="1"/>
        <rFont val="Calibri"/>
        <family val="2"/>
        <scheme val="minor"/>
      </rPr>
      <t>cisplatin</t>
    </r>
    <r>
      <rPr>
        <sz val="11"/>
        <color theme="1"/>
        <rFont val="Calibri"/>
        <family val="2"/>
        <scheme val="minor"/>
      </rPr>
      <t xml:space="preserve"> was reduced from 45.12 µg/ml to 3.200 µg/ml following the inhibition of CDK7 expression levels, indicating a significantly increased cytotoxicity in the treated cells (P&lt;0.05) in the HEC-1-A endometrial carcinoma cell line. </t>
    </r>
    <r>
      <rPr>
        <b/>
        <sz val="11"/>
        <color theme="1"/>
        <rFont val="Calibri"/>
        <family val="2"/>
        <scheme val="minor"/>
      </rPr>
      <t>3)</t>
    </r>
    <r>
      <rPr>
        <sz val="11"/>
        <color theme="1"/>
        <rFont val="Calibri"/>
        <family val="2"/>
        <scheme val="minor"/>
      </rPr>
      <t xml:space="preserve"> High </t>
    </r>
    <r>
      <rPr>
        <b/>
        <sz val="11"/>
        <color theme="1"/>
        <rFont val="Calibri"/>
        <family val="2"/>
        <scheme val="minor"/>
      </rPr>
      <t xml:space="preserve">CDK7 </t>
    </r>
    <r>
      <rPr>
        <sz val="11"/>
        <color theme="1"/>
        <rFont val="Calibri"/>
        <family val="2"/>
        <scheme val="minor"/>
      </rPr>
      <t xml:space="preserve">protein expression was associated with poor prognosis of </t>
    </r>
    <r>
      <rPr>
        <b/>
        <sz val="11"/>
        <color theme="1"/>
        <rFont val="Calibri"/>
        <family val="2"/>
        <scheme val="minor"/>
      </rPr>
      <t>breast</t>
    </r>
    <r>
      <rPr>
        <sz val="11"/>
        <color theme="1"/>
        <rFont val="Calibri"/>
        <family val="2"/>
        <scheme val="minor"/>
      </rPr>
      <t xml:space="preserve"> cancer within the RATHER TNBC cohort (n = 109) and the METABRIC TNBC cohort (n = 203). </t>
    </r>
  </si>
  <si>
    <r>
      <rPr>
        <b/>
        <sz val="11"/>
        <color theme="1"/>
        <rFont val="Calibri"/>
        <family val="2"/>
        <scheme val="minor"/>
      </rPr>
      <t>1) p21</t>
    </r>
    <r>
      <rPr>
        <sz val="11"/>
        <color theme="1"/>
        <rFont val="Calibri"/>
        <family val="2"/>
        <scheme val="minor"/>
      </rPr>
      <t xml:space="preserve"> predominantly localizes to the cytoplasm in </t>
    </r>
    <r>
      <rPr>
        <b/>
        <sz val="11"/>
        <color theme="1"/>
        <rFont val="Calibri"/>
        <family val="2"/>
        <scheme val="minor"/>
      </rPr>
      <t>platinum</t>
    </r>
    <r>
      <rPr>
        <sz val="11"/>
        <color theme="1"/>
        <rFont val="Calibri"/>
        <family val="2"/>
        <scheme val="minor"/>
      </rPr>
      <t xml:space="preserve">-resistant </t>
    </r>
    <r>
      <rPr>
        <b/>
        <sz val="11"/>
        <color theme="1"/>
        <rFont val="Calibri"/>
        <family val="2"/>
        <scheme val="minor"/>
      </rPr>
      <t>ovarian</t>
    </r>
    <r>
      <rPr>
        <sz val="11"/>
        <color theme="1"/>
        <rFont val="Calibri"/>
        <family val="2"/>
        <scheme val="minor"/>
      </rPr>
      <t xml:space="preserve"> cancer cell line C13* compared to its parental OV2008. Persistent exposure to low dose cisplatin in OV2008 leads to p21 translocation from nuclear to cytoplasm.</t>
    </r>
    <r>
      <rPr>
        <b/>
        <sz val="11"/>
        <color theme="1"/>
        <rFont val="Calibri"/>
        <family val="2"/>
        <scheme val="minor"/>
      </rPr>
      <t xml:space="preserve"> 2) </t>
    </r>
    <r>
      <rPr>
        <sz val="11"/>
        <color theme="1"/>
        <rFont val="Calibri"/>
        <family val="2"/>
        <scheme val="minor"/>
      </rPr>
      <t xml:space="preserve">Knockdown of cytoplasmic p21 by siRNA in C13* notably increased cisplatin-induced apoptosis. Inhibition of p21 translocation into the cytoplasm by Akt2 shRNA significantly increased cisplatin-induced apoptosis, </t>
    </r>
    <r>
      <rPr>
        <b/>
        <sz val="11"/>
        <color theme="1"/>
        <rFont val="Calibri"/>
        <family val="2"/>
        <scheme val="minor"/>
      </rPr>
      <t>3)</t>
    </r>
    <r>
      <rPr>
        <sz val="11"/>
        <color theme="1"/>
        <rFont val="Calibri"/>
        <family val="2"/>
        <scheme val="minor"/>
      </rPr>
      <t xml:space="preserve"> Induction of p21 translocation into the cytoplasm by transfection of constitutively active Akt2 in OV2008 enhanced the resistance to cisplatin. </t>
    </r>
    <r>
      <rPr>
        <b/>
        <sz val="11"/>
        <color theme="1"/>
        <rFont val="Calibri"/>
        <family val="2"/>
        <scheme val="minor"/>
      </rPr>
      <t>4)</t>
    </r>
    <r>
      <rPr>
        <sz val="11"/>
        <color theme="1"/>
        <rFont val="Calibri"/>
        <family val="2"/>
        <scheme val="minor"/>
      </rPr>
      <t xml:space="preserve"> cytoplasmic p21 was negatively correlated with the response to cisplatin based treatment. </t>
    </r>
    <r>
      <rPr>
        <b/>
        <sz val="11"/>
        <color theme="1"/>
        <rFont val="Calibri"/>
        <family val="2"/>
        <scheme val="minor"/>
      </rPr>
      <t>5)</t>
    </r>
    <r>
      <rPr>
        <sz val="11"/>
        <color theme="1"/>
        <rFont val="Calibri"/>
        <family val="2"/>
        <scheme val="minor"/>
      </rPr>
      <t xml:space="preserve"> The transfection of p21(cip1/waf1) cDNA into SKOV3 and OVCAR3 </t>
    </r>
    <r>
      <rPr>
        <b/>
        <sz val="11"/>
        <color theme="1"/>
        <rFont val="Calibri"/>
        <family val="2"/>
        <scheme val="minor"/>
      </rPr>
      <t>ovarian</t>
    </r>
    <r>
      <rPr>
        <sz val="11"/>
        <color theme="1"/>
        <rFont val="Calibri"/>
        <family val="2"/>
        <scheme val="minor"/>
      </rPr>
      <t xml:space="preserve"> cancer cells led to reduction of tumor cell growth, enhanced susceptibility to </t>
    </r>
    <r>
      <rPr>
        <b/>
        <sz val="11"/>
        <color theme="1"/>
        <rFont val="Calibri"/>
        <family val="2"/>
        <scheme val="minor"/>
      </rPr>
      <t>cisplatin</t>
    </r>
    <r>
      <rPr>
        <sz val="11"/>
        <color theme="1"/>
        <rFont val="Calibri"/>
        <family val="2"/>
        <scheme val="minor"/>
      </rPr>
      <t xml:space="preserve">-induced apoptosis, and abolition of recurrency after </t>
    </r>
    <r>
      <rPr>
        <b/>
        <sz val="11"/>
        <color theme="1"/>
        <rFont val="Calibri"/>
        <family val="2"/>
        <scheme val="minor"/>
      </rPr>
      <t>cisplatin</t>
    </r>
    <r>
      <rPr>
        <sz val="11"/>
        <color theme="1"/>
        <rFont val="Calibri"/>
        <family val="2"/>
        <scheme val="minor"/>
      </rPr>
      <t xml:space="preserve"> exposure. </t>
    </r>
  </si>
  <si>
    <r>
      <rPr>
        <b/>
        <sz val="11"/>
        <color theme="1"/>
        <rFont val="Calibri"/>
        <family val="2"/>
        <scheme val="minor"/>
      </rPr>
      <t>1)</t>
    </r>
    <r>
      <rPr>
        <sz val="11"/>
        <color theme="1"/>
        <rFont val="Calibri"/>
        <family val="2"/>
        <scheme val="minor"/>
      </rPr>
      <t xml:space="preserve"> chemoresistant cell lines using paclitaxel (TAX), </t>
    </r>
    <r>
      <rPr>
        <b/>
        <sz val="11"/>
        <color theme="1"/>
        <rFont val="Calibri"/>
        <family val="2"/>
        <scheme val="minor"/>
      </rPr>
      <t>cisplatin</t>
    </r>
    <r>
      <rPr>
        <sz val="11"/>
        <color theme="1"/>
        <rFont val="Calibri"/>
        <family val="2"/>
        <scheme val="minor"/>
      </rPr>
      <t> (DDP) and carboplatin (CBP) in SKOV3 ovarian cancer cells.</t>
    </r>
    <r>
      <rPr>
        <b/>
        <sz val="11"/>
        <color theme="1"/>
        <rFont val="Calibri"/>
        <family val="2"/>
        <scheme val="minor"/>
      </rPr>
      <t xml:space="preserve"> 2)</t>
    </r>
    <r>
      <rPr>
        <sz val="11"/>
        <color theme="1"/>
        <rFont val="Calibri"/>
        <family val="2"/>
        <scheme val="minor"/>
      </rPr>
      <t xml:space="preserve"> the expression levels of</t>
    </r>
    <r>
      <rPr>
        <b/>
        <sz val="11"/>
        <color theme="1"/>
        <rFont val="Calibri"/>
        <family val="2"/>
        <scheme val="minor"/>
      </rPr>
      <t xml:space="preserve"> p27</t>
    </r>
    <r>
      <rPr>
        <sz val="11"/>
        <color theme="1"/>
        <rFont val="Calibri"/>
        <family val="2"/>
        <scheme val="minor"/>
      </rPr>
      <t xml:space="preserve"> were dramatically downregulated in chemoresistant cells. </t>
    </r>
    <r>
      <rPr>
        <b/>
        <sz val="11"/>
        <color theme="1"/>
        <rFont val="Calibri"/>
        <family val="2"/>
        <scheme val="minor"/>
      </rPr>
      <t xml:space="preserve">3) </t>
    </r>
    <r>
      <rPr>
        <sz val="11"/>
        <color theme="1"/>
        <rFont val="Calibri"/>
        <family val="2"/>
        <scheme val="minor"/>
      </rPr>
      <t>the methylation of DDP‑resistant cells was significantly higher compared with SKOV3 cells. 4</t>
    </r>
    <r>
      <rPr>
        <b/>
        <sz val="11"/>
        <color theme="1"/>
        <rFont val="Calibri"/>
        <family val="2"/>
        <scheme val="minor"/>
      </rPr>
      <t xml:space="preserve">) </t>
    </r>
    <r>
      <rPr>
        <sz val="11"/>
        <color theme="1"/>
        <rFont val="Calibri"/>
        <family val="2"/>
        <scheme val="minor"/>
      </rPr>
      <t>demethylation by 5-aza restored p27 expression in DDP-resistant cells, and increased their sensitivity to DDP.</t>
    </r>
    <r>
      <rPr>
        <b/>
        <sz val="11"/>
        <color theme="1"/>
        <rFont val="Calibri"/>
        <family val="2"/>
        <scheme val="minor"/>
      </rPr>
      <t xml:space="preserve"> 5) </t>
    </r>
    <r>
      <rPr>
        <sz val="11"/>
        <color theme="1"/>
        <rFont val="Calibri"/>
        <family val="2"/>
        <scheme val="minor"/>
      </rPr>
      <t xml:space="preserve">the overexpression of p27 arrested the cell cycle in S phase and promoted an apoptotic response to DDP. </t>
    </r>
    <r>
      <rPr>
        <b/>
        <sz val="11"/>
        <color theme="1"/>
        <rFont val="Calibri"/>
        <family val="2"/>
        <scheme val="minor"/>
      </rPr>
      <t xml:space="preserve">6) p27kip1 </t>
    </r>
    <r>
      <rPr>
        <sz val="11"/>
        <color theme="1"/>
        <rFont val="Calibri"/>
        <family val="2"/>
        <scheme val="minor"/>
      </rPr>
      <t xml:space="preserve">expression was reduced in </t>
    </r>
    <r>
      <rPr>
        <b/>
        <sz val="11"/>
        <color theme="1"/>
        <rFont val="Calibri"/>
        <family val="2"/>
        <scheme val="minor"/>
      </rPr>
      <t>ovarian</t>
    </r>
    <r>
      <rPr>
        <sz val="11"/>
        <color theme="1"/>
        <rFont val="Calibri"/>
        <family val="2"/>
        <scheme val="minor"/>
      </rPr>
      <t xml:space="preserve"> carcinomas in contrast to benign and borderline tumors. </t>
    </r>
    <r>
      <rPr>
        <b/>
        <sz val="11"/>
        <color theme="1"/>
        <rFont val="Calibri"/>
        <family val="2"/>
        <scheme val="minor"/>
      </rPr>
      <t xml:space="preserve">7) </t>
    </r>
    <r>
      <rPr>
        <sz val="11"/>
        <color theme="1"/>
        <rFont val="Calibri"/>
        <family val="2"/>
        <scheme val="minor"/>
      </rPr>
      <t xml:space="preserve">The expression of cyclin E and cdk2 gradually increased from benign to borderline to malignant tumors. </t>
    </r>
    <r>
      <rPr>
        <b/>
        <sz val="11"/>
        <color theme="1"/>
        <rFont val="Calibri"/>
        <family val="2"/>
        <scheme val="minor"/>
      </rPr>
      <t xml:space="preserve">8) </t>
    </r>
    <r>
      <rPr>
        <sz val="11"/>
        <color theme="1"/>
        <rFont val="Calibri"/>
        <family val="2"/>
        <scheme val="minor"/>
      </rPr>
      <t xml:space="preserve">patients with </t>
    </r>
    <r>
      <rPr>
        <b/>
        <sz val="11"/>
        <color theme="1"/>
        <rFont val="Calibri"/>
        <family val="2"/>
        <scheme val="minor"/>
      </rPr>
      <t xml:space="preserve">p27kip1 </t>
    </r>
    <r>
      <rPr>
        <sz val="11"/>
        <color theme="1"/>
        <rFont val="Calibri"/>
        <family val="2"/>
        <scheme val="minor"/>
      </rPr>
      <t xml:space="preserve">expression had a high overall survival rate. </t>
    </r>
    <r>
      <rPr>
        <b/>
        <sz val="11"/>
        <color theme="1"/>
        <rFont val="Calibri"/>
        <family val="2"/>
        <scheme val="minor"/>
      </rPr>
      <t xml:space="preserve">9) </t>
    </r>
    <r>
      <rPr>
        <sz val="11"/>
        <color theme="1"/>
        <rFont val="Calibri"/>
        <family val="2"/>
        <scheme val="minor"/>
      </rPr>
      <t xml:space="preserve">Patients with cyclin E overexpression had a low overall survival rate. 7) When the combination of these proteins was analyzed, patients with the </t>
    </r>
    <r>
      <rPr>
        <b/>
        <sz val="11"/>
        <color theme="1"/>
        <rFont val="Calibri"/>
        <family val="2"/>
        <scheme val="minor"/>
      </rPr>
      <t>p27kip1</t>
    </r>
    <r>
      <rPr>
        <sz val="11"/>
        <color theme="1"/>
        <rFont val="Calibri"/>
        <family val="2"/>
        <scheme val="minor"/>
      </rPr>
      <t xml:space="preserve"> (−)/cyclin E (++)/cdk2 (++) phenotype were significantly associated with the poorest overall survival. </t>
    </r>
  </si>
  <si>
    <r>
      <rPr>
        <b/>
        <sz val="11"/>
        <color theme="1"/>
        <rFont val="Calibri"/>
        <family val="2"/>
        <scheme val="minor"/>
      </rPr>
      <t>1)</t>
    </r>
    <r>
      <rPr>
        <sz val="11"/>
        <color theme="1"/>
        <rFont val="Calibri"/>
        <family val="2"/>
        <scheme val="minor"/>
      </rPr>
      <t xml:space="preserve"> PARPi resistance (D'Andrea) AACR presentation;  </t>
    </r>
    <r>
      <rPr>
        <b/>
        <sz val="11"/>
        <color theme="1"/>
        <rFont val="Calibri"/>
        <family val="2"/>
        <scheme val="minor"/>
      </rPr>
      <t xml:space="preserve">2) </t>
    </r>
    <r>
      <rPr>
        <sz val="11"/>
        <color theme="1"/>
        <rFont val="Calibri"/>
        <family val="2"/>
        <scheme val="minor"/>
      </rPr>
      <t xml:space="preserve">loss of the nucleosome remodeling factor </t>
    </r>
    <r>
      <rPr>
        <b/>
        <sz val="11"/>
        <color theme="1"/>
        <rFont val="Calibri"/>
        <family val="2"/>
        <scheme val="minor"/>
      </rPr>
      <t>CHD4</t>
    </r>
    <r>
      <rPr>
        <sz val="11"/>
        <color theme="1"/>
        <rFont val="Calibri"/>
        <family val="2"/>
        <scheme val="minor"/>
      </rPr>
      <t xml:space="preserve"> confers </t>
    </r>
    <r>
      <rPr>
        <b/>
        <sz val="11"/>
        <color theme="1"/>
        <rFont val="Calibri"/>
        <family val="2"/>
        <scheme val="minor"/>
      </rPr>
      <t>cisplatin</t>
    </r>
    <r>
      <rPr>
        <sz val="11"/>
        <color theme="1"/>
        <rFont val="Calibri"/>
        <family val="2"/>
        <scheme val="minor"/>
      </rPr>
      <t xml:space="preserve"> resistance. </t>
    </r>
    <r>
      <rPr>
        <b/>
        <sz val="11"/>
        <color theme="1"/>
        <rFont val="Calibri"/>
        <family val="2"/>
        <scheme val="minor"/>
      </rPr>
      <t>3) BRCA2</t>
    </r>
    <r>
      <rPr>
        <sz val="11"/>
        <color theme="1"/>
        <rFont val="Calibri"/>
        <family val="2"/>
        <scheme val="minor"/>
      </rPr>
      <t xml:space="preserve"> mutant </t>
    </r>
    <r>
      <rPr>
        <b/>
        <sz val="11"/>
        <color theme="1"/>
        <rFont val="Calibri"/>
        <family val="2"/>
        <scheme val="minor"/>
      </rPr>
      <t>ovarian</t>
    </r>
    <r>
      <rPr>
        <sz val="11"/>
        <color theme="1"/>
        <rFont val="Calibri"/>
        <family val="2"/>
        <scheme val="minor"/>
      </rPr>
      <t xml:space="preserve"> cancers with reduced </t>
    </r>
    <r>
      <rPr>
        <b/>
        <sz val="11"/>
        <color theme="1"/>
        <rFont val="Calibri"/>
        <family val="2"/>
        <scheme val="minor"/>
      </rPr>
      <t>CHD4</t>
    </r>
    <r>
      <rPr>
        <sz val="11"/>
        <color theme="1"/>
        <rFont val="Calibri"/>
        <family val="2"/>
        <scheme val="minor"/>
      </rPr>
      <t xml:space="preserve"> expression significantly correlate with shorter progression-free survival and shorter overall survival. </t>
    </r>
    <r>
      <rPr>
        <b/>
        <sz val="11"/>
        <color theme="1"/>
        <rFont val="Calibri"/>
        <family val="2"/>
        <scheme val="minor"/>
      </rPr>
      <t xml:space="preserve">4) </t>
    </r>
    <r>
      <rPr>
        <sz val="11"/>
        <color theme="1"/>
        <rFont val="Calibri"/>
        <family val="2"/>
        <scheme val="minor"/>
      </rPr>
      <t>The loss of Pax transactivation-domain interacting protein (</t>
    </r>
    <r>
      <rPr>
        <b/>
        <sz val="11"/>
        <color theme="1"/>
        <rFont val="Calibri"/>
        <family val="2"/>
        <scheme val="minor"/>
      </rPr>
      <t>PTIP</t>
    </r>
    <r>
      <rPr>
        <sz val="11"/>
        <color theme="1"/>
        <rFont val="Calibri"/>
        <family val="2"/>
        <scheme val="minor"/>
      </rPr>
      <t xml:space="preserve">), </t>
    </r>
    <r>
      <rPr>
        <b/>
        <sz val="11"/>
        <color theme="1"/>
        <rFont val="Calibri"/>
        <family val="2"/>
        <scheme val="minor"/>
      </rPr>
      <t>PARP1</t>
    </r>
    <r>
      <rPr>
        <sz val="11"/>
        <color theme="1"/>
        <rFont val="Calibri"/>
        <family val="2"/>
        <scheme val="minor"/>
      </rPr>
      <t>, and Chromodomain Helicase DNA Binding Protein 4 (</t>
    </r>
    <r>
      <rPr>
        <b/>
        <sz val="11"/>
        <color theme="1"/>
        <rFont val="Calibri"/>
        <family val="2"/>
        <scheme val="minor"/>
      </rPr>
      <t>CHD4</t>
    </r>
    <r>
      <rPr>
        <sz val="11"/>
        <color theme="1"/>
        <rFont val="Calibri"/>
        <family val="2"/>
        <scheme val="minor"/>
      </rPr>
      <t xml:space="preserve">) in a </t>
    </r>
    <r>
      <rPr>
        <b/>
        <sz val="11"/>
        <color theme="1"/>
        <rFont val="Calibri"/>
        <family val="2"/>
        <scheme val="minor"/>
      </rPr>
      <t>BRCA2</t>
    </r>
    <r>
      <rPr>
        <sz val="11"/>
        <color theme="1"/>
        <rFont val="Calibri"/>
        <family val="2"/>
        <scheme val="minor"/>
      </rPr>
      <t xml:space="preserve"> deficient background was associated to resistance to cisplatin and PARP inhibitors, not due to the re-acquisition of a functional HR, but to an increased protection of replication forks. </t>
    </r>
  </si>
  <si>
    <r>
      <rPr>
        <b/>
        <sz val="11"/>
        <color theme="1"/>
        <rFont val="Calibri"/>
        <family val="2"/>
        <scheme val="minor"/>
      </rPr>
      <t>1)</t>
    </r>
    <r>
      <rPr>
        <sz val="11"/>
        <color theme="1"/>
        <rFont val="Calibri"/>
        <family val="2"/>
        <scheme val="minor"/>
      </rPr>
      <t xml:space="preserve"> the expression of vimentin was downregulated in drug-resistant </t>
    </r>
    <r>
      <rPr>
        <b/>
        <sz val="11"/>
        <color theme="1"/>
        <rFont val="Calibri"/>
        <family val="2"/>
        <scheme val="minor"/>
      </rPr>
      <t>ovarian</t>
    </r>
    <r>
      <rPr>
        <sz val="11"/>
        <color theme="1"/>
        <rFont val="Calibri"/>
        <family val="2"/>
        <scheme val="minor"/>
      </rPr>
      <t xml:space="preserve"> cancer cell lines A2780-DR and HO-8910 as compared to their respective control cells. </t>
    </r>
    <r>
      <rPr>
        <b/>
        <sz val="11"/>
        <color theme="1"/>
        <rFont val="Calibri"/>
        <family val="2"/>
        <scheme val="minor"/>
      </rPr>
      <t xml:space="preserve">2) </t>
    </r>
    <r>
      <rPr>
        <sz val="11"/>
        <color theme="1"/>
        <rFont val="Calibri"/>
        <family val="2"/>
        <scheme val="minor"/>
      </rPr>
      <t xml:space="preserve">Silencing of </t>
    </r>
    <r>
      <rPr>
        <b/>
        <sz val="11"/>
        <color theme="1"/>
        <rFont val="Calibri"/>
        <family val="2"/>
        <scheme val="minor"/>
      </rPr>
      <t>CHMP2B</t>
    </r>
    <r>
      <rPr>
        <sz val="11"/>
        <color theme="1"/>
        <rFont val="Calibri"/>
        <family val="2"/>
        <scheme val="minor"/>
      </rPr>
      <t xml:space="preserve"> and PDZK1 in both A2780-DR and HO-8910 cells led to decreased cellular </t>
    </r>
    <r>
      <rPr>
        <b/>
        <sz val="11"/>
        <color theme="1"/>
        <rFont val="Calibri"/>
        <family val="2"/>
        <scheme val="minor"/>
      </rPr>
      <t>cisplatin</t>
    </r>
    <r>
      <rPr>
        <sz val="11"/>
        <color theme="1"/>
        <rFont val="Calibri"/>
        <family val="2"/>
        <scheme val="minor"/>
      </rPr>
      <t xml:space="preserve"> accumulation.</t>
    </r>
    <r>
      <rPr>
        <b/>
        <sz val="11"/>
        <color theme="1"/>
        <rFont val="Calibri"/>
        <family val="2"/>
        <scheme val="minor"/>
      </rPr>
      <t xml:space="preserve"> 2)</t>
    </r>
    <r>
      <rPr>
        <sz val="11"/>
        <color theme="1"/>
        <rFont val="Calibri"/>
        <family val="2"/>
        <scheme val="minor"/>
      </rPr>
      <t xml:space="preserve"> The vimentin (VIM) downregulation increased CHMP2B and PDZK1 expression. </t>
    </r>
  </si>
  <si>
    <r>
      <rPr>
        <b/>
        <sz val="11"/>
        <color theme="1"/>
        <rFont val="Calibri"/>
        <family val="2"/>
        <scheme val="minor"/>
      </rPr>
      <t xml:space="preserve">1) </t>
    </r>
    <r>
      <rPr>
        <sz val="11"/>
        <color theme="1"/>
        <rFont val="Calibri"/>
        <family val="2"/>
        <scheme val="minor"/>
      </rPr>
      <t>Knockdown of</t>
    </r>
    <r>
      <rPr>
        <b/>
        <sz val="11"/>
        <color theme="1"/>
        <rFont val="Calibri"/>
        <family val="2"/>
        <scheme val="minor"/>
      </rPr>
      <t xml:space="preserve"> CLDN3</t>
    </r>
    <r>
      <rPr>
        <sz val="11"/>
        <color theme="1"/>
        <rFont val="Calibri"/>
        <family val="2"/>
        <scheme val="minor"/>
      </rPr>
      <t xml:space="preserve"> or </t>
    </r>
    <r>
      <rPr>
        <b/>
        <sz val="11"/>
        <color theme="1"/>
        <rFont val="Calibri"/>
        <family val="2"/>
        <scheme val="minor"/>
      </rPr>
      <t>CLDN4</t>
    </r>
    <r>
      <rPr>
        <sz val="11"/>
        <color theme="1"/>
        <rFont val="Calibri"/>
        <family val="2"/>
        <scheme val="minor"/>
      </rPr>
      <t xml:space="preserve"> rendered human </t>
    </r>
    <r>
      <rPr>
        <b/>
        <sz val="11"/>
        <color theme="1"/>
        <rFont val="Calibri"/>
        <family val="2"/>
        <scheme val="minor"/>
      </rPr>
      <t>ovarian</t>
    </r>
    <r>
      <rPr>
        <sz val="11"/>
        <color theme="1"/>
        <rFont val="Calibri"/>
        <family val="2"/>
        <scheme val="minor"/>
      </rPr>
      <t xml:space="preserve"> carcinoma 2008 cells resistant to </t>
    </r>
    <r>
      <rPr>
        <b/>
        <sz val="11"/>
        <color theme="1"/>
        <rFont val="Calibri"/>
        <family val="2"/>
        <scheme val="minor"/>
      </rPr>
      <t>cDDP</t>
    </r>
    <r>
      <rPr>
        <sz val="11"/>
        <color theme="1"/>
        <rFont val="Calibri"/>
        <family val="2"/>
        <scheme val="minor"/>
      </rPr>
      <t xml:space="preserve"> in both in vitro culture and in vivo xenograft model. </t>
    </r>
    <r>
      <rPr>
        <b/>
        <sz val="11"/>
        <color theme="1"/>
        <rFont val="Calibri"/>
        <family val="2"/>
        <scheme val="minor"/>
      </rPr>
      <t>2)</t>
    </r>
    <r>
      <rPr>
        <sz val="11"/>
        <color theme="1"/>
        <rFont val="Calibri"/>
        <family val="2"/>
        <scheme val="minor"/>
      </rPr>
      <t xml:space="preserve"> The net accumulation of platinum (Pt) and the Pt-DNA adduct levels were reduced in CLDN3KD and CLDN4KD cells. </t>
    </r>
    <r>
      <rPr>
        <b/>
        <sz val="11"/>
        <color theme="1"/>
        <rFont val="Calibri"/>
        <family val="2"/>
        <scheme val="minor"/>
      </rPr>
      <t xml:space="preserve">3) </t>
    </r>
    <r>
      <rPr>
        <sz val="11"/>
        <color theme="1"/>
        <rFont val="Calibri"/>
        <family val="2"/>
        <scheme val="minor"/>
      </rPr>
      <t xml:space="preserve">The endogenous mRNA levels of copper influx transporter </t>
    </r>
    <r>
      <rPr>
        <b/>
        <sz val="11"/>
        <color theme="1"/>
        <rFont val="Calibri"/>
        <family val="2"/>
        <scheme val="minor"/>
      </rPr>
      <t>CTR1</t>
    </r>
    <r>
      <rPr>
        <sz val="11"/>
        <color theme="1"/>
        <rFont val="Calibri"/>
        <family val="2"/>
        <scheme val="minor"/>
      </rPr>
      <t xml:space="preserve"> were found to be significantly reduced in the knockdown cells, and exogenous expression of CTR1 restored their sensitivity to cDDP.</t>
    </r>
    <r>
      <rPr>
        <b/>
        <sz val="11"/>
        <color theme="1"/>
        <rFont val="Calibri"/>
        <family val="2"/>
        <scheme val="minor"/>
      </rPr>
      <t xml:space="preserve"> 4) </t>
    </r>
    <r>
      <rPr>
        <sz val="11"/>
        <color theme="1"/>
        <rFont val="Calibri"/>
        <family val="2"/>
        <scheme val="minor"/>
      </rPr>
      <t xml:space="preserve">Reexpression of an shRNAi-resistant </t>
    </r>
    <r>
      <rPr>
        <b/>
        <sz val="11"/>
        <color theme="1"/>
        <rFont val="Calibri"/>
        <family val="2"/>
        <scheme val="minor"/>
      </rPr>
      <t>CLDN3</t>
    </r>
    <r>
      <rPr>
        <sz val="11"/>
        <color theme="1"/>
        <rFont val="Calibri"/>
        <family val="2"/>
        <scheme val="minor"/>
      </rPr>
      <t xml:space="preserve"> or </t>
    </r>
    <r>
      <rPr>
        <b/>
        <sz val="11"/>
        <color theme="1"/>
        <rFont val="Calibri"/>
        <family val="2"/>
        <scheme val="minor"/>
      </rPr>
      <t>CLDN4</t>
    </r>
    <r>
      <rPr>
        <sz val="11"/>
        <color theme="1"/>
        <rFont val="Calibri"/>
        <family val="2"/>
        <scheme val="minor"/>
      </rPr>
      <t xml:space="preserve"> up-regulated CTR1 levels, reversed the </t>
    </r>
    <r>
      <rPr>
        <b/>
        <sz val="11"/>
        <color theme="1"/>
        <rFont val="Calibri"/>
        <family val="2"/>
        <scheme val="minor"/>
      </rPr>
      <t>cDDP</t>
    </r>
    <r>
      <rPr>
        <sz val="11"/>
        <color theme="1"/>
        <rFont val="Calibri"/>
        <family val="2"/>
        <scheme val="minor"/>
      </rPr>
      <t xml:space="preserve"> resistance, and enhanced </t>
    </r>
    <r>
      <rPr>
        <b/>
        <sz val="11"/>
        <color theme="1"/>
        <rFont val="Calibri"/>
        <family val="2"/>
        <scheme val="minor"/>
      </rPr>
      <t>TJ formation</t>
    </r>
    <r>
      <rPr>
        <sz val="11"/>
        <color theme="1"/>
        <rFont val="Calibri"/>
        <family val="2"/>
        <scheme val="minor"/>
      </rPr>
      <t xml:space="preserve"> in the knockdown cells. </t>
    </r>
    <r>
      <rPr>
        <b/>
        <sz val="11"/>
        <color theme="1"/>
        <rFont val="Calibri"/>
        <family val="2"/>
        <scheme val="minor"/>
      </rPr>
      <t xml:space="preserve">5) </t>
    </r>
    <r>
      <rPr>
        <sz val="11"/>
        <color theme="1"/>
        <rFont val="Calibri"/>
        <family val="2"/>
        <scheme val="minor"/>
      </rPr>
      <t xml:space="preserve">Baseline copper (Cu) level, Cu uptake, and Cu cytotoxicity were also reduced in CLDN3KD and CLDN4KD cells. </t>
    </r>
    <r>
      <rPr>
        <b/>
        <sz val="11"/>
        <color theme="1"/>
        <rFont val="Calibri"/>
        <family val="2"/>
        <scheme val="minor"/>
      </rPr>
      <t>6)</t>
    </r>
    <r>
      <rPr>
        <sz val="11"/>
        <color theme="1"/>
        <rFont val="Calibri"/>
        <family val="2"/>
        <scheme val="minor"/>
      </rPr>
      <t xml:space="preserve"> sh</t>
    </r>
    <r>
      <rPr>
        <b/>
        <sz val="11"/>
        <color theme="1"/>
        <rFont val="Calibri"/>
        <family val="2"/>
        <scheme val="minor"/>
      </rPr>
      <t>CLDN3</t>
    </r>
    <r>
      <rPr>
        <sz val="11"/>
        <color theme="1"/>
        <rFont val="Calibri"/>
        <family val="2"/>
        <scheme val="minor"/>
      </rPr>
      <t xml:space="preserve"> knockdown combined with low-dose cisplatin demonstrates apparent synergistic antitumor activity in </t>
    </r>
    <r>
      <rPr>
        <b/>
        <sz val="11"/>
        <color theme="1"/>
        <rFont val="Calibri"/>
        <family val="2"/>
        <scheme val="minor"/>
      </rPr>
      <t>OC</t>
    </r>
    <r>
      <rPr>
        <sz val="11"/>
        <color theme="1"/>
        <rFont val="Calibri"/>
        <family val="2"/>
        <scheme val="minor"/>
      </rPr>
      <t xml:space="preserve">. </t>
    </r>
    <r>
      <rPr>
        <b/>
        <sz val="11"/>
        <color theme="1"/>
        <rFont val="Calibri"/>
        <family val="2"/>
        <scheme val="minor"/>
      </rPr>
      <t>7) Claudin-3</t>
    </r>
    <r>
      <rPr>
        <sz val="11"/>
        <color theme="1"/>
        <rFont val="Calibri"/>
        <family val="2"/>
        <scheme val="minor"/>
      </rPr>
      <t xml:space="preserve"> depletion decreased the formation rates of spheres and tumors and increased cisplatin sensitivity in </t>
    </r>
    <r>
      <rPr>
        <b/>
        <sz val="11"/>
        <color theme="1"/>
        <rFont val="Calibri"/>
        <family val="2"/>
        <scheme val="minor"/>
      </rPr>
      <t>NSCLC</t>
    </r>
    <r>
      <rPr>
        <sz val="11"/>
        <color theme="1"/>
        <rFont val="Calibri"/>
        <family val="2"/>
        <scheme val="minor"/>
      </rPr>
      <t xml:space="preserve">. </t>
    </r>
    <r>
      <rPr>
        <b/>
        <sz val="11"/>
        <color theme="1"/>
        <rFont val="Calibri"/>
        <family val="2"/>
        <scheme val="minor"/>
      </rPr>
      <t>8)</t>
    </r>
    <r>
      <rPr>
        <sz val="11"/>
        <color theme="1"/>
        <rFont val="Calibri"/>
        <family val="2"/>
        <scheme val="minor"/>
      </rPr>
      <t xml:space="preserve"> </t>
    </r>
    <r>
      <rPr>
        <b/>
        <sz val="11"/>
        <color theme="1"/>
        <rFont val="Calibri"/>
        <family val="2"/>
        <scheme val="minor"/>
      </rPr>
      <t>Ovarian</t>
    </r>
    <r>
      <rPr>
        <sz val="11"/>
        <color theme="1"/>
        <rFont val="Calibri"/>
        <family val="2"/>
        <scheme val="minor"/>
      </rPr>
      <t xml:space="preserve"> serous adenocarcinoma patients with high </t>
    </r>
    <r>
      <rPr>
        <b/>
        <sz val="11"/>
        <color theme="1"/>
        <rFont val="Calibri"/>
        <family val="2"/>
        <scheme val="minor"/>
      </rPr>
      <t>CLDN3</t>
    </r>
    <r>
      <rPr>
        <sz val="11"/>
        <color theme="1"/>
        <rFont val="Calibri"/>
        <family val="2"/>
        <scheme val="minor"/>
      </rPr>
      <t xml:space="preserve"> expression had substantially shorter survival. </t>
    </r>
  </si>
  <si>
    <r>
      <rPr>
        <b/>
        <sz val="11"/>
        <color theme="1"/>
        <rFont val="Calibri"/>
        <family val="2"/>
        <scheme val="minor"/>
      </rPr>
      <t>1)</t>
    </r>
    <r>
      <rPr>
        <sz val="11"/>
        <color theme="1"/>
        <rFont val="Calibri"/>
        <family val="2"/>
        <scheme val="minor"/>
      </rPr>
      <t xml:space="preserve"> AS in CLDN3. </t>
    </r>
    <r>
      <rPr>
        <b/>
        <sz val="11"/>
        <color theme="1"/>
        <rFont val="Calibri"/>
        <family val="2"/>
        <scheme val="minor"/>
      </rPr>
      <t xml:space="preserve">2) </t>
    </r>
    <r>
      <rPr>
        <sz val="11"/>
        <color theme="1"/>
        <rFont val="Calibri"/>
        <family val="2"/>
        <scheme val="minor"/>
      </rPr>
      <t xml:space="preserve">Suppression of </t>
    </r>
    <r>
      <rPr>
        <b/>
        <sz val="11"/>
        <color theme="1"/>
        <rFont val="Calibri"/>
        <family val="2"/>
        <scheme val="minor"/>
      </rPr>
      <t>claudin-4</t>
    </r>
    <r>
      <rPr>
        <sz val="11"/>
        <color theme="1"/>
        <rFont val="Calibri"/>
        <family val="2"/>
        <scheme val="minor"/>
      </rPr>
      <t xml:space="preserve"> resulted in a significant increase of </t>
    </r>
    <r>
      <rPr>
        <b/>
        <sz val="11"/>
        <color theme="1"/>
        <rFont val="Calibri"/>
        <family val="2"/>
        <scheme val="minor"/>
      </rPr>
      <t>cisplatin</t>
    </r>
    <r>
      <rPr>
        <sz val="11"/>
        <color theme="1"/>
        <rFont val="Calibri"/>
        <family val="2"/>
        <scheme val="minor"/>
      </rPr>
      <t xml:space="preserve"> sensitivity and cellular accumulation of fluorescence-labeled cisplatin. </t>
    </r>
    <r>
      <rPr>
        <b/>
        <sz val="11"/>
        <color theme="1"/>
        <rFont val="Calibri"/>
        <family val="2"/>
        <scheme val="minor"/>
      </rPr>
      <t xml:space="preserve">3) Claudin-4 </t>
    </r>
    <r>
      <rPr>
        <sz val="11"/>
        <color theme="1"/>
        <rFont val="Calibri"/>
        <family val="2"/>
        <scheme val="minor"/>
      </rPr>
      <t xml:space="preserve">expression was significantly greater in </t>
    </r>
    <r>
      <rPr>
        <b/>
        <sz val="11"/>
        <color theme="1"/>
        <rFont val="Calibri"/>
        <family val="2"/>
        <scheme val="minor"/>
      </rPr>
      <t>ovarian</t>
    </r>
    <r>
      <rPr>
        <sz val="11"/>
        <color theme="1"/>
        <rFont val="Calibri"/>
        <family val="2"/>
        <scheme val="minor"/>
      </rPr>
      <t xml:space="preserve"> cancer tissue from chemoresistant patients compared to chemosensitive patients. The overall survival was significantly shorter for claudin-4-positive than claudin-4-negative cases.</t>
    </r>
  </si>
  <si>
    <r>
      <rPr>
        <b/>
        <sz val="11"/>
        <color theme="1"/>
        <rFont val="Calibri"/>
        <family val="2"/>
        <scheme val="minor"/>
      </rPr>
      <t>1) CLDN-7</t>
    </r>
    <r>
      <rPr>
        <sz val="11"/>
        <color theme="1"/>
        <rFont val="Calibri"/>
        <family val="2"/>
        <scheme val="minor"/>
      </rPr>
      <t xml:space="preserve"> transcripts in EOCs were significantly up-regulated compared with normal </t>
    </r>
    <r>
      <rPr>
        <b/>
        <sz val="11"/>
        <color theme="1"/>
        <rFont val="Calibri"/>
        <family val="2"/>
        <scheme val="minor"/>
      </rPr>
      <t>ovarian</t>
    </r>
    <r>
      <rPr>
        <sz val="11"/>
        <color theme="1"/>
        <rFont val="Calibri"/>
        <family val="2"/>
        <scheme val="minor"/>
      </rPr>
      <t xml:space="preserve"> tissues (P&lt;0.001). </t>
    </r>
    <r>
      <rPr>
        <b/>
        <sz val="11"/>
        <color theme="1"/>
        <rFont val="Calibri"/>
        <family val="2"/>
        <scheme val="minor"/>
      </rPr>
      <t xml:space="preserve">2) </t>
    </r>
    <r>
      <rPr>
        <sz val="11"/>
        <color theme="1"/>
        <rFont val="Calibri"/>
        <family val="2"/>
        <scheme val="minor"/>
      </rPr>
      <t xml:space="preserve">High CLDN-7 expression in primary tumour correlated with shorter progression-free survival (PFS) of the patients (P=0.005) and poor sensitivity to </t>
    </r>
    <r>
      <rPr>
        <b/>
        <sz val="11"/>
        <color theme="1"/>
        <rFont val="Calibri"/>
        <family val="2"/>
        <scheme val="minor"/>
      </rPr>
      <t>platinum</t>
    </r>
    <r>
      <rPr>
        <sz val="11"/>
        <color theme="1"/>
        <rFont val="Calibri"/>
        <family val="2"/>
        <scheme val="minor"/>
      </rPr>
      <t xml:space="preserve">-based chemotherapy (P=0.024). </t>
    </r>
    <r>
      <rPr>
        <b/>
        <sz val="11"/>
        <color theme="1"/>
        <rFont val="Calibri"/>
        <family val="2"/>
        <scheme val="minor"/>
      </rPr>
      <t xml:space="preserve">3) </t>
    </r>
    <r>
      <rPr>
        <sz val="11"/>
        <color theme="1"/>
        <rFont val="Calibri"/>
        <family val="2"/>
        <scheme val="minor"/>
      </rPr>
      <t xml:space="preserve">CLDN-7 was highly expressed in 2774 and HeyA8 human ovarian cancer cells and inhibition of CLDN-7 by its siRNA significantly enhanced the sensitivity of 2774 and HeyA8 cells to </t>
    </r>
    <r>
      <rPr>
        <b/>
        <sz val="11"/>
        <color theme="1"/>
        <rFont val="Calibri"/>
        <family val="2"/>
        <scheme val="minor"/>
      </rPr>
      <t>cisplatin</t>
    </r>
    <r>
      <rPr>
        <sz val="11"/>
        <color theme="1"/>
        <rFont val="Calibri"/>
        <family val="2"/>
        <scheme val="minor"/>
      </rPr>
      <t xml:space="preserve"> treatment</t>
    </r>
  </si>
  <si>
    <r>
      <rPr>
        <b/>
        <sz val="11"/>
        <color theme="1"/>
        <rFont val="Calibri"/>
        <family val="2"/>
        <scheme val="minor"/>
      </rPr>
      <t xml:space="preserve">1) </t>
    </r>
    <r>
      <rPr>
        <sz val="11"/>
        <color theme="1"/>
        <rFont val="Calibri"/>
        <family val="2"/>
        <scheme val="minor"/>
      </rPr>
      <t xml:space="preserve">The expression levels of </t>
    </r>
    <r>
      <rPr>
        <b/>
        <sz val="11"/>
        <color theme="1"/>
        <rFont val="Calibri"/>
        <family val="2"/>
        <scheme val="minor"/>
      </rPr>
      <t>CLIC1</t>
    </r>
    <r>
      <rPr>
        <sz val="11"/>
        <color theme="1"/>
        <rFont val="Calibri"/>
        <family val="2"/>
        <scheme val="minor"/>
      </rPr>
      <t xml:space="preserve"> and </t>
    </r>
    <r>
      <rPr>
        <b/>
        <sz val="11"/>
        <color theme="1"/>
        <rFont val="Calibri"/>
        <family val="2"/>
        <scheme val="minor"/>
      </rPr>
      <t>LGALS3BP</t>
    </r>
    <r>
      <rPr>
        <sz val="11"/>
        <color theme="1"/>
        <rFont val="Calibri"/>
        <family val="2"/>
        <scheme val="minor"/>
      </rPr>
      <t xml:space="preserve"> in epithelial </t>
    </r>
    <r>
      <rPr>
        <b/>
        <sz val="11"/>
        <color theme="1"/>
        <rFont val="Calibri"/>
        <family val="2"/>
        <scheme val="minor"/>
      </rPr>
      <t>ovarian</t>
    </r>
    <r>
      <rPr>
        <sz val="11"/>
        <color theme="1"/>
        <rFont val="Calibri"/>
        <family val="2"/>
        <scheme val="minor"/>
      </rPr>
      <t xml:space="preserve"> cancer tissues were significantly higher than those in normal ovary tissues. </t>
    </r>
    <r>
      <rPr>
        <b/>
        <sz val="11"/>
        <color theme="1"/>
        <rFont val="Calibri"/>
        <family val="2"/>
        <scheme val="minor"/>
      </rPr>
      <t xml:space="preserve">2) </t>
    </r>
    <r>
      <rPr>
        <sz val="11"/>
        <color theme="1"/>
        <rFont val="Calibri"/>
        <family val="2"/>
        <scheme val="minor"/>
      </rPr>
      <t xml:space="preserve">The knockdown of </t>
    </r>
    <r>
      <rPr>
        <b/>
        <sz val="11"/>
        <color theme="1"/>
        <rFont val="Calibri"/>
        <family val="2"/>
        <scheme val="minor"/>
      </rPr>
      <t>CLIC1</t>
    </r>
    <r>
      <rPr>
        <sz val="11"/>
        <color theme="1"/>
        <rFont val="Calibri"/>
        <family val="2"/>
        <scheme val="minor"/>
      </rPr>
      <t xml:space="preserve"> in A2780 cell line showed an increased sensitivity to hydrogen peroxide and </t>
    </r>
    <r>
      <rPr>
        <b/>
        <sz val="11"/>
        <color theme="1"/>
        <rFont val="Calibri"/>
        <family val="2"/>
        <scheme val="minor"/>
      </rPr>
      <t>cisplatin</t>
    </r>
    <r>
      <rPr>
        <sz val="11"/>
        <color theme="1"/>
        <rFont val="Calibri"/>
        <family val="2"/>
        <scheme val="minor"/>
      </rPr>
      <t xml:space="preserve">. </t>
    </r>
    <r>
      <rPr>
        <b/>
        <sz val="11"/>
        <color theme="1"/>
        <rFont val="Calibri"/>
        <family val="2"/>
        <scheme val="minor"/>
      </rPr>
      <t>3)</t>
    </r>
    <r>
      <rPr>
        <sz val="11"/>
        <color theme="1"/>
        <rFont val="Calibri"/>
        <family val="2"/>
        <scheme val="minor"/>
      </rPr>
      <t xml:space="preserve"> mRNA and protein levels of </t>
    </r>
    <r>
      <rPr>
        <b/>
        <sz val="11"/>
        <color theme="1"/>
        <rFont val="Calibri"/>
        <family val="2"/>
        <scheme val="minor"/>
      </rPr>
      <t>CLIC1</t>
    </r>
    <r>
      <rPr>
        <sz val="11"/>
        <color theme="1"/>
        <rFont val="Calibri"/>
        <family val="2"/>
        <scheme val="minor"/>
      </rPr>
      <t xml:space="preserve"> was significantly higher in higher-grade tumors than in low-grade tumors. </t>
    </r>
    <r>
      <rPr>
        <b/>
        <sz val="11"/>
        <color theme="1"/>
        <rFont val="Calibri"/>
        <family val="2"/>
        <scheme val="minor"/>
      </rPr>
      <t>4)</t>
    </r>
    <r>
      <rPr>
        <sz val="11"/>
        <color theme="1"/>
        <rFont val="Calibri"/>
        <family val="2"/>
        <scheme val="minor"/>
      </rPr>
      <t xml:space="preserve"> overexpression of </t>
    </r>
    <r>
      <rPr>
        <b/>
        <sz val="11"/>
        <color theme="1"/>
        <rFont val="Calibri"/>
        <family val="2"/>
        <scheme val="minor"/>
      </rPr>
      <t>CLIC1</t>
    </r>
    <r>
      <rPr>
        <sz val="11"/>
        <color theme="1"/>
        <rFont val="Calibri"/>
        <family val="2"/>
        <scheme val="minor"/>
      </rPr>
      <t xml:space="preserve"> was associated with </t>
    </r>
    <r>
      <rPr>
        <b/>
        <sz val="11"/>
        <color theme="1"/>
        <rFont val="Calibri"/>
        <family val="2"/>
        <scheme val="minor"/>
      </rPr>
      <t>cisplatin</t>
    </r>
    <r>
      <rPr>
        <sz val="11"/>
        <color theme="1"/>
        <rFont val="Calibri"/>
        <family val="2"/>
        <scheme val="minor"/>
      </rPr>
      <t xml:space="preserve"> resistance (P&lt;0.001).</t>
    </r>
    <r>
      <rPr>
        <b/>
        <sz val="11"/>
        <color theme="1"/>
        <rFont val="Calibri"/>
        <family val="2"/>
        <scheme val="minor"/>
      </rPr>
      <t xml:space="preserve"> 5) CLIC1</t>
    </r>
    <r>
      <rPr>
        <sz val="11"/>
        <color theme="1"/>
        <rFont val="Calibri"/>
        <family val="2"/>
        <scheme val="minor"/>
      </rPr>
      <t xml:space="preserve"> expression was an independent factor that predicted shorter progression-free survival (P=0.006) and overall survival for patients with epithelial ovarian cancer. </t>
    </r>
  </si>
  <si>
    <r>
      <rPr>
        <b/>
        <sz val="11"/>
        <color theme="1"/>
        <rFont val="Calibri"/>
        <family val="2"/>
        <scheme val="minor"/>
      </rPr>
      <t xml:space="preserve">1) </t>
    </r>
    <r>
      <rPr>
        <sz val="11"/>
        <color theme="1"/>
        <rFont val="Calibri"/>
        <family val="2"/>
        <scheme val="minor"/>
      </rPr>
      <t xml:space="preserve">CLN3 depletion markedly reduced the half maximum inhibitory concentration in the human </t>
    </r>
    <r>
      <rPr>
        <b/>
        <sz val="11"/>
        <color theme="1"/>
        <rFont val="Calibri"/>
        <family val="2"/>
        <scheme val="minor"/>
      </rPr>
      <t>ovarian</t>
    </r>
    <r>
      <rPr>
        <sz val="11"/>
        <color theme="1"/>
        <rFont val="Calibri"/>
        <family val="2"/>
        <scheme val="minor"/>
      </rPr>
      <t xml:space="preserve"> cancer cisplatin‑resistant and carboplatin‑resistant sublines, A2780/DDP and A2780/CBP cells. </t>
    </r>
  </si>
  <si>
    <r>
      <rPr>
        <b/>
        <sz val="11"/>
        <color theme="1"/>
        <rFont val="Calibri"/>
        <family val="2"/>
        <scheme val="minor"/>
      </rPr>
      <t>1)</t>
    </r>
    <r>
      <rPr>
        <sz val="11"/>
        <color theme="1"/>
        <rFont val="Calibri"/>
        <family val="2"/>
        <scheme val="minor"/>
      </rPr>
      <t xml:space="preserve"> </t>
    </r>
    <r>
      <rPr>
        <b/>
        <sz val="11"/>
        <color theme="1"/>
        <rFont val="Calibri"/>
        <family val="2"/>
        <scheme val="minor"/>
      </rPr>
      <t>COL11A1</t>
    </r>
    <r>
      <rPr>
        <sz val="11"/>
        <color theme="1"/>
        <rFont val="Calibri"/>
        <family val="2"/>
        <scheme val="minor"/>
      </rPr>
      <t xml:space="preserve"> and </t>
    </r>
    <r>
      <rPr>
        <b/>
        <sz val="11"/>
        <color theme="1"/>
        <rFont val="Calibri"/>
        <family val="2"/>
        <scheme val="minor"/>
      </rPr>
      <t>TWIST1</t>
    </r>
    <r>
      <rPr>
        <sz val="11"/>
        <color theme="1"/>
        <rFont val="Calibri"/>
        <family val="2"/>
        <scheme val="minor"/>
      </rPr>
      <t xml:space="preserve"> were among the most highly upregulated genes in chemoresistant tumors. </t>
    </r>
    <r>
      <rPr>
        <b/>
        <sz val="11"/>
        <color theme="1"/>
        <rFont val="Calibri"/>
        <family val="2"/>
        <scheme val="minor"/>
      </rPr>
      <t>2)</t>
    </r>
    <r>
      <rPr>
        <sz val="11"/>
        <color theme="1"/>
        <rFont val="Calibri"/>
        <family val="2"/>
        <scheme val="minor"/>
      </rPr>
      <t xml:space="preserve"> </t>
    </r>
    <r>
      <rPr>
        <b/>
        <sz val="11"/>
        <color theme="1"/>
        <rFont val="Calibri"/>
        <family val="2"/>
        <scheme val="minor"/>
      </rPr>
      <t>COL11A1</t>
    </r>
    <r>
      <rPr>
        <sz val="11"/>
        <color theme="1"/>
        <rFont val="Calibri"/>
        <family val="2"/>
        <scheme val="minor"/>
      </rPr>
      <t xml:space="preserve"> promotes </t>
    </r>
    <r>
      <rPr>
        <b/>
        <sz val="11"/>
        <color theme="1"/>
        <rFont val="Calibri"/>
        <family val="2"/>
        <scheme val="minor"/>
      </rPr>
      <t>ovarian</t>
    </r>
    <r>
      <rPr>
        <sz val="11"/>
        <color theme="1"/>
        <rFont val="Calibri"/>
        <family val="2"/>
        <scheme val="minor"/>
      </rPr>
      <t xml:space="preserve"> cancer progression and is associated with chemoresistance to </t>
    </r>
    <r>
      <rPr>
        <b/>
        <sz val="11"/>
        <color theme="1"/>
        <rFont val="Calibri"/>
        <family val="2"/>
        <scheme val="minor"/>
      </rPr>
      <t>cisplatin</t>
    </r>
    <r>
      <rPr>
        <sz val="11"/>
        <color theme="1"/>
        <rFont val="Calibri"/>
        <family val="2"/>
        <scheme val="minor"/>
      </rPr>
      <t xml:space="preserve"> and paclitaxel in ovarian cancer cells. </t>
    </r>
    <r>
      <rPr>
        <b/>
        <sz val="11"/>
        <color theme="1"/>
        <rFont val="Calibri"/>
        <family val="2"/>
        <scheme val="minor"/>
      </rPr>
      <t>3)</t>
    </r>
    <r>
      <rPr>
        <sz val="11"/>
        <color theme="1"/>
        <rFont val="Calibri"/>
        <family val="2"/>
        <scheme val="minor"/>
      </rPr>
      <t xml:space="preserve"> </t>
    </r>
    <r>
      <rPr>
        <b/>
        <sz val="11"/>
        <color theme="1"/>
        <rFont val="Calibri"/>
        <family val="2"/>
        <scheme val="minor"/>
      </rPr>
      <t>COL11A1</t>
    </r>
    <r>
      <rPr>
        <sz val="11"/>
        <color theme="1"/>
        <rFont val="Calibri"/>
        <family val="2"/>
        <scheme val="minor"/>
      </rPr>
      <t xml:space="preserve">-mediated </t>
    </r>
    <r>
      <rPr>
        <b/>
        <sz val="11"/>
        <color theme="1"/>
        <rFont val="Calibri"/>
        <family val="2"/>
        <scheme val="minor"/>
      </rPr>
      <t>NFkB</t>
    </r>
    <r>
      <rPr>
        <sz val="11"/>
        <color theme="1"/>
        <rFont val="Calibri"/>
        <family val="2"/>
        <scheme val="minor"/>
      </rPr>
      <t xml:space="preserve"> activation, via transcriptional activation of IKKβ, promoted </t>
    </r>
    <r>
      <rPr>
        <b/>
        <sz val="11"/>
        <color theme="1"/>
        <rFont val="Calibri"/>
        <family val="2"/>
        <scheme val="minor"/>
      </rPr>
      <t>TWIST1</t>
    </r>
    <r>
      <rPr>
        <sz val="11"/>
        <color theme="1"/>
        <rFont val="Calibri"/>
        <family val="2"/>
        <scheme val="minor"/>
      </rPr>
      <t xml:space="preserve">, </t>
    </r>
    <r>
      <rPr>
        <b/>
        <sz val="11"/>
        <color theme="1"/>
        <rFont val="Calibri"/>
        <family val="2"/>
        <scheme val="minor"/>
      </rPr>
      <t>Mcl-1</t>
    </r>
    <r>
      <rPr>
        <sz val="11"/>
        <color theme="1"/>
        <rFont val="Calibri"/>
        <family val="2"/>
        <scheme val="minor"/>
      </rPr>
      <t xml:space="preserve">, and </t>
    </r>
    <r>
      <rPr>
        <b/>
        <sz val="11"/>
        <color theme="1"/>
        <rFont val="Calibri"/>
        <family val="2"/>
        <scheme val="minor"/>
      </rPr>
      <t>GAS6</t>
    </r>
    <r>
      <rPr>
        <sz val="11"/>
        <color theme="1"/>
        <rFont val="Calibri"/>
        <family val="2"/>
        <scheme val="minor"/>
      </rPr>
      <t xml:space="preserve"> expression, which were associated with chemoresistance and anti-apoptosis in </t>
    </r>
    <r>
      <rPr>
        <b/>
        <sz val="11"/>
        <color theme="1"/>
        <rFont val="Calibri"/>
        <family val="2"/>
        <scheme val="minor"/>
      </rPr>
      <t>ovarian</t>
    </r>
    <r>
      <rPr>
        <sz val="11"/>
        <color theme="1"/>
        <rFont val="Calibri"/>
        <family val="2"/>
        <scheme val="minor"/>
      </rPr>
      <t xml:space="preserve"> cancer cells. </t>
    </r>
    <r>
      <rPr>
        <b/>
        <sz val="11"/>
        <color theme="1"/>
        <rFont val="Calibri"/>
        <family val="2"/>
        <scheme val="minor"/>
      </rPr>
      <t>4)</t>
    </r>
    <r>
      <rPr>
        <sz val="11"/>
        <color theme="1"/>
        <rFont val="Calibri"/>
        <family val="2"/>
        <scheme val="minor"/>
      </rPr>
      <t xml:space="preserve"> In resistant cells, </t>
    </r>
    <r>
      <rPr>
        <b/>
        <sz val="11"/>
        <color theme="1"/>
        <rFont val="Calibri"/>
        <family val="2"/>
        <scheme val="minor"/>
      </rPr>
      <t>Akt</t>
    </r>
    <r>
      <rPr>
        <sz val="11"/>
        <color theme="1"/>
        <rFont val="Calibri"/>
        <family val="2"/>
        <scheme val="minor"/>
      </rPr>
      <t xml:space="preserve"> and </t>
    </r>
    <r>
      <rPr>
        <b/>
        <sz val="11"/>
        <color theme="1"/>
        <rFont val="Calibri"/>
        <family val="2"/>
        <scheme val="minor"/>
      </rPr>
      <t>PDK1</t>
    </r>
    <r>
      <rPr>
        <sz val="11"/>
        <color theme="1"/>
        <rFont val="Calibri"/>
        <family val="2"/>
        <scheme val="minor"/>
      </rPr>
      <t xml:space="preserve"> were highly expressed; </t>
    </r>
    <r>
      <rPr>
        <b/>
        <sz val="11"/>
        <color theme="1"/>
        <rFont val="Calibri"/>
        <family val="2"/>
        <scheme val="minor"/>
      </rPr>
      <t xml:space="preserve">5) </t>
    </r>
    <r>
      <rPr>
        <sz val="11"/>
        <color theme="1"/>
        <rFont val="Calibri"/>
        <family val="2"/>
        <scheme val="minor"/>
      </rPr>
      <t xml:space="preserve">anticancer drugs enhanced binding activity between </t>
    </r>
    <r>
      <rPr>
        <b/>
        <sz val="11"/>
        <color theme="1"/>
        <rFont val="Calibri"/>
        <family val="2"/>
        <scheme val="minor"/>
      </rPr>
      <t>COL11A1</t>
    </r>
    <r>
      <rPr>
        <sz val="11"/>
        <color theme="1"/>
        <rFont val="Calibri"/>
        <family val="2"/>
        <scheme val="minor"/>
      </rPr>
      <t xml:space="preserve"> and </t>
    </r>
    <r>
      <rPr>
        <b/>
        <sz val="11"/>
        <color theme="1"/>
        <rFont val="Calibri"/>
        <family val="2"/>
        <scheme val="minor"/>
      </rPr>
      <t>PDK1</t>
    </r>
    <r>
      <rPr>
        <sz val="11"/>
        <color theme="1"/>
        <rFont val="Calibri"/>
        <family val="2"/>
        <scheme val="minor"/>
      </rPr>
      <t xml:space="preserve"> and attenuated PDK1 ubiquitination and degradation. </t>
    </r>
    <r>
      <rPr>
        <b/>
        <sz val="11"/>
        <color theme="1"/>
        <rFont val="Calibri"/>
        <family val="2"/>
        <scheme val="minor"/>
      </rPr>
      <t xml:space="preserve">6) </t>
    </r>
    <r>
      <rPr>
        <sz val="11"/>
        <color theme="1"/>
        <rFont val="Calibri"/>
        <family val="2"/>
        <scheme val="minor"/>
      </rPr>
      <t xml:space="preserve">chemosensitive cells showed decreased activity of </t>
    </r>
    <r>
      <rPr>
        <b/>
        <sz val="11"/>
        <color theme="1"/>
        <rFont val="Calibri"/>
        <family val="2"/>
        <scheme val="minor"/>
      </rPr>
      <t>COL11A1</t>
    </r>
    <r>
      <rPr>
        <sz val="11"/>
        <color theme="1"/>
        <rFont val="Calibri"/>
        <family val="2"/>
        <scheme val="minor"/>
      </rPr>
      <t xml:space="preserve"> binding to PDK1 and increased PDK1 ubiquitination, which were reversed by </t>
    </r>
    <r>
      <rPr>
        <b/>
        <sz val="11"/>
        <color theme="1"/>
        <rFont val="Calibri"/>
        <family val="2"/>
        <scheme val="minor"/>
      </rPr>
      <t>COL11A1</t>
    </r>
    <r>
      <rPr>
        <sz val="11"/>
        <color theme="1"/>
        <rFont val="Calibri"/>
        <family val="2"/>
        <scheme val="minor"/>
      </rPr>
      <t xml:space="preserve"> overexpression. </t>
    </r>
    <r>
      <rPr>
        <b/>
        <sz val="11"/>
        <color theme="1"/>
        <rFont val="Calibri"/>
        <family val="2"/>
        <scheme val="minor"/>
      </rPr>
      <t>7)</t>
    </r>
    <r>
      <rPr>
        <sz val="11"/>
        <color theme="1"/>
        <rFont val="Calibri"/>
        <family val="2"/>
        <scheme val="minor"/>
      </rPr>
      <t xml:space="preserve"> Analysis of 104 EOC patients showed that high </t>
    </r>
    <r>
      <rPr>
        <b/>
        <sz val="11"/>
        <color theme="1"/>
        <rFont val="Calibri"/>
        <family val="2"/>
        <scheme val="minor"/>
      </rPr>
      <t>COL11A1</t>
    </r>
    <r>
      <rPr>
        <sz val="11"/>
        <color theme="1"/>
        <rFont val="Calibri"/>
        <family val="2"/>
        <scheme val="minor"/>
      </rPr>
      <t xml:space="preserve"> mRNA levels are significantly associated with poor chemoresponse and clinical outcome.</t>
    </r>
  </si>
  <si>
    <r>
      <rPr>
        <b/>
        <sz val="11"/>
        <color theme="1"/>
        <rFont val="Calibri"/>
        <family val="2"/>
        <scheme val="minor"/>
      </rPr>
      <t xml:space="preserve">1) </t>
    </r>
    <r>
      <rPr>
        <sz val="11"/>
        <color theme="1"/>
        <rFont val="Calibri"/>
        <family val="2"/>
        <scheme val="minor"/>
      </rPr>
      <t xml:space="preserve">very high expression levels of </t>
    </r>
    <r>
      <rPr>
        <b/>
        <sz val="11"/>
        <color theme="1"/>
        <rFont val="Calibri"/>
        <family val="2"/>
        <scheme val="minor"/>
      </rPr>
      <t>COL3A1</t>
    </r>
    <r>
      <rPr>
        <sz val="11"/>
        <color theme="1"/>
        <rFont val="Calibri"/>
        <family val="2"/>
        <scheme val="minor"/>
      </rPr>
      <t xml:space="preserve"> protein, and the presence of extracellular COL3A1 in the </t>
    </r>
    <r>
      <rPr>
        <b/>
        <sz val="11"/>
        <color theme="1"/>
        <rFont val="Calibri"/>
        <family val="2"/>
        <scheme val="minor"/>
      </rPr>
      <t>CDDP</t>
    </r>
    <r>
      <rPr>
        <sz val="11"/>
        <color theme="1"/>
        <rFont val="Calibri"/>
        <family val="2"/>
        <scheme val="minor"/>
      </rPr>
      <t xml:space="preserve">-resistant </t>
    </r>
    <r>
      <rPr>
        <b/>
        <sz val="11"/>
        <color theme="1"/>
        <rFont val="Calibri"/>
        <family val="2"/>
        <scheme val="minor"/>
      </rPr>
      <t>ovarian</t>
    </r>
    <r>
      <rPr>
        <sz val="11"/>
        <color theme="1"/>
        <rFont val="Calibri"/>
        <family val="2"/>
        <scheme val="minor"/>
      </rPr>
      <t xml:space="preserve"> cancer W1TR cell line. </t>
    </r>
    <r>
      <rPr>
        <b/>
        <sz val="11"/>
        <color theme="1"/>
        <rFont val="Calibri"/>
        <family val="2"/>
        <scheme val="minor"/>
      </rPr>
      <t>2)</t>
    </r>
    <r>
      <rPr>
        <sz val="11"/>
        <color theme="1"/>
        <rFont val="Calibri"/>
        <family val="2"/>
        <scheme val="minor"/>
      </rPr>
      <t xml:space="preserve"> The cells mainly responsible for the extracellular COL3A1 production are aldehyde dehydrogenase-1A1 (ALDH1A1) positive cells. </t>
    </r>
    <r>
      <rPr>
        <b/>
        <sz val="11"/>
        <color theme="1"/>
        <rFont val="Calibri"/>
        <family val="2"/>
        <scheme val="minor"/>
      </rPr>
      <t xml:space="preserve">3) </t>
    </r>
    <r>
      <rPr>
        <sz val="11"/>
        <color theme="1"/>
        <rFont val="Calibri"/>
        <family val="2"/>
        <scheme val="minor"/>
      </rPr>
      <t xml:space="preserve">highly-expressed COL3A1 was closely correlated with local recurrence and Human </t>
    </r>
    <r>
      <rPr>
        <b/>
        <sz val="11"/>
        <color theme="1"/>
        <rFont val="Calibri"/>
        <family val="2"/>
        <scheme val="minor"/>
      </rPr>
      <t xml:space="preserve">bladder </t>
    </r>
    <r>
      <rPr>
        <sz val="11"/>
        <color theme="1"/>
        <rFont val="Calibri"/>
        <family val="2"/>
        <scheme val="minor"/>
      </rPr>
      <t>cancer</t>
    </r>
    <r>
      <rPr>
        <b/>
        <sz val="11"/>
        <color theme="1"/>
        <rFont val="Calibri"/>
        <family val="2"/>
        <scheme val="minor"/>
      </rPr>
      <t xml:space="preserve"> (BCa)</t>
    </r>
    <r>
      <rPr>
        <sz val="11"/>
        <color theme="1"/>
        <rFont val="Calibri"/>
        <family val="2"/>
        <scheme val="minor"/>
      </rPr>
      <t xml:space="preserve"> stage. </t>
    </r>
    <r>
      <rPr>
        <b/>
        <sz val="11"/>
        <color theme="1"/>
        <rFont val="Calibri"/>
        <family val="2"/>
        <scheme val="minor"/>
      </rPr>
      <t xml:space="preserve">4) </t>
    </r>
    <r>
      <rPr>
        <sz val="11"/>
        <color theme="1"/>
        <rFont val="Calibri"/>
        <family val="2"/>
        <scheme val="minor"/>
      </rPr>
      <t>BCa patients with higher expression of COL3A1 had a significantly shorter overall survival time and disease free survival time.</t>
    </r>
  </si>
  <si>
    <r>
      <rPr>
        <b/>
        <sz val="11"/>
        <color theme="1"/>
        <rFont val="Calibri"/>
        <family val="2"/>
        <scheme val="minor"/>
      </rPr>
      <t>1)</t>
    </r>
    <r>
      <rPr>
        <sz val="11"/>
        <color theme="1"/>
        <rFont val="Calibri"/>
        <family val="2"/>
        <scheme val="minor"/>
      </rPr>
      <t xml:space="preserve"> Serial analysis of gene expression (SAGE) profiling of cisplatin-resistant and sensitive cells revealed that many ECM genes were elevated in </t>
    </r>
    <r>
      <rPr>
        <b/>
        <sz val="11"/>
        <color theme="1"/>
        <rFont val="Calibri"/>
        <family val="2"/>
        <scheme val="minor"/>
      </rPr>
      <t>cisplatin</t>
    </r>
    <r>
      <rPr>
        <sz val="11"/>
        <color theme="1"/>
        <rFont val="Calibri"/>
        <family val="2"/>
        <scheme val="minor"/>
      </rPr>
      <t xml:space="preserve">-resistant </t>
    </r>
    <r>
      <rPr>
        <b/>
        <sz val="11"/>
        <color theme="1"/>
        <rFont val="Calibri"/>
        <family val="2"/>
        <scheme val="minor"/>
      </rPr>
      <t>ovarian</t>
    </r>
    <r>
      <rPr>
        <sz val="11"/>
        <color theme="1"/>
        <rFont val="Calibri"/>
        <family val="2"/>
        <scheme val="minor"/>
      </rPr>
      <t xml:space="preserve"> cancer cells including </t>
    </r>
    <r>
      <rPr>
        <b/>
        <sz val="11"/>
        <color theme="1"/>
        <rFont val="Calibri"/>
        <family val="2"/>
        <scheme val="minor"/>
      </rPr>
      <t>COL6A3</t>
    </r>
    <r>
      <rPr>
        <sz val="11"/>
        <color theme="1"/>
        <rFont val="Calibri"/>
        <family val="2"/>
        <scheme val="minor"/>
      </rPr>
      <t xml:space="preserve">. </t>
    </r>
    <r>
      <rPr>
        <b/>
        <sz val="11"/>
        <color theme="1"/>
        <rFont val="Calibri"/>
        <family val="2"/>
        <scheme val="minor"/>
      </rPr>
      <t xml:space="preserve">2) </t>
    </r>
    <r>
      <rPr>
        <sz val="11"/>
        <color theme="1"/>
        <rFont val="Calibri"/>
        <family val="2"/>
        <scheme val="minor"/>
      </rPr>
      <t xml:space="preserve">cultivation of cisplatin-sensitive cells in the presence of collagen VI protein promoted resistance in vitro. </t>
    </r>
    <r>
      <rPr>
        <b/>
        <sz val="11"/>
        <color theme="1"/>
        <rFont val="Calibri"/>
        <family val="2"/>
        <scheme val="minor"/>
      </rPr>
      <t xml:space="preserve">3) </t>
    </r>
    <r>
      <rPr>
        <sz val="11"/>
        <color theme="1"/>
        <rFont val="Calibri"/>
        <family val="2"/>
        <scheme val="minor"/>
      </rPr>
      <t xml:space="preserve">Staining of </t>
    </r>
    <r>
      <rPr>
        <b/>
        <sz val="11"/>
        <color theme="1"/>
        <rFont val="Calibri"/>
        <family val="2"/>
        <scheme val="minor"/>
      </rPr>
      <t>ovarian</t>
    </r>
    <r>
      <rPr>
        <sz val="11"/>
        <color theme="1"/>
        <rFont val="Calibri"/>
        <family val="2"/>
        <scheme val="minor"/>
      </rPr>
      <t xml:space="preserve"> tumors with collagen VI antibodies confirmed collagen VI expression in vivo and suggested reorganization of the extracellular matrix in the vicinity of the tumor. </t>
    </r>
    <r>
      <rPr>
        <b/>
        <sz val="11"/>
        <color theme="1"/>
        <rFont val="Calibri"/>
        <family val="2"/>
        <scheme val="minor"/>
      </rPr>
      <t>4)</t>
    </r>
    <r>
      <rPr>
        <sz val="11"/>
        <color theme="1"/>
        <rFont val="Calibri"/>
        <family val="2"/>
        <scheme val="minor"/>
      </rPr>
      <t xml:space="preserve"> the presence of collagen VI correlated with tumor grade, an ovarian cancer prognostic factor. </t>
    </r>
  </si>
  <si>
    <r>
      <t xml:space="preserve">Cisplatin Binds to Human Copper Chaperone </t>
    </r>
    <r>
      <rPr>
        <b/>
        <sz val="11"/>
        <color theme="1"/>
        <rFont val="Calibri"/>
        <family val="2"/>
        <scheme val="minor"/>
      </rPr>
      <t>Cox17</t>
    </r>
    <r>
      <rPr>
        <sz val="11"/>
        <color theme="1"/>
        <rFont val="Calibri"/>
        <family val="2"/>
        <scheme val="minor"/>
      </rPr>
      <t>: The Mechanistic Implication of Drug Delivery to Mitochondria</t>
    </r>
  </si>
  <si>
    <r>
      <rPr>
        <b/>
        <sz val="11"/>
        <color theme="1"/>
        <rFont val="Calibri"/>
        <family val="2"/>
        <scheme val="minor"/>
      </rPr>
      <t xml:space="preserve">1) </t>
    </r>
    <r>
      <rPr>
        <sz val="11"/>
        <color theme="1"/>
        <rFont val="Calibri"/>
        <family val="2"/>
        <scheme val="minor"/>
      </rPr>
      <t xml:space="preserve">clinical response to </t>
    </r>
    <r>
      <rPr>
        <b/>
        <sz val="11"/>
        <color theme="1"/>
        <rFont val="Calibri"/>
        <family val="2"/>
        <scheme val="minor"/>
      </rPr>
      <t>cisplatin</t>
    </r>
    <r>
      <rPr>
        <sz val="11"/>
        <color theme="1"/>
        <rFont val="Calibri"/>
        <family val="2"/>
        <scheme val="minor"/>
      </rPr>
      <t xml:space="preserve"> correlated with pre-existing defects in the </t>
    </r>
    <r>
      <rPr>
        <b/>
        <sz val="11"/>
        <color theme="1"/>
        <rFont val="Calibri"/>
        <family val="2"/>
        <scheme val="minor"/>
      </rPr>
      <t xml:space="preserve">mitochondrial </t>
    </r>
    <r>
      <rPr>
        <sz val="11"/>
        <color theme="1"/>
        <rFont val="Calibri"/>
        <family val="2"/>
        <scheme val="minor"/>
      </rPr>
      <t xml:space="preserve">respiratory chain complexes of </t>
    </r>
    <r>
      <rPr>
        <b/>
        <sz val="11"/>
        <color theme="1"/>
        <rFont val="Calibri"/>
        <family val="2"/>
        <scheme val="minor"/>
      </rPr>
      <t>esophageal</t>
    </r>
    <r>
      <rPr>
        <sz val="11"/>
        <color theme="1"/>
        <rFont val="Calibri"/>
        <family val="2"/>
        <scheme val="minor"/>
      </rPr>
      <t xml:space="preserve"> adenocarcinoma cancer cells, caused by loss of specific cytochrome c oxidase (</t>
    </r>
    <r>
      <rPr>
        <b/>
        <sz val="11"/>
        <color theme="1"/>
        <rFont val="Calibri"/>
        <family val="2"/>
        <scheme val="minor"/>
      </rPr>
      <t>COX</t>
    </r>
    <r>
      <rPr>
        <sz val="11"/>
        <color theme="1"/>
        <rFont val="Calibri"/>
        <family val="2"/>
        <scheme val="minor"/>
      </rPr>
      <t xml:space="preserve">) subunits. </t>
    </r>
    <r>
      <rPr>
        <b/>
        <sz val="11"/>
        <color theme="1"/>
        <rFont val="Calibri"/>
        <family val="2"/>
        <scheme val="minor"/>
      </rPr>
      <t xml:space="preserve">2) </t>
    </r>
    <r>
      <rPr>
        <sz val="11"/>
        <color theme="1"/>
        <rFont val="Calibri"/>
        <family val="2"/>
        <scheme val="minor"/>
      </rPr>
      <t xml:space="preserve">Knockdown of a COX protein altered chemosensitivity in vitro, increasing the propensity of cancer cells to undergo cell death following cisplatin treatment. </t>
    </r>
    <r>
      <rPr>
        <b/>
        <sz val="11"/>
        <color theme="1"/>
        <rFont val="Calibri"/>
        <family val="2"/>
        <scheme val="minor"/>
      </rPr>
      <t xml:space="preserve">3) </t>
    </r>
    <r>
      <rPr>
        <sz val="11"/>
        <color theme="1"/>
        <rFont val="Calibri"/>
        <family val="2"/>
        <scheme val="minor"/>
      </rPr>
      <t xml:space="preserve">In an independent validation, patients with reduced COX protein expression prior to treatment exhibited favourable clinical outcomes to chemotherapy, whereas tumors with unchanged COX expression were chemoresistant. </t>
    </r>
  </si>
  <si>
    <r>
      <rPr>
        <b/>
        <sz val="11"/>
        <color theme="1"/>
        <rFont val="Calibri"/>
        <family val="2"/>
        <scheme val="minor"/>
      </rPr>
      <t>1)</t>
    </r>
    <r>
      <rPr>
        <sz val="11"/>
        <color theme="1"/>
        <rFont val="Calibri"/>
        <family val="2"/>
        <scheme val="minor"/>
      </rPr>
      <t xml:space="preserve"> we have identified </t>
    </r>
    <r>
      <rPr>
        <b/>
        <sz val="11"/>
        <color theme="1"/>
        <rFont val="Calibri"/>
        <family val="2"/>
        <scheme val="minor"/>
      </rPr>
      <t>CPT2</t>
    </r>
    <r>
      <rPr>
        <sz val="11"/>
        <color theme="1"/>
        <rFont val="Calibri"/>
        <family val="2"/>
        <scheme val="minor"/>
      </rPr>
      <t xml:space="preserve"> which is the rate-limiting enzyme of fatty acid oxidation, downregulated in </t>
    </r>
    <r>
      <rPr>
        <b/>
        <sz val="11"/>
        <color theme="1"/>
        <rFont val="Calibri"/>
        <family val="2"/>
        <scheme val="minor"/>
      </rPr>
      <t>HCC</t>
    </r>
    <r>
      <rPr>
        <sz val="11"/>
        <color theme="1"/>
        <rFont val="Calibri"/>
        <family val="2"/>
        <scheme val="minor"/>
      </rPr>
      <t xml:space="preserve"> and was significantly associated with tumor histological differentiation and venous invasion. </t>
    </r>
    <r>
      <rPr>
        <b/>
        <sz val="11"/>
        <color theme="1"/>
        <rFont val="Calibri"/>
        <family val="2"/>
        <scheme val="minor"/>
      </rPr>
      <t>2)</t>
    </r>
    <r>
      <rPr>
        <sz val="11"/>
        <color theme="1"/>
        <rFont val="Calibri"/>
        <family val="2"/>
        <scheme val="minor"/>
      </rPr>
      <t xml:space="preserve"> knockdown of </t>
    </r>
    <r>
      <rPr>
        <b/>
        <sz val="11"/>
        <color theme="1"/>
        <rFont val="Calibri"/>
        <family val="2"/>
        <scheme val="minor"/>
      </rPr>
      <t>CPT2</t>
    </r>
    <r>
      <rPr>
        <sz val="11"/>
        <color theme="1"/>
        <rFont val="Calibri"/>
        <family val="2"/>
        <scheme val="minor"/>
      </rPr>
      <t xml:space="preserve"> remarkably enhanced the tumorigenic activity and metastatic potential of hepatoma cells. </t>
    </r>
    <r>
      <rPr>
        <b/>
        <sz val="11"/>
        <color theme="1"/>
        <rFont val="Calibri"/>
        <family val="2"/>
        <scheme val="minor"/>
      </rPr>
      <t xml:space="preserve">3) </t>
    </r>
    <r>
      <rPr>
        <sz val="11"/>
        <color theme="1"/>
        <rFont val="Calibri"/>
        <family val="2"/>
        <scheme val="minor"/>
      </rPr>
      <t xml:space="preserve">CPT2 silencing induced chemoresistance to cisplatin. </t>
    </r>
    <r>
      <rPr>
        <b/>
        <sz val="11"/>
        <color theme="1"/>
        <rFont val="Calibri"/>
        <family val="2"/>
        <scheme val="minor"/>
      </rPr>
      <t xml:space="preserve">4) </t>
    </r>
    <r>
      <rPr>
        <sz val="11"/>
        <color theme="1"/>
        <rFont val="Calibri"/>
        <family val="2"/>
        <scheme val="minor"/>
      </rPr>
      <t xml:space="preserve">low expression of </t>
    </r>
    <r>
      <rPr>
        <b/>
        <sz val="11"/>
        <color theme="1"/>
        <rFont val="Calibri"/>
        <family val="2"/>
        <scheme val="minor"/>
      </rPr>
      <t>CPT2</t>
    </r>
    <r>
      <rPr>
        <sz val="11"/>
        <color theme="1"/>
        <rFont val="Calibri"/>
        <family val="2"/>
        <scheme val="minor"/>
      </rPr>
      <t xml:space="preserve"> promoted cancer cell lipogenesis via upregulation of </t>
    </r>
    <r>
      <rPr>
        <b/>
        <sz val="11"/>
        <color theme="1"/>
        <rFont val="Calibri"/>
        <family val="2"/>
        <scheme val="minor"/>
      </rPr>
      <t>stearoyl-CoA desaturase-1</t>
    </r>
    <r>
      <rPr>
        <sz val="11"/>
        <color theme="1"/>
        <rFont val="Calibri"/>
        <family val="2"/>
        <scheme val="minor"/>
      </rPr>
      <t>, the key enzyme involved in the synthesis of monounsaturated fatty acids, at both mRNA and protein levels in hepatoma cell line.</t>
    </r>
  </si>
  <si>
    <r>
      <rPr>
        <b/>
        <sz val="11"/>
        <color theme="1"/>
        <rFont val="Calibri"/>
        <family val="2"/>
        <scheme val="minor"/>
      </rPr>
      <t xml:space="preserve">1) </t>
    </r>
    <r>
      <rPr>
        <sz val="11"/>
        <color theme="1"/>
        <rFont val="Calibri"/>
        <family val="2"/>
        <scheme val="minor"/>
      </rPr>
      <t xml:space="preserve">suppression of SETD2 or </t>
    </r>
    <r>
      <rPr>
        <b/>
        <sz val="11"/>
        <color theme="1"/>
        <rFont val="Calibri"/>
        <family val="2"/>
        <scheme val="minor"/>
      </rPr>
      <t>CREB1</t>
    </r>
    <r>
      <rPr>
        <sz val="11"/>
        <color theme="1"/>
        <rFont val="Calibri"/>
        <family val="2"/>
        <scheme val="minor"/>
      </rPr>
      <t xml:space="preserve"> conferred </t>
    </r>
    <r>
      <rPr>
        <b/>
        <sz val="11"/>
        <color theme="1"/>
        <rFont val="Calibri"/>
        <family val="2"/>
        <scheme val="minor"/>
      </rPr>
      <t>cisplatin</t>
    </r>
    <r>
      <rPr>
        <sz val="11"/>
        <color theme="1"/>
        <rFont val="Calibri"/>
        <family val="2"/>
        <scheme val="minor"/>
      </rPr>
      <t xml:space="preserve"> resistance through inhibition of H3K36me3 and ERK activation in </t>
    </r>
    <r>
      <rPr>
        <b/>
        <sz val="11"/>
        <color theme="1"/>
        <rFont val="Calibri"/>
        <family val="2"/>
        <scheme val="minor"/>
      </rPr>
      <t>NSCLC</t>
    </r>
    <r>
      <rPr>
        <sz val="11"/>
        <color theme="1"/>
        <rFont val="Calibri"/>
        <family val="2"/>
        <scheme val="minor"/>
      </rPr>
      <t xml:space="preserve"> cells. </t>
    </r>
    <r>
      <rPr>
        <b/>
        <sz val="11"/>
        <color theme="1"/>
        <rFont val="Calibri"/>
        <family val="2"/>
        <scheme val="minor"/>
      </rPr>
      <t>2)</t>
    </r>
    <r>
      <rPr>
        <sz val="11"/>
        <color theme="1"/>
        <rFont val="Calibri"/>
        <family val="2"/>
        <scheme val="minor"/>
      </rPr>
      <t xml:space="preserve"> SETD2 and CREB1 contribute to cisplatin cytotoxicity via regulation of the </t>
    </r>
    <r>
      <rPr>
        <b/>
        <sz val="11"/>
        <color theme="1"/>
        <rFont val="Calibri"/>
        <family val="2"/>
        <scheme val="minor"/>
      </rPr>
      <t>ERK signaling</t>
    </r>
    <r>
      <rPr>
        <sz val="11"/>
        <color theme="1"/>
        <rFont val="Calibri"/>
        <family val="2"/>
        <scheme val="minor"/>
      </rPr>
      <t xml:space="preserve"> pathway. </t>
    </r>
    <r>
      <rPr>
        <b/>
        <sz val="11"/>
        <color theme="1"/>
        <rFont val="Calibri"/>
        <family val="2"/>
        <scheme val="minor"/>
      </rPr>
      <t xml:space="preserve">3) </t>
    </r>
    <r>
      <rPr>
        <sz val="11"/>
        <color theme="1"/>
        <rFont val="Calibri"/>
        <family val="2"/>
        <scheme val="minor"/>
      </rPr>
      <t xml:space="preserve">PDE4 inhibitor roflumilast activated the cAMP/PKA/CREB pathway and upregulated the mitochondrial ferritin (FtMt) level in OVCAR3 and SKOV3 cells. </t>
    </r>
    <r>
      <rPr>
        <b/>
        <sz val="11"/>
        <color theme="1"/>
        <rFont val="Calibri"/>
        <family val="2"/>
        <scheme val="minor"/>
      </rPr>
      <t>4)</t>
    </r>
    <r>
      <rPr>
        <sz val="11"/>
        <color theme="1"/>
        <rFont val="Calibri"/>
        <family val="2"/>
        <scheme val="minor"/>
      </rPr>
      <t xml:space="preserve"> Roflumilast enhanced </t>
    </r>
    <r>
      <rPr>
        <b/>
        <sz val="11"/>
        <color theme="1"/>
        <rFont val="Calibri"/>
        <family val="2"/>
        <scheme val="minor"/>
      </rPr>
      <t>DDP</t>
    </r>
    <r>
      <rPr>
        <sz val="11"/>
        <color theme="1"/>
        <rFont val="Calibri"/>
        <family val="2"/>
        <scheme val="minor"/>
      </rPr>
      <t xml:space="preserve"> sensitivity and reversed the </t>
    </r>
    <r>
      <rPr>
        <b/>
        <sz val="11"/>
        <color theme="1"/>
        <rFont val="Calibri"/>
        <family val="2"/>
        <scheme val="minor"/>
      </rPr>
      <t>DDP resistance</t>
    </r>
    <r>
      <rPr>
        <sz val="11"/>
        <color theme="1"/>
        <rFont val="Calibri"/>
        <family val="2"/>
        <scheme val="minor"/>
      </rPr>
      <t xml:space="preserve"> of</t>
    </r>
    <r>
      <rPr>
        <b/>
        <sz val="11"/>
        <color theme="1"/>
        <rFont val="Calibri"/>
        <family val="2"/>
        <scheme val="minor"/>
      </rPr>
      <t xml:space="preserve"> ovarian</t>
    </r>
    <r>
      <rPr>
        <sz val="11"/>
        <color theme="1"/>
        <rFont val="Calibri"/>
        <family val="2"/>
        <scheme val="minor"/>
      </rPr>
      <t xml:space="preserve"> cancer cells via activation of cAMP/PKA/CREB pathway and upregulation of the downstream FtMt expression. </t>
    </r>
  </si>
  <si>
    <r>
      <rPr>
        <b/>
        <sz val="11"/>
        <color theme="1"/>
        <rFont val="Calibri"/>
        <family val="2"/>
        <scheme val="minor"/>
      </rPr>
      <t xml:space="preserve">1) </t>
    </r>
    <r>
      <rPr>
        <sz val="11"/>
        <color theme="1"/>
        <rFont val="Calibri"/>
        <family val="2"/>
        <scheme val="minor"/>
      </rPr>
      <t>induction of Hsf1 and the small heat shock protein crystallin-αB (</t>
    </r>
    <r>
      <rPr>
        <b/>
        <sz val="11"/>
        <color theme="1"/>
        <rFont val="Calibri"/>
        <family val="2"/>
        <scheme val="minor"/>
      </rPr>
      <t>CryAB</t>
    </r>
    <r>
      <rPr>
        <sz val="11"/>
        <color theme="1"/>
        <rFont val="Calibri"/>
        <family val="2"/>
        <scheme val="minor"/>
      </rPr>
      <t xml:space="preserve">) during </t>
    </r>
    <r>
      <rPr>
        <b/>
        <sz val="11"/>
        <color theme="1"/>
        <rFont val="Calibri"/>
        <family val="2"/>
        <scheme val="minor"/>
      </rPr>
      <t>cisplatin</t>
    </r>
    <r>
      <rPr>
        <sz val="11"/>
        <color theme="1"/>
        <rFont val="Calibri"/>
        <family val="2"/>
        <scheme val="minor"/>
      </rPr>
      <t xml:space="preserve"> </t>
    </r>
    <r>
      <rPr>
        <b/>
        <sz val="11"/>
        <color theme="1"/>
        <rFont val="Calibri"/>
        <family val="2"/>
        <scheme val="minor"/>
      </rPr>
      <t>nephrotoxicity</t>
    </r>
    <r>
      <rPr>
        <sz val="11"/>
        <color theme="1"/>
        <rFont val="Calibri"/>
        <family val="2"/>
        <scheme val="minor"/>
      </rPr>
      <t xml:space="preserve"> in mice.</t>
    </r>
    <r>
      <rPr>
        <b/>
        <sz val="11"/>
        <color theme="1"/>
        <rFont val="Calibri"/>
        <family val="2"/>
        <scheme val="minor"/>
      </rPr>
      <t xml:space="preserve"> 2)</t>
    </r>
    <r>
      <rPr>
        <sz val="11"/>
        <color theme="1"/>
        <rFont val="Calibri"/>
        <family val="2"/>
        <scheme val="minor"/>
      </rPr>
      <t xml:space="preserve"> cisplatin induced Hsf1 and CryAB in a cultured</t>
    </r>
    <r>
      <rPr>
        <b/>
        <sz val="11"/>
        <color theme="1"/>
        <rFont val="Calibri"/>
        <family val="2"/>
        <scheme val="minor"/>
      </rPr>
      <t xml:space="preserve"> renal</t>
    </r>
    <r>
      <rPr>
        <sz val="11"/>
        <color theme="1"/>
        <rFont val="Calibri"/>
        <family val="2"/>
        <scheme val="minor"/>
      </rPr>
      <t xml:space="preserve"> proximal tubular cells (RPTCs). </t>
    </r>
    <r>
      <rPr>
        <b/>
        <sz val="11"/>
        <color theme="1"/>
        <rFont val="Calibri"/>
        <family val="2"/>
        <scheme val="minor"/>
      </rPr>
      <t xml:space="preserve">3) </t>
    </r>
    <r>
      <rPr>
        <sz val="11"/>
        <color theme="1"/>
        <rFont val="Calibri"/>
        <family val="2"/>
        <scheme val="minor"/>
      </rPr>
      <t xml:space="preserve">Transfection or restoration of Hsf1 into Hsf1 knockdown cells suppressed cisplatin-induced apoptosis, </t>
    </r>
    <r>
      <rPr>
        <b/>
        <sz val="11"/>
        <color theme="1"/>
        <rFont val="Calibri"/>
        <family val="2"/>
        <scheme val="minor"/>
      </rPr>
      <t xml:space="preserve">4) </t>
    </r>
    <r>
      <rPr>
        <sz val="11"/>
        <color theme="1"/>
        <rFont val="Calibri"/>
        <family val="2"/>
        <scheme val="minor"/>
      </rPr>
      <t xml:space="preserve">Hsf1 knockdown increased Bax translocation to mitochondria and cytochrome c release into the cytosol. </t>
    </r>
    <r>
      <rPr>
        <b/>
        <sz val="11"/>
        <color theme="1"/>
        <rFont val="Calibri"/>
        <family val="2"/>
        <scheme val="minor"/>
      </rPr>
      <t>5)</t>
    </r>
    <r>
      <rPr>
        <sz val="11"/>
        <color theme="1"/>
        <rFont val="Calibri"/>
        <family val="2"/>
        <scheme val="minor"/>
      </rPr>
      <t xml:space="preserve"> In RPTCs, Hsf1 knockdown led to a specific downregulation of </t>
    </r>
    <r>
      <rPr>
        <b/>
        <sz val="11"/>
        <color theme="1"/>
        <rFont val="Calibri"/>
        <family val="2"/>
        <scheme val="minor"/>
      </rPr>
      <t>CryAB</t>
    </r>
    <r>
      <rPr>
        <sz val="11"/>
        <color theme="1"/>
        <rFont val="Calibri"/>
        <family val="2"/>
        <scheme val="minor"/>
      </rPr>
      <t xml:space="preserve">. </t>
    </r>
    <r>
      <rPr>
        <b/>
        <sz val="11"/>
        <color theme="1"/>
        <rFont val="Calibri"/>
        <family val="2"/>
        <scheme val="minor"/>
      </rPr>
      <t xml:space="preserve">6) </t>
    </r>
    <r>
      <rPr>
        <sz val="11"/>
        <color theme="1"/>
        <rFont val="Calibri"/>
        <family val="2"/>
        <scheme val="minor"/>
      </rPr>
      <t xml:space="preserve">Transfection of </t>
    </r>
    <r>
      <rPr>
        <b/>
        <sz val="11"/>
        <color theme="1"/>
        <rFont val="Calibri"/>
        <family val="2"/>
        <scheme val="minor"/>
      </rPr>
      <t>CryAB</t>
    </r>
    <r>
      <rPr>
        <sz val="11"/>
        <color theme="1"/>
        <rFont val="Calibri"/>
        <family val="2"/>
        <scheme val="minor"/>
      </rPr>
      <t xml:space="preserve"> into Hsf1 knockdown cells diminished their sensitivity to cisplatin-induced apoptosis. </t>
    </r>
    <r>
      <rPr>
        <b/>
        <sz val="11"/>
        <color theme="1"/>
        <rFont val="Calibri"/>
        <family val="2"/>
        <scheme val="minor"/>
      </rPr>
      <t>7)</t>
    </r>
    <r>
      <rPr>
        <sz val="11"/>
        <color theme="1"/>
        <rFont val="Calibri"/>
        <family val="2"/>
        <scheme val="minor"/>
      </rPr>
      <t xml:space="preserve"> CRYAB expression in the mRNA and protein levels was significantly higher in </t>
    </r>
    <r>
      <rPr>
        <b/>
        <sz val="11"/>
        <color theme="1"/>
        <rFont val="Calibri"/>
        <family val="2"/>
        <scheme val="minor"/>
      </rPr>
      <t>colorectal</t>
    </r>
    <r>
      <rPr>
        <sz val="11"/>
        <color theme="1"/>
        <rFont val="Calibri"/>
        <family val="2"/>
        <scheme val="minor"/>
      </rPr>
      <t xml:space="preserve"> cancer (CRC) tissues (P &lt; 0.05 and P = 0.014, respectively). </t>
    </r>
    <r>
      <rPr>
        <b/>
        <sz val="11"/>
        <color theme="1"/>
        <rFont val="Calibri"/>
        <family val="2"/>
        <scheme val="minor"/>
      </rPr>
      <t xml:space="preserve">8) </t>
    </r>
    <r>
      <rPr>
        <sz val="11"/>
        <color theme="1"/>
        <rFont val="Calibri"/>
        <family val="2"/>
        <scheme val="minor"/>
      </rPr>
      <t xml:space="preserve">The expression of CRYAB protein in CRC was significantly associated with distant metastasis (P = 0.040) and overall survival (P = 0.003). </t>
    </r>
  </si>
  <si>
    <r>
      <rPr>
        <b/>
        <sz val="11"/>
        <color theme="1"/>
        <rFont val="Calibri"/>
        <family val="2"/>
        <scheme val="minor"/>
      </rPr>
      <t>1)</t>
    </r>
    <r>
      <rPr>
        <sz val="11"/>
        <color theme="1"/>
        <rFont val="Calibri"/>
        <family val="2"/>
        <scheme val="minor"/>
      </rPr>
      <t xml:space="preserve"> colony-stimulating-factor-1 receptor (</t>
    </r>
    <r>
      <rPr>
        <b/>
        <sz val="11"/>
        <color theme="1"/>
        <rFont val="Calibri"/>
        <family val="2"/>
        <scheme val="minor"/>
      </rPr>
      <t>CSF-1R</t>
    </r>
    <r>
      <rPr>
        <sz val="11"/>
        <color theme="1"/>
        <rFont val="Calibri"/>
        <family val="2"/>
        <scheme val="minor"/>
      </rPr>
      <t xml:space="preserve">) was upregulated in </t>
    </r>
    <r>
      <rPr>
        <b/>
        <sz val="11"/>
        <color theme="1"/>
        <rFont val="Calibri"/>
        <family val="2"/>
        <scheme val="minor"/>
      </rPr>
      <t>cisplatin</t>
    </r>
    <r>
      <rPr>
        <sz val="11"/>
        <color theme="1"/>
        <rFont val="Calibri"/>
        <family val="2"/>
        <scheme val="minor"/>
      </rPr>
      <t>-resistant SK-OV-3 and CaoV-3 cells.</t>
    </r>
    <r>
      <rPr>
        <b/>
        <sz val="11"/>
        <color theme="1"/>
        <rFont val="Calibri"/>
        <family val="2"/>
        <scheme val="minor"/>
      </rPr>
      <t xml:space="preserve"> 2)</t>
    </r>
    <r>
      <rPr>
        <sz val="11"/>
        <color theme="1"/>
        <rFont val="Calibri"/>
        <family val="2"/>
        <scheme val="minor"/>
      </rPr>
      <t xml:space="preserve"> parental SK-OV-3 and CaoV-3 cells were more resistant to cisplatin after CSF-1R overexpression, </t>
    </r>
    <r>
      <rPr>
        <b/>
        <sz val="11"/>
        <color theme="1"/>
        <rFont val="Calibri"/>
        <family val="2"/>
        <scheme val="minor"/>
      </rPr>
      <t>3)</t>
    </r>
    <r>
      <rPr>
        <sz val="11"/>
        <color theme="1"/>
        <rFont val="Calibri"/>
        <family val="2"/>
        <scheme val="minor"/>
      </rPr>
      <t xml:space="preserve"> CSF-1R knockdown in SK-OV-3 and CaoV-3 cells promoted cisplatin sensitivity.</t>
    </r>
    <r>
      <rPr>
        <b/>
        <sz val="11"/>
        <color theme="1"/>
        <rFont val="Calibri"/>
        <family val="2"/>
        <scheme val="minor"/>
      </rPr>
      <t xml:space="preserve"> 4)</t>
    </r>
    <r>
      <rPr>
        <sz val="11"/>
        <color theme="1"/>
        <rFont val="Calibri"/>
        <family val="2"/>
        <scheme val="minor"/>
      </rPr>
      <t xml:space="preserve"> CSF-1R significantly promoted active AKT and ERK1/2 signalling pathways in cisplatin-resistant cells. </t>
    </r>
    <r>
      <rPr>
        <b/>
        <sz val="11"/>
        <color theme="1"/>
        <rFont val="Calibri"/>
        <family val="2"/>
        <scheme val="minor"/>
      </rPr>
      <t>5)</t>
    </r>
    <r>
      <rPr>
        <sz val="11"/>
        <color theme="1"/>
        <rFont val="Calibri"/>
        <family val="2"/>
        <scheme val="minor"/>
      </rPr>
      <t xml:space="preserve"> a combination of cisplatin and CSF-1R inhibitor effectively inhibited tumour growth in xenografts.</t>
    </r>
    <r>
      <rPr>
        <b/>
        <sz val="11"/>
        <color theme="1"/>
        <rFont val="Calibri"/>
        <family val="2"/>
        <scheme val="minor"/>
      </rPr>
      <t xml:space="preserve"> 6) </t>
    </r>
    <r>
      <rPr>
        <sz val="11"/>
        <color theme="1"/>
        <rFont val="Calibri"/>
        <family val="2"/>
        <scheme val="minor"/>
      </rPr>
      <t xml:space="preserve">Down-regulation of miR-130b in ovarian cancer was associated with FIGO III-IV clinical stages and poorer histological differentiation. </t>
    </r>
    <r>
      <rPr>
        <b/>
        <sz val="11"/>
        <color theme="1"/>
        <rFont val="Calibri"/>
        <family val="2"/>
        <scheme val="minor"/>
      </rPr>
      <t>7)</t>
    </r>
    <r>
      <rPr>
        <sz val="11"/>
        <color theme="1"/>
        <rFont val="Calibri"/>
        <family val="2"/>
        <scheme val="minor"/>
      </rPr>
      <t xml:space="preserve"> Epigenetic silencing of miR-130b in </t>
    </r>
    <r>
      <rPr>
        <b/>
        <sz val="11"/>
        <color theme="1"/>
        <rFont val="Calibri"/>
        <family val="2"/>
        <scheme val="minor"/>
      </rPr>
      <t>ovarian</t>
    </r>
    <r>
      <rPr>
        <sz val="11"/>
        <color theme="1"/>
        <rFont val="Calibri"/>
        <family val="2"/>
        <scheme val="minor"/>
      </rPr>
      <t xml:space="preserve"> cancer promotes the development of multidrug resistance by targeting colony-stimulating factor 1. </t>
    </r>
  </si>
  <si>
    <r>
      <rPr>
        <b/>
        <sz val="11"/>
        <color theme="1"/>
        <rFont val="Calibri"/>
        <family val="2"/>
        <scheme val="minor"/>
      </rPr>
      <t>1)</t>
    </r>
    <r>
      <rPr>
        <sz val="11"/>
        <color theme="1"/>
        <rFont val="Calibri"/>
        <family val="2"/>
        <scheme val="minor"/>
      </rPr>
      <t xml:space="preserve"> Activation of the </t>
    </r>
    <r>
      <rPr>
        <b/>
        <sz val="11"/>
        <color theme="1"/>
        <rFont val="Calibri"/>
        <family val="2"/>
        <scheme val="minor"/>
      </rPr>
      <t>cullin 4a</t>
    </r>
    <r>
      <rPr>
        <sz val="11"/>
        <color theme="1"/>
        <rFont val="Calibri"/>
        <family val="2"/>
        <scheme val="minor"/>
      </rPr>
      <t>-containing E3 ubiquitin ligase complex CRL leads to ubiquitylation of several key NER proteins such as XPC itself to initiate removal of the DNA lesion. </t>
    </r>
    <r>
      <rPr>
        <b/>
        <sz val="11"/>
        <color theme="1"/>
        <rFont val="Calibri"/>
        <family val="2"/>
        <scheme val="minor"/>
      </rPr>
      <t>2)</t>
    </r>
    <r>
      <rPr>
        <sz val="11"/>
        <color theme="1"/>
        <rFont val="Calibri"/>
        <family val="2"/>
        <scheme val="minor"/>
      </rPr>
      <t xml:space="preserve"> Transient knockdown of </t>
    </r>
    <r>
      <rPr>
        <b/>
        <sz val="11"/>
        <color theme="1"/>
        <rFont val="Calibri"/>
        <family val="2"/>
        <scheme val="minor"/>
      </rPr>
      <t>CUL4A</t>
    </r>
    <r>
      <rPr>
        <sz val="11"/>
        <color theme="1"/>
        <rFont val="Calibri"/>
        <family val="2"/>
        <scheme val="minor"/>
      </rPr>
      <t xml:space="preserve"> sensitised parental HCT116 cells towards</t>
    </r>
    <r>
      <rPr>
        <b/>
        <sz val="11"/>
        <color theme="1"/>
        <rFont val="Calibri"/>
        <family val="2"/>
        <scheme val="minor"/>
      </rPr>
      <t xml:space="preserve"> cisplatin</t>
    </r>
    <r>
      <rPr>
        <sz val="11"/>
        <color theme="1"/>
        <rFont val="Calibri"/>
        <family val="2"/>
        <scheme val="minor"/>
      </rPr>
      <t xml:space="preserve">. </t>
    </r>
    <r>
      <rPr>
        <b/>
        <sz val="11"/>
        <color theme="1"/>
        <rFont val="Calibri"/>
        <family val="2"/>
        <scheme val="minor"/>
      </rPr>
      <t xml:space="preserve">3) </t>
    </r>
    <r>
      <rPr>
        <sz val="11"/>
        <color theme="1"/>
        <rFont val="Calibri"/>
        <family val="2"/>
        <scheme val="minor"/>
      </rPr>
      <t xml:space="preserve">CUL4A and TP53 protein expression was significantly higher in cancerous tissues compared to normal tissues. </t>
    </r>
    <r>
      <rPr>
        <b/>
        <sz val="11"/>
        <color theme="1"/>
        <rFont val="Calibri"/>
        <family val="2"/>
        <scheme val="minor"/>
      </rPr>
      <t>4)</t>
    </r>
    <r>
      <rPr>
        <sz val="11"/>
        <color theme="1"/>
        <rFont val="Calibri"/>
        <family val="2"/>
        <scheme val="minor"/>
      </rPr>
      <t xml:space="preserve"> Significant correlation between CUL4A and TP53 expression was observed. </t>
    </r>
    <r>
      <rPr>
        <b/>
        <sz val="11"/>
        <color theme="1"/>
        <rFont val="Calibri"/>
        <family val="2"/>
        <scheme val="minor"/>
      </rPr>
      <t xml:space="preserve">5) </t>
    </r>
    <r>
      <rPr>
        <sz val="11"/>
        <color theme="1"/>
        <rFont val="Calibri"/>
        <family val="2"/>
        <scheme val="minor"/>
      </rPr>
      <t xml:space="preserve">CUL4A expression was an independent prognostic factor for overall survival (OS) and disease-free survival (DFS). </t>
    </r>
    <r>
      <rPr>
        <b/>
        <sz val="11"/>
        <color theme="1"/>
        <rFont val="Calibri"/>
        <family val="2"/>
        <scheme val="minor"/>
      </rPr>
      <t xml:space="preserve">6) </t>
    </r>
    <r>
      <rPr>
        <sz val="11"/>
        <color theme="1"/>
        <rFont val="Calibri"/>
        <family val="2"/>
        <scheme val="minor"/>
      </rPr>
      <t xml:space="preserve">patients with tumors that had both CUL4A overexpression and mutant TP53 protein accumulation relapsed and died within a significantly short period after surgery (P &lt; 0.001). </t>
    </r>
    <r>
      <rPr>
        <b/>
        <sz val="11"/>
        <color theme="1"/>
        <rFont val="Calibri"/>
        <family val="2"/>
        <scheme val="minor"/>
      </rPr>
      <t>7)</t>
    </r>
    <r>
      <rPr>
        <sz val="11"/>
        <color theme="1"/>
        <rFont val="Calibri"/>
        <family val="2"/>
        <scheme val="minor"/>
      </rPr>
      <t xml:space="preserve"> patients with both CUL4A+ and TP53+ positive tumors had extremely poor OS and DFS. </t>
    </r>
    <r>
      <rPr>
        <b/>
        <sz val="11"/>
        <color theme="1"/>
        <rFont val="Calibri"/>
        <family val="2"/>
        <scheme val="minor"/>
      </rPr>
      <t xml:space="preserve">8) </t>
    </r>
    <r>
      <rPr>
        <sz val="11"/>
        <color theme="1"/>
        <rFont val="Calibri"/>
        <family val="2"/>
        <scheme val="minor"/>
      </rPr>
      <t xml:space="preserve">Knockdown of CUL4A by a siRNA significantly suppressed the progression of EMT, proliferation, migration, and invasion of colon cancer cells in vitro and tumor growth in vivo. </t>
    </r>
    <r>
      <rPr>
        <b/>
        <sz val="11"/>
        <color theme="1"/>
        <rFont val="Calibri"/>
        <family val="2"/>
        <scheme val="minor"/>
      </rPr>
      <t>9)</t>
    </r>
    <r>
      <rPr>
        <sz val="11"/>
        <color theme="1"/>
        <rFont val="Calibri"/>
        <family val="2"/>
        <scheme val="minor"/>
      </rPr>
      <t xml:space="preserve"> ZEB1 silencing blocked CUL4A-driven these processes. </t>
    </r>
  </si>
  <si>
    <r>
      <rPr>
        <b/>
        <sz val="11"/>
        <color theme="1"/>
        <rFont val="Calibri"/>
        <family val="2"/>
        <scheme val="minor"/>
      </rPr>
      <t xml:space="preserve">1) </t>
    </r>
    <r>
      <rPr>
        <sz val="11"/>
        <color theme="1"/>
        <rFont val="Calibri"/>
        <family val="2"/>
        <scheme val="minor"/>
      </rPr>
      <t xml:space="preserve">the expression of </t>
    </r>
    <r>
      <rPr>
        <b/>
        <sz val="11"/>
        <color theme="1"/>
        <rFont val="Calibri"/>
        <family val="2"/>
        <scheme val="minor"/>
      </rPr>
      <t>HuUO-44</t>
    </r>
    <r>
      <rPr>
        <sz val="11"/>
        <color theme="1"/>
        <rFont val="Calibri"/>
        <family val="2"/>
        <scheme val="minor"/>
      </rPr>
      <t xml:space="preserve"> was suppressed in the </t>
    </r>
    <r>
      <rPr>
        <b/>
        <sz val="11"/>
        <color theme="1"/>
        <rFont val="Calibri"/>
        <family val="2"/>
        <scheme val="minor"/>
      </rPr>
      <t>ovarian</t>
    </r>
    <r>
      <rPr>
        <sz val="11"/>
        <color theme="1"/>
        <rFont val="Calibri"/>
        <family val="2"/>
        <scheme val="minor"/>
      </rPr>
      <t xml:space="preserve"> cancer cell line (SKOV-3) after treatment with several </t>
    </r>
    <r>
      <rPr>
        <b/>
        <sz val="11"/>
        <color theme="1"/>
        <rFont val="Calibri"/>
        <family val="2"/>
        <scheme val="minor"/>
      </rPr>
      <t>chemotherapeutic drugs</t>
    </r>
    <r>
      <rPr>
        <sz val="11"/>
        <color theme="1"/>
        <rFont val="Calibri"/>
        <family val="2"/>
        <scheme val="minor"/>
      </rPr>
      <t xml:space="preserve">. </t>
    </r>
    <r>
      <rPr>
        <b/>
        <sz val="11"/>
        <color theme="1"/>
        <rFont val="Calibri"/>
        <family val="2"/>
        <scheme val="minor"/>
      </rPr>
      <t>2)</t>
    </r>
    <r>
      <rPr>
        <sz val="11"/>
        <color theme="1"/>
        <rFont val="Calibri"/>
        <family val="2"/>
        <scheme val="minor"/>
      </rPr>
      <t xml:space="preserve"> this suppression in HuUO-44 expression was also correlated to the </t>
    </r>
    <r>
      <rPr>
        <b/>
        <sz val="11"/>
        <color theme="1"/>
        <rFont val="Calibri"/>
        <family val="2"/>
        <scheme val="minor"/>
      </rPr>
      <t>cisplatin</t>
    </r>
    <r>
      <rPr>
        <sz val="11"/>
        <color theme="1"/>
        <rFont val="Calibri"/>
        <family val="2"/>
        <scheme val="minor"/>
      </rPr>
      <t xml:space="preserve"> sensitivity in two other ovarian cancer cell lines NIH-OVCAR3 and OV-90 in a dose-dependent manner. </t>
    </r>
    <r>
      <rPr>
        <b/>
        <sz val="11"/>
        <color theme="1"/>
        <rFont val="Calibri"/>
        <family val="2"/>
        <scheme val="minor"/>
      </rPr>
      <t xml:space="preserve">3) </t>
    </r>
    <r>
      <rPr>
        <sz val="11"/>
        <color theme="1"/>
        <rFont val="Calibri"/>
        <family val="2"/>
        <scheme val="minor"/>
      </rPr>
      <t xml:space="preserve">HuUO-44 RNAi significantly increased sensitivity of NIH-OVCAR3 to cytotoxic stress induced by cisplatin (P&lt;0.01). </t>
    </r>
    <r>
      <rPr>
        <b/>
        <sz val="11"/>
        <color theme="1"/>
        <rFont val="Calibri"/>
        <family val="2"/>
        <scheme val="minor"/>
      </rPr>
      <t xml:space="preserve">4) </t>
    </r>
    <r>
      <rPr>
        <sz val="11"/>
        <color theme="1"/>
        <rFont val="Calibri"/>
        <family val="2"/>
        <scheme val="minor"/>
      </rPr>
      <t xml:space="preserve">overexpression of HuUO-44 significantly conferred cisplatin resistance in NIH-OVCAR3 cells (P&lt;0.05). </t>
    </r>
  </si>
  <si>
    <r>
      <rPr>
        <b/>
        <sz val="11"/>
        <color theme="1"/>
        <rFont val="Calibri"/>
        <family val="2"/>
        <scheme val="minor"/>
      </rPr>
      <t xml:space="preserve">1) </t>
    </r>
    <r>
      <rPr>
        <sz val="11"/>
        <color theme="1"/>
        <rFont val="Calibri"/>
        <family val="2"/>
        <scheme val="minor"/>
      </rPr>
      <t>In rat</t>
    </r>
    <r>
      <rPr>
        <b/>
        <sz val="11"/>
        <color theme="1"/>
        <rFont val="Calibri"/>
        <family val="2"/>
        <scheme val="minor"/>
      </rPr>
      <t xml:space="preserve"> liver</t>
    </r>
    <r>
      <rPr>
        <sz val="11"/>
        <color theme="1"/>
        <rFont val="Calibri"/>
        <family val="2"/>
        <scheme val="minor"/>
      </rPr>
      <t xml:space="preserve"> transplantation model, significant up-regulation of </t>
    </r>
    <r>
      <rPr>
        <b/>
        <sz val="11"/>
        <color theme="1"/>
        <rFont val="Calibri"/>
        <family val="2"/>
        <scheme val="minor"/>
      </rPr>
      <t>IP10</t>
    </r>
    <r>
      <rPr>
        <sz val="11"/>
        <color theme="1"/>
        <rFont val="Calibri"/>
        <family val="2"/>
        <scheme val="minor"/>
      </rPr>
      <t xml:space="preserve"> associated with </t>
    </r>
    <r>
      <rPr>
        <b/>
        <sz val="11"/>
        <color theme="1"/>
        <rFont val="Calibri"/>
        <family val="2"/>
        <scheme val="minor"/>
      </rPr>
      <t>multidrug resistant genes</t>
    </r>
    <r>
      <rPr>
        <sz val="11"/>
        <color theme="1"/>
        <rFont val="Calibri"/>
        <family val="2"/>
        <scheme val="minor"/>
      </rPr>
      <t xml:space="preserve"> was found in small-for-size liver graft. </t>
    </r>
    <r>
      <rPr>
        <b/>
        <sz val="11"/>
        <color theme="1"/>
        <rFont val="Calibri"/>
        <family val="2"/>
        <scheme val="minor"/>
      </rPr>
      <t>2)</t>
    </r>
    <r>
      <rPr>
        <sz val="11"/>
        <color theme="1"/>
        <rFont val="Calibri"/>
        <family val="2"/>
        <scheme val="minor"/>
      </rPr>
      <t xml:space="preserve"> high expression of circulating </t>
    </r>
    <r>
      <rPr>
        <b/>
        <sz val="11"/>
        <color theme="1"/>
        <rFont val="Calibri"/>
        <family val="2"/>
        <scheme val="minor"/>
      </rPr>
      <t>IP10</t>
    </r>
    <r>
      <rPr>
        <sz val="11"/>
        <color theme="1"/>
        <rFont val="Calibri"/>
        <family val="2"/>
        <scheme val="minor"/>
      </rPr>
      <t xml:space="preserve"> was significant correlated with tumor recurrence in </t>
    </r>
    <r>
      <rPr>
        <b/>
        <sz val="11"/>
        <color theme="1"/>
        <rFont val="Calibri"/>
        <family val="2"/>
        <scheme val="minor"/>
      </rPr>
      <t>HCC</t>
    </r>
    <r>
      <rPr>
        <sz val="11"/>
        <color theme="1"/>
        <rFont val="Calibri"/>
        <family val="2"/>
        <scheme val="minor"/>
      </rPr>
      <t xml:space="preserve"> patients underwent </t>
    </r>
    <r>
      <rPr>
        <b/>
        <sz val="11"/>
        <color theme="1"/>
        <rFont val="Calibri"/>
        <family val="2"/>
        <scheme val="minor"/>
      </rPr>
      <t>LDLT</t>
    </r>
    <r>
      <rPr>
        <sz val="11"/>
        <color theme="1"/>
        <rFont val="Calibri"/>
        <family val="2"/>
        <scheme val="minor"/>
      </rPr>
      <t xml:space="preserve">. </t>
    </r>
    <r>
      <rPr>
        <b/>
        <sz val="11"/>
        <color theme="1"/>
        <rFont val="Calibri"/>
        <family val="2"/>
        <scheme val="minor"/>
      </rPr>
      <t xml:space="preserve">3) </t>
    </r>
    <r>
      <rPr>
        <sz val="11"/>
        <color theme="1"/>
        <rFont val="Calibri"/>
        <family val="2"/>
        <scheme val="minor"/>
      </rPr>
      <t>Overexpression of IP10 promoted HCC cell proliferation and tumor growth under</t>
    </r>
    <r>
      <rPr>
        <b/>
        <sz val="11"/>
        <color theme="1"/>
        <rFont val="Calibri"/>
        <family val="2"/>
        <scheme val="minor"/>
      </rPr>
      <t xml:space="preserve"> cisplatin</t>
    </r>
    <r>
      <rPr>
        <sz val="11"/>
        <color theme="1"/>
        <rFont val="Calibri"/>
        <family val="2"/>
        <scheme val="minor"/>
      </rPr>
      <t xml:space="preserve"> treatment by activation of </t>
    </r>
    <r>
      <rPr>
        <b/>
        <sz val="11"/>
        <color theme="1"/>
        <rFont val="Calibri"/>
        <family val="2"/>
        <scheme val="minor"/>
      </rPr>
      <t>ATF6/Grp78</t>
    </r>
    <r>
      <rPr>
        <sz val="11"/>
        <color theme="1"/>
        <rFont val="Calibri"/>
        <family val="2"/>
        <scheme val="minor"/>
      </rPr>
      <t xml:space="preserve"> signaling. </t>
    </r>
    <r>
      <rPr>
        <b/>
        <sz val="11"/>
        <color theme="1"/>
        <rFont val="Calibri"/>
        <family val="2"/>
        <scheme val="minor"/>
      </rPr>
      <t>4)</t>
    </r>
    <r>
      <rPr>
        <sz val="11"/>
        <color theme="1"/>
        <rFont val="Calibri"/>
        <family val="2"/>
        <scheme val="minor"/>
      </rPr>
      <t xml:space="preserve"> IP10 neutralizing </t>
    </r>
    <r>
      <rPr>
        <b/>
        <sz val="11"/>
        <color theme="1"/>
        <rFont val="Calibri"/>
        <family val="2"/>
        <scheme val="minor"/>
      </rPr>
      <t>antibody</t>
    </r>
    <r>
      <rPr>
        <sz val="11"/>
        <color theme="1"/>
        <rFont val="Calibri"/>
        <family val="2"/>
        <scheme val="minor"/>
      </rPr>
      <t xml:space="preserve"> sensitized cisplatin treatment in nude mice. </t>
    </r>
    <r>
      <rPr>
        <b/>
        <sz val="11"/>
        <color theme="1"/>
        <rFont val="Calibri"/>
        <family val="2"/>
        <scheme val="minor"/>
      </rPr>
      <t xml:space="preserve">5) </t>
    </r>
    <r>
      <rPr>
        <sz val="11"/>
        <color theme="1"/>
        <rFont val="Calibri"/>
        <family val="2"/>
        <scheme val="minor"/>
      </rPr>
      <t xml:space="preserve">The overexpression of IP10, which induced by </t>
    </r>
    <r>
      <rPr>
        <b/>
        <sz val="11"/>
        <color theme="1"/>
        <rFont val="Calibri"/>
        <family val="2"/>
        <scheme val="minor"/>
      </rPr>
      <t>liver graft injury</t>
    </r>
    <r>
      <rPr>
        <sz val="11"/>
        <color theme="1"/>
        <rFont val="Calibri"/>
        <family val="2"/>
        <scheme val="minor"/>
      </rPr>
      <t xml:space="preserve">, may lead to </t>
    </r>
    <r>
      <rPr>
        <b/>
        <sz val="11"/>
        <color theme="1"/>
        <rFont val="Calibri"/>
        <family val="2"/>
        <scheme val="minor"/>
      </rPr>
      <t>cisplatin</t>
    </r>
    <r>
      <rPr>
        <sz val="11"/>
        <color theme="1"/>
        <rFont val="Calibri"/>
        <family val="2"/>
        <scheme val="minor"/>
      </rPr>
      <t xml:space="preserve"> resistance via ATF6/Grp78 ER stress signaling pathway. </t>
    </r>
  </si>
  <si>
    <r>
      <rPr>
        <b/>
        <sz val="11"/>
        <color theme="1"/>
        <rFont val="Calibri"/>
        <family val="2"/>
        <scheme val="minor"/>
      </rPr>
      <t>1) CXCL12</t>
    </r>
    <r>
      <rPr>
        <sz val="11"/>
        <color theme="1"/>
        <rFont val="Calibri"/>
        <family val="2"/>
        <scheme val="minor"/>
      </rPr>
      <t xml:space="preserve"> blocks </t>
    </r>
    <r>
      <rPr>
        <b/>
        <sz val="11"/>
        <color theme="1"/>
        <rFont val="Calibri"/>
        <family val="2"/>
        <scheme val="minor"/>
      </rPr>
      <t>cisplatin</t>
    </r>
    <r>
      <rPr>
        <sz val="11"/>
        <color theme="1"/>
        <rFont val="Calibri"/>
        <family val="2"/>
        <scheme val="minor"/>
      </rPr>
      <t xml:space="preserve">-induced apoptosis in A549. </t>
    </r>
    <r>
      <rPr>
        <b/>
        <sz val="11"/>
        <color theme="1"/>
        <rFont val="Calibri"/>
        <family val="2"/>
        <scheme val="minor"/>
      </rPr>
      <t xml:space="preserve">2) </t>
    </r>
    <r>
      <rPr>
        <sz val="11"/>
        <color theme="1"/>
        <rFont val="Calibri"/>
        <family val="2"/>
        <scheme val="minor"/>
      </rPr>
      <t xml:space="preserve">CXCR4 contributes to CXCL12-mediated anti-apoptosis by activating JAK2/STAT3 pathway in </t>
    </r>
    <r>
      <rPr>
        <b/>
        <sz val="11"/>
        <color theme="1"/>
        <rFont val="Calibri"/>
        <family val="2"/>
        <scheme val="minor"/>
      </rPr>
      <t>NSCLC</t>
    </r>
    <r>
      <rPr>
        <sz val="11"/>
        <color theme="1"/>
        <rFont val="Calibri"/>
        <family val="2"/>
        <scheme val="minor"/>
      </rPr>
      <t xml:space="preserve"> cells. </t>
    </r>
    <r>
      <rPr>
        <b/>
        <sz val="11"/>
        <color theme="1"/>
        <rFont val="Calibri"/>
        <family val="2"/>
        <scheme val="minor"/>
      </rPr>
      <t>3)</t>
    </r>
    <r>
      <rPr>
        <sz val="11"/>
        <color theme="1"/>
        <rFont val="Calibri"/>
        <family val="2"/>
        <scheme val="minor"/>
      </rPr>
      <t xml:space="preserve"> CXCL12 expression significantly correlated with tumor classification, lymph node metastasis, stage, and tumor size (P&lt;0.05), and the expression of p-STAT3 was significantly associated with lymph node metastasis (P&lt;0.05). </t>
    </r>
  </si>
  <si>
    <r>
      <rPr>
        <b/>
        <sz val="11"/>
        <color theme="1"/>
        <rFont val="Calibri"/>
        <family val="2"/>
        <scheme val="minor"/>
      </rPr>
      <t>1)</t>
    </r>
    <r>
      <rPr>
        <sz val="11"/>
        <color theme="1"/>
        <rFont val="Calibri"/>
        <family val="2"/>
        <scheme val="minor"/>
      </rPr>
      <t xml:space="preserve"> Knockdown of </t>
    </r>
    <r>
      <rPr>
        <b/>
        <sz val="11"/>
        <color theme="1"/>
        <rFont val="Calibri"/>
        <family val="2"/>
        <scheme val="minor"/>
      </rPr>
      <t>IL-8</t>
    </r>
    <r>
      <rPr>
        <sz val="11"/>
        <color theme="1"/>
        <rFont val="Calibri"/>
        <family val="2"/>
        <scheme val="minor"/>
      </rPr>
      <t xml:space="preserve"> increased sensitivity to </t>
    </r>
    <r>
      <rPr>
        <b/>
        <sz val="11"/>
        <color theme="1"/>
        <rFont val="Calibri"/>
        <family val="2"/>
        <scheme val="minor"/>
      </rPr>
      <t>cisplatin</t>
    </r>
    <r>
      <rPr>
        <sz val="11"/>
        <color theme="1"/>
        <rFont val="Calibri"/>
        <family val="2"/>
        <scheme val="minor"/>
      </rPr>
      <t xml:space="preserve"> in platinum sensitive and reversed platinum resistance in resistant cell lines,</t>
    </r>
    <r>
      <rPr>
        <b/>
        <sz val="11"/>
        <color theme="1"/>
        <rFont val="Calibri"/>
        <family val="2"/>
        <scheme val="minor"/>
      </rPr>
      <t xml:space="preserve"> 2)</t>
    </r>
    <r>
      <rPr>
        <sz val="11"/>
        <color theme="1"/>
        <rFont val="Calibri"/>
        <family val="2"/>
        <scheme val="minor"/>
      </rPr>
      <t xml:space="preserve"> </t>
    </r>
    <r>
      <rPr>
        <b/>
        <sz val="11"/>
        <color theme="1"/>
        <rFont val="Calibri"/>
        <family val="2"/>
        <scheme val="minor"/>
      </rPr>
      <t>IL-8</t>
    </r>
    <r>
      <rPr>
        <sz val="11"/>
        <color theme="1"/>
        <rFont val="Calibri"/>
        <family val="2"/>
        <scheme val="minor"/>
      </rPr>
      <t xml:space="preserve"> receptor antagonist treatment also enhanced </t>
    </r>
    <r>
      <rPr>
        <b/>
        <sz val="11"/>
        <color theme="1"/>
        <rFont val="Calibri"/>
        <family val="2"/>
        <scheme val="minor"/>
      </rPr>
      <t>platinum</t>
    </r>
    <r>
      <rPr>
        <sz val="11"/>
        <color theme="1"/>
        <rFont val="Calibri"/>
        <family val="2"/>
        <scheme val="minor"/>
      </rPr>
      <t xml:space="preserve"> sensitivity. </t>
    </r>
    <r>
      <rPr>
        <b/>
        <sz val="11"/>
        <color theme="1"/>
        <rFont val="Calibri"/>
        <family val="2"/>
        <scheme val="minor"/>
      </rPr>
      <t xml:space="preserve">3) </t>
    </r>
    <r>
      <rPr>
        <sz val="11"/>
        <color theme="1"/>
        <rFont val="Calibri"/>
        <family val="2"/>
        <scheme val="minor"/>
      </rPr>
      <t xml:space="preserve">Nuclear localisation of </t>
    </r>
    <r>
      <rPr>
        <b/>
        <sz val="11"/>
        <color theme="1"/>
        <rFont val="Calibri"/>
        <family val="2"/>
        <scheme val="minor"/>
      </rPr>
      <t>IL-8RA</t>
    </r>
    <r>
      <rPr>
        <sz val="11"/>
        <color theme="1"/>
        <rFont val="Calibri"/>
        <family val="2"/>
        <scheme val="minor"/>
      </rPr>
      <t xml:space="preserve"> was only detected in platinum resistant tumours.</t>
    </r>
    <r>
      <rPr>
        <b/>
        <sz val="11"/>
        <color theme="1"/>
        <rFont val="Calibri"/>
        <family val="2"/>
        <scheme val="minor"/>
      </rPr>
      <t xml:space="preserve"> 4)</t>
    </r>
    <r>
      <rPr>
        <sz val="11"/>
        <color theme="1"/>
        <rFont val="Calibri"/>
        <family val="2"/>
        <scheme val="minor"/>
      </rPr>
      <t xml:space="preserve"> All cell lines show expression of </t>
    </r>
    <r>
      <rPr>
        <b/>
        <sz val="11"/>
        <color theme="1"/>
        <rFont val="Calibri"/>
        <family val="2"/>
        <scheme val="minor"/>
      </rPr>
      <t>IL-8</t>
    </r>
    <r>
      <rPr>
        <sz val="11"/>
        <color theme="1"/>
        <rFont val="Calibri"/>
        <family val="2"/>
        <scheme val="minor"/>
      </rPr>
      <t xml:space="preserve"> with a rapid transcriptional induction of </t>
    </r>
    <r>
      <rPr>
        <b/>
        <sz val="11"/>
        <color theme="1"/>
        <rFont val="Calibri"/>
        <family val="2"/>
        <scheme val="minor"/>
      </rPr>
      <t>IL-8</t>
    </r>
    <r>
      <rPr>
        <sz val="11"/>
        <color theme="1"/>
        <rFont val="Calibri"/>
        <family val="2"/>
        <scheme val="minor"/>
      </rPr>
      <t xml:space="preserve"> following </t>
    </r>
    <r>
      <rPr>
        <b/>
        <sz val="11"/>
        <color theme="1"/>
        <rFont val="Calibri"/>
        <family val="2"/>
        <scheme val="minor"/>
      </rPr>
      <t>platinum</t>
    </r>
    <r>
      <rPr>
        <sz val="11"/>
        <color theme="1"/>
        <rFont val="Calibri"/>
        <family val="2"/>
        <scheme val="minor"/>
      </rPr>
      <t xml:space="preserve"> exposure. </t>
    </r>
    <r>
      <rPr>
        <b/>
        <sz val="11"/>
        <color theme="1"/>
        <rFont val="Calibri"/>
        <family val="2"/>
        <scheme val="minor"/>
      </rPr>
      <t xml:space="preserve">5) </t>
    </r>
    <r>
      <rPr>
        <sz val="11"/>
        <color theme="1"/>
        <rFont val="Calibri"/>
        <family val="2"/>
        <scheme val="minor"/>
      </rPr>
      <t xml:space="preserve">high expression of </t>
    </r>
    <r>
      <rPr>
        <b/>
        <sz val="11"/>
        <color theme="1"/>
        <rFont val="Calibri"/>
        <family val="2"/>
        <scheme val="minor"/>
      </rPr>
      <t>IL-8</t>
    </r>
    <r>
      <rPr>
        <sz val="11"/>
        <color theme="1"/>
        <rFont val="Calibri"/>
        <family val="2"/>
        <scheme val="minor"/>
      </rPr>
      <t xml:space="preserve"> is significantly correlated with poor prognosis in </t>
    </r>
    <r>
      <rPr>
        <b/>
        <sz val="11"/>
        <color theme="1"/>
        <rFont val="Calibri"/>
        <family val="2"/>
        <scheme val="minor"/>
      </rPr>
      <t>ovarian</t>
    </r>
    <r>
      <rPr>
        <sz val="11"/>
        <color theme="1"/>
        <rFont val="Calibri"/>
        <family val="2"/>
        <scheme val="minor"/>
      </rPr>
      <t xml:space="preserve"> cancer patients receiving </t>
    </r>
    <r>
      <rPr>
        <b/>
        <sz val="11"/>
        <color theme="1"/>
        <rFont val="Calibri"/>
        <family val="2"/>
        <scheme val="minor"/>
      </rPr>
      <t>platinum</t>
    </r>
    <r>
      <rPr>
        <sz val="11"/>
        <color theme="1"/>
        <rFont val="Calibri"/>
        <family val="2"/>
        <scheme val="minor"/>
      </rPr>
      <t xml:space="preserve">-based combination chemotherapy. </t>
    </r>
  </si>
  <si>
    <r>
      <rPr>
        <b/>
        <sz val="11"/>
        <color theme="1"/>
        <rFont val="Calibri"/>
        <family val="2"/>
        <scheme val="minor"/>
      </rPr>
      <t>1)</t>
    </r>
    <r>
      <rPr>
        <sz val="11"/>
        <color theme="1"/>
        <rFont val="Calibri"/>
        <family val="2"/>
        <scheme val="minor"/>
      </rPr>
      <t xml:space="preserve"> CXCR4 was significantly highly expressed in</t>
    </r>
    <r>
      <rPr>
        <b/>
        <sz val="11"/>
        <color theme="1"/>
        <rFont val="Calibri"/>
        <family val="2"/>
        <scheme val="minor"/>
      </rPr>
      <t xml:space="preserve"> cisplatin</t>
    </r>
    <r>
      <rPr>
        <sz val="11"/>
        <color theme="1"/>
        <rFont val="Calibri"/>
        <family val="2"/>
        <scheme val="minor"/>
      </rPr>
      <t xml:space="preserve">-resistant </t>
    </r>
    <r>
      <rPr>
        <b/>
        <sz val="11"/>
        <color theme="1"/>
        <rFont val="Calibri"/>
        <family val="2"/>
        <scheme val="minor"/>
      </rPr>
      <t>NSCLC</t>
    </r>
    <r>
      <rPr>
        <sz val="11"/>
        <color theme="1"/>
        <rFont val="Calibri"/>
        <family val="2"/>
        <scheme val="minor"/>
      </rPr>
      <t xml:space="preserve"> patients and the A549/DDP cell line.</t>
    </r>
    <r>
      <rPr>
        <b/>
        <sz val="11"/>
        <color theme="1"/>
        <rFont val="Calibri"/>
        <family val="2"/>
        <scheme val="minor"/>
      </rPr>
      <t xml:space="preserve"> 2) </t>
    </r>
    <r>
      <rPr>
        <sz val="11"/>
        <color theme="1"/>
        <rFont val="Calibri"/>
        <family val="2"/>
        <scheme val="minor"/>
      </rPr>
      <t xml:space="preserve">CXCR4 inhibition by siRNA reversed chemoresistance and decreased tumor cell proliferation. </t>
    </r>
    <r>
      <rPr>
        <b/>
        <sz val="11"/>
        <color theme="1"/>
        <rFont val="Calibri"/>
        <family val="2"/>
        <scheme val="minor"/>
      </rPr>
      <t xml:space="preserve">3) </t>
    </r>
    <r>
      <rPr>
        <sz val="11"/>
        <color theme="1"/>
        <rFont val="Calibri"/>
        <family val="2"/>
        <scheme val="minor"/>
      </rPr>
      <t xml:space="preserve">overexpression of CXCR4 in NSCLC promotes cisplatin resistance via CXCR4-mediated CYP1B1 upregulation. </t>
    </r>
    <r>
      <rPr>
        <b/>
        <sz val="11"/>
        <color theme="1"/>
        <rFont val="Calibri"/>
        <family val="2"/>
        <scheme val="minor"/>
      </rPr>
      <t xml:space="preserve">4) </t>
    </r>
    <r>
      <rPr>
        <sz val="11"/>
        <color theme="1"/>
        <rFont val="Calibri"/>
        <family val="2"/>
        <scheme val="minor"/>
      </rPr>
      <t xml:space="preserve">The expression levels of stromal cell-derived factor (SDF)-1, </t>
    </r>
    <r>
      <rPr>
        <b/>
        <sz val="11"/>
        <color theme="1"/>
        <rFont val="Calibri"/>
        <family val="2"/>
        <scheme val="minor"/>
      </rPr>
      <t>CXCR4</t>
    </r>
    <r>
      <rPr>
        <sz val="11"/>
        <color theme="1"/>
        <rFont val="Calibri"/>
        <family val="2"/>
        <scheme val="minor"/>
      </rPr>
      <t xml:space="preserve">, matrix metalloproteinase (MMP) 2, and MMP9 mRNA and protein levels were significantly reduced in CDDP-treated cells compared to untreated ovarian CICs. </t>
    </r>
  </si>
  <si>
    <r>
      <rPr>
        <b/>
        <sz val="11"/>
        <color theme="1"/>
        <rFont val="Calibri"/>
        <family val="2"/>
        <scheme val="minor"/>
      </rPr>
      <t>1)</t>
    </r>
    <r>
      <rPr>
        <sz val="11"/>
        <color theme="1"/>
        <rFont val="Calibri"/>
        <family val="2"/>
        <scheme val="minor"/>
      </rPr>
      <t xml:space="preserve"> Increasing evidence has shown that many cytotoxic drugs are metabolized by </t>
    </r>
    <r>
      <rPr>
        <b/>
        <sz val="11"/>
        <color theme="1"/>
        <rFont val="Calibri"/>
        <family val="2"/>
        <scheme val="minor"/>
      </rPr>
      <t>cytochrome p450 (CYP)</t>
    </r>
    <r>
      <rPr>
        <sz val="11"/>
        <color theme="1"/>
        <rFont val="Calibri"/>
        <family val="2"/>
        <scheme val="minor"/>
      </rPr>
      <t xml:space="preserve"> enzymes. </t>
    </r>
    <r>
      <rPr>
        <b/>
        <sz val="11"/>
        <color theme="1"/>
        <rFont val="Calibri"/>
        <family val="2"/>
        <scheme val="minor"/>
      </rPr>
      <t xml:space="preserve">2) </t>
    </r>
    <r>
      <rPr>
        <sz val="11"/>
        <color theme="1"/>
        <rFont val="Calibri"/>
        <family val="2"/>
        <scheme val="minor"/>
      </rPr>
      <t xml:space="preserve">Bioinformatics analysis showed that the expression of </t>
    </r>
    <r>
      <rPr>
        <b/>
        <sz val="11"/>
        <color theme="1"/>
        <rFont val="Calibri"/>
        <family val="2"/>
        <scheme val="minor"/>
      </rPr>
      <t>CYP1B1</t>
    </r>
    <r>
      <rPr>
        <sz val="11"/>
        <color theme="1"/>
        <rFont val="Calibri"/>
        <family val="2"/>
        <scheme val="minor"/>
      </rPr>
      <t xml:space="preserve"> had a positive correlation with CXCR4, </t>
    </r>
    <r>
      <rPr>
        <b/>
        <sz val="11"/>
        <color theme="1"/>
        <rFont val="Calibri"/>
        <family val="2"/>
        <scheme val="minor"/>
      </rPr>
      <t xml:space="preserve">3) </t>
    </r>
    <r>
      <rPr>
        <sz val="11"/>
        <color theme="1"/>
        <rFont val="Calibri"/>
        <family val="2"/>
        <scheme val="minor"/>
      </rPr>
      <t xml:space="preserve">CYP1B1 mRNA and protein level were significantly downregulated as a result of CXCR4 knockdown. </t>
    </r>
    <r>
      <rPr>
        <b/>
        <sz val="11"/>
        <color theme="1"/>
        <rFont val="Calibri"/>
        <family val="2"/>
        <scheme val="minor"/>
      </rPr>
      <t xml:space="preserve">4) </t>
    </r>
    <r>
      <rPr>
        <sz val="11"/>
        <color theme="1"/>
        <rFont val="Calibri"/>
        <family val="2"/>
        <scheme val="minor"/>
      </rPr>
      <t xml:space="preserve">the CYP1B1 silencing significantly decreased CXCR4 expression levels and cisplatin resistance. </t>
    </r>
    <r>
      <rPr>
        <b/>
        <sz val="11"/>
        <color theme="1"/>
        <rFont val="Calibri"/>
        <family val="2"/>
        <scheme val="minor"/>
      </rPr>
      <t>5)</t>
    </r>
    <r>
      <rPr>
        <sz val="11"/>
        <color theme="1"/>
        <rFont val="Calibri"/>
        <family val="2"/>
        <scheme val="minor"/>
      </rPr>
      <t xml:space="preserve"> CYP1B1 overexpression is associated with poor survival and </t>
    </r>
    <r>
      <rPr>
        <b/>
        <sz val="11"/>
        <color theme="1"/>
        <rFont val="Calibri"/>
        <family val="2"/>
        <scheme val="minor"/>
      </rPr>
      <t>cisplatin</t>
    </r>
    <r>
      <rPr>
        <sz val="11"/>
        <color theme="1"/>
        <rFont val="Calibri"/>
        <family val="2"/>
        <scheme val="minor"/>
      </rPr>
      <t xml:space="preserve"> resistance in </t>
    </r>
    <r>
      <rPr>
        <b/>
        <sz val="11"/>
        <color theme="1"/>
        <rFont val="Calibri"/>
        <family val="2"/>
        <scheme val="minor"/>
      </rPr>
      <t>NSCLC</t>
    </r>
    <r>
      <rPr>
        <sz val="11"/>
        <color theme="1"/>
        <rFont val="Calibri"/>
        <family val="2"/>
        <scheme val="minor"/>
      </rPr>
      <t xml:space="preserve">. </t>
    </r>
  </si>
  <si>
    <r>
      <rPr>
        <b/>
        <sz val="11"/>
        <color theme="1"/>
        <rFont val="Calibri"/>
        <family val="2"/>
        <scheme val="minor"/>
      </rPr>
      <t>1) cisplatin</t>
    </r>
    <r>
      <rPr>
        <sz val="11"/>
        <color theme="1"/>
        <rFont val="Calibri"/>
        <family val="2"/>
        <scheme val="minor"/>
      </rPr>
      <t xml:space="preserve">-treated cells overexpressing </t>
    </r>
    <r>
      <rPr>
        <b/>
        <sz val="11"/>
        <color theme="1"/>
        <rFont val="Calibri"/>
        <family val="2"/>
        <scheme val="minor"/>
      </rPr>
      <t>CYP2E1</t>
    </r>
    <r>
      <rPr>
        <sz val="11"/>
        <color theme="1"/>
        <rFont val="Calibri"/>
        <family val="2"/>
        <scheme val="minor"/>
      </rPr>
      <t xml:space="preserve"> produce a significant </t>
    </r>
    <r>
      <rPr>
        <b/>
        <sz val="11"/>
        <color theme="1"/>
        <rFont val="Calibri"/>
        <family val="2"/>
        <scheme val="minor"/>
      </rPr>
      <t>increase in oxidative stress</t>
    </r>
    <r>
      <rPr>
        <sz val="11"/>
        <color theme="1"/>
        <rFont val="Calibri"/>
        <family val="2"/>
        <scheme val="minor"/>
      </rPr>
      <t xml:space="preserve"> compared to cells that do not express this enzyme, finally causing liver damage.</t>
    </r>
    <r>
      <rPr>
        <b/>
        <sz val="11"/>
        <color theme="1"/>
        <rFont val="Calibri"/>
        <family val="2"/>
        <scheme val="minor"/>
      </rPr>
      <t xml:space="preserve"> 2)</t>
    </r>
    <r>
      <rPr>
        <sz val="11"/>
        <color theme="1"/>
        <rFont val="Calibri"/>
        <family val="2"/>
        <scheme val="minor"/>
      </rPr>
      <t xml:space="preserve"> CYP2E1 is responsible for contributing to cisplatin-induced acute renal failure, since CYP2E1-depleted mice maintained a preserved kidney function compared to those with normal enzyme expression.</t>
    </r>
    <r>
      <rPr>
        <b/>
        <sz val="11"/>
        <color theme="1"/>
        <rFont val="Calibri"/>
        <family val="2"/>
        <scheme val="minor"/>
      </rPr>
      <t xml:space="preserve"> 3) </t>
    </r>
    <r>
      <rPr>
        <sz val="11"/>
        <color theme="1"/>
        <rFont val="Calibri"/>
        <family val="2"/>
        <scheme val="minor"/>
      </rPr>
      <t xml:space="preserve">CYP2E1 revealed low level of expression in 70% of the tumor tissues at both mRNA and protein levels. </t>
    </r>
    <r>
      <rPr>
        <b/>
        <sz val="11"/>
        <color theme="1"/>
        <rFont val="Calibri"/>
        <family val="2"/>
        <scheme val="minor"/>
      </rPr>
      <t xml:space="preserve">4) </t>
    </r>
    <r>
      <rPr>
        <sz val="11"/>
        <color theme="1"/>
        <rFont val="Calibri"/>
        <family val="2"/>
        <scheme val="minor"/>
      </rPr>
      <t xml:space="preserve">The low expression of CYP2E1 was significantly correlated with the aggressive tumor phenotype, including poor differentiation status (by the Edmondson grading system) (p=0.038), absence of tumor capsule (p=0.030) and younger age of the hepatocellular carcinoma (HCC) patients (p=0.002). </t>
    </r>
    <r>
      <rPr>
        <b/>
        <sz val="11"/>
        <color theme="1"/>
        <rFont val="Calibri"/>
        <family val="2"/>
        <scheme val="minor"/>
      </rPr>
      <t xml:space="preserve">5) </t>
    </r>
    <r>
      <rPr>
        <sz val="11"/>
        <color theme="1"/>
        <rFont val="Calibri"/>
        <family val="2"/>
        <scheme val="minor"/>
      </rPr>
      <t xml:space="preserve">CYP2E1 expression level and pTNM stage were independent prognostic factors for disease-free survival. </t>
    </r>
  </si>
  <si>
    <r>
      <rPr>
        <b/>
        <sz val="11"/>
        <color theme="1"/>
        <rFont val="Calibri"/>
        <family val="2"/>
        <scheme val="minor"/>
      </rPr>
      <t>1)</t>
    </r>
    <r>
      <rPr>
        <sz val="11"/>
        <color theme="1"/>
        <rFont val="Calibri"/>
        <family val="2"/>
        <scheme val="minor"/>
      </rPr>
      <t xml:space="preserve"> all tested </t>
    </r>
    <r>
      <rPr>
        <b/>
        <sz val="11"/>
        <color theme="1"/>
        <rFont val="Calibri"/>
        <family val="2"/>
        <scheme val="minor"/>
      </rPr>
      <t>EOC</t>
    </r>
    <r>
      <rPr>
        <sz val="11"/>
        <color theme="1"/>
        <rFont val="Calibri"/>
        <family val="2"/>
        <scheme val="minor"/>
      </rPr>
      <t xml:space="preserve"> cell lines and primary EOC tissues, especially type I EOC, were observed to have significantly lower </t>
    </r>
    <r>
      <rPr>
        <b/>
        <sz val="11"/>
        <color theme="1"/>
        <rFont val="Calibri"/>
        <family val="2"/>
        <scheme val="minor"/>
      </rPr>
      <t>DACT1</t>
    </r>
    <r>
      <rPr>
        <sz val="11"/>
        <color theme="1"/>
        <rFont val="Calibri"/>
        <family val="2"/>
        <scheme val="minor"/>
      </rPr>
      <t xml:space="preserve"> expression than normal controls. </t>
    </r>
    <r>
      <rPr>
        <b/>
        <sz val="11"/>
        <color theme="1"/>
        <rFont val="Calibri"/>
        <family val="2"/>
        <scheme val="minor"/>
      </rPr>
      <t xml:space="preserve">2) </t>
    </r>
    <r>
      <rPr>
        <sz val="11"/>
        <color theme="1"/>
        <rFont val="Calibri"/>
        <family val="2"/>
        <scheme val="minor"/>
      </rPr>
      <t xml:space="preserve">Overexpression of DACT1 (3AO-DACT1) results in slower growth and formed smaller tumours in nude mice compared to 3AO-NC. </t>
    </r>
    <r>
      <rPr>
        <b/>
        <sz val="11"/>
        <color theme="1"/>
        <rFont val="Calibri"/>
        <family val="2"/>
        <scheme val="minor"/>
      </rPr>
      <t>3)</t>
    </r>
    <r>
      <rPr>
        <sz val="11"/>
        <color theme="1"/>
        <rFont val="Calibri"/>
        <family val="2"/>
        <scheme val="minor"/>
      </rPr>
      <t xml:space="preserve"> 3AO-DACT1 had lower levels of key mediators of canonical Wnt signalling, Dvl2 and β-catenin, GSK-3β with phosphorylated Ser9, and the Wnt/β-catenin target genes, with significantly lower nuclear β-catenin levels. </t>
    </r>
    <r>
      <rPr>
        <b/>
        <sz val="11"/>
        <color theme="1"/>
        <rFont val="Calibri"/>
        <family val="2"/>
        <scheme val="minor"/>
      </rPr>
      <t xml:space="preserve">4) </t>
    </r>
    <r>
      <rPr>
        <sz val="11"/>
        <color theme="1"/>
        <rFont val="Calibri"/>
        <family val="2"/>
        <scheme val="minor"/>
      </rPr>
      <t xml:space="preserve">3AO-DACT which contained higher levels of lipidated LC3 (LC3-II) and Beclin1, but lower levels of p62/SQSTM1, were more sensitive to </t>
    </r>
    <r>
      <rPr>
        <b/>
        <sz val="11"/>
        <color theme="1"/>
        <rFont val="Calibri"/>
        <family val="2"/>
        <scheme val="minor"/>
      </rPr>
      <t>cis-platinum</t>
    </r>
    <r>
      <rPr>
        <sz val="11"/>
        <color theme="1"/>
        <rFont val="Calibri"/>
        <family val="2"/>
        <scheme val="minor"/>
      </rPr>
      <t xml:space="preserve">. </t>
    </r>
    <r>
      <rPr>
        <b/>
        <sz val="11"/>
        <color theme="1"/>
        <rFont val="Calibri"/>
        <family val="2"/>
        <scheme val="minor"/>
      </rPr>
      <t xml:space="preserve">5) </t>
    </r>
    <r>
      <rPr>
        <sz val="11"/>
        <color theme="1"/>
        <rFont val="Calibri"/>
        <family val="2"/>
        <scheme val="minor"/>
      </rPr>
      <t xml:space="preserve">chloroquine, an autophagy inhibitor,  partially rescued its cis-platinum sensitivity. </t>
    </r>
  </si>
  <si>
    <r>
      <rPr>
        <b/>
        <sz val="11"/>
        <color theme="1"/>
        <rFont val="Calibri"/>
        <family val="2"/>
        <scheme val="minor"/>
      </rPr>
      <t xml:space="preserve">1) </t>
    </r>
    <r>
      <rPr>
        <sz val="11"/>
        <color theme="1"/>
        <rFont val="Calibri"/>
        <family val="2"/>
        <scheme val="minor"/>
      </rPr>
      <t>TSA induced apoptosis in both A549 cells and A549/</t>
    </r>
    <r>
      <rPr>
        <b/>
        <sz val="11"/>
        <color theme="1"/>
        <rFont val="Calibri"/>
        <family val="2"/>
        <scheme val="minor"/>
      </rPr>
      <t>CDDP</t>
    </r>
    <r>
      <rPr>
        <sz val="11"/>
        <color theme="1"/>
        <rFont val="Calibri"/>
        <family val="2"/>
        <scheme val="minor"/>
      </rPr>
      <t xml:space="preserve"> cells. </t>
    </r>
    <r>
      <rPr>
        <b/>
        <sz val="11"/>
        <color theme="1"/>
        <rFont val="Calibri"/>
        <family val="2"/>
        <scheme val="minor"/>
      </rPr>
      <t xml:space="preserve">2) </t>
    </r>
    <r>
      <rPr>
        <sz val="11"/>
        <color theme="1"/>
        <rFont val="Calibri"/>
        <family val="2"/>
        <scheme val="minor"/>
      </rPr>
      <t xml:space="preserve">TSA enhanced the sensitivity of A549/CDDP cells to </t>
    </r>
    <r>
      <rPr>
        <b/>
        <sz val="11"/>
        <color theme="1"/>
        <rFont val="Calibri"/>
        <family val="2"/>
        <scheme val="minor"/>
      </rPr>
      <t>cisplatin</t>
    </r>
    <r>
      <rPr>
        <sz val="11"/>
        <color theme="1"/>
        <rFont val="Calibri"/>
        <family val="2"/>
        <scheme val="minor"/>
      </rPr>
      <t>, along with concomitant</t>
    </r>
    <r>
      <rPr>
        <b/>
        <sz val="11"/>
        <color theme="1"/>
        <rFont val="Calibri"/>
        <family val="2"/>
        <scheme val="minor"/>
      </rPr>
      <t xml:space="preserve"> DAPK</t>
    </r>
    <r>
      <rPr>
        <sz val="11"/>
        <color theme="1"/>
        <rFont val="Calibri"/>
        <family val="2"/>
        <scheme val="minor"/>
      </rPr>
      <t xml:space="preserve"> up-regulation. </t>
    </r>
    <r>
      <rPr>
        <b/>
        <sz val="11"/>
        <color theme="1"/>
        <rFont val="Calibri"/>
        <family val="2"/>
        <scheme val="minor"/>
      </rPr>
      <t xml:space="preserve">3) </t>
    </r>
    <r>
      <rPr>
        <sz val="11"/>
        <color theme="1"/>
        <rFont val="Calibri"/>
        <family val="2"/>
        <scheme val="minor"/>
      </rPr>
      <t xml:space="preserve">When DAPK was over-expressed, A549/CDDP cells became sensitive to cisplatin and the cytotoxicity of TSA could be increased. </t>
    </r>
    <r>
      <rPr>
        <b/>
        <sz val="11"/>
        <color theme="1"/>
        <rFont val="Calibri"/>
        <family val="2"/>
        <scheme val="minor"/>
      </rPr>
      <t xml:space="preserve">4) </t>
    </r>
    <r>
      <rPr>
        <sz val="11"/>
        <color theme="1"/>
        <rFont val="Calibri"/>
        <family val="2"/>
        <scheme val="minor"/>
      </rPr>
      <t>the cytotoxicity of TSA could be alleviated by inhibition of DAPK activity by the expression of a recombinant C-terminal fragment of DAPK or RNA interference.</t>
    </r>
  </si>
  <si>
    <r>
      <rPr>
        <b/>
        <sz val="11"/>
        <color theme="1"/>
        <rFont val="Calibri"/>
        <family val="2"/>
        <scheme val="minor"/>
      </rPr>
      <t xml:space="preserve">1) </t>
    </r>
    <r>
      <rPr>
        <sz val="11"/>
        <color theme="1"/>
        <rFont val="Calibri"/>
        <family val="2"/>
        <scheme val="minor"/>
      </rPr>
      <t xml:space="preserve">Among 157 successfully genotyped SNPs, 9 and 10 SNPs were top SNPs associated with </t>
    </r>
    <r>
      <rPr>
        <b/>
        <sz val="11"/>
        <color theme="1"/>
        <rFont val="Calibri"/>
        <family val="2"/>
        <scheme val="minor"/>
      </rPr>
      <t>OS</t>
    </r>
    <r>
      <rPr>
        <sz val="11"/>
        <color theme="1"/>
        <rFont val="Calibri"/>
        <family val="2"/>
        <scheme val="minor"/>
      </rPr>
      <t xml:space="preserve"> for patients with </t>
    </r>
    <r>
      <rPr>
        <b/>
        <sz val="11"/>
        <color theme="1"/>
        <rFont val="Calibri"/>
        <family val="2"/>
        <scheme val="minor"/>
      </rPr>
      <t>NSCLC</t>
    </r>
    <r>
      <rPr>
        <sz val="11"/>
        <color theme="1"/>
        <rFont val="Calibri"/>
        <family val="2"/>
        <scheme val="minor"/>
      </rPr>
      <t xml:space="preserve"> and </t>
    </r>
    <r>
      <rPr>
        <b/>
        <sz val="11"/>
        <color theme="1"/>
        <rFont val="Calibri"/>
        <family val="2"/>
        <scheme val="minor"/>
      </rPr>
      <t>SCLC</t>
    </r>
    <r>
      <rPr>
        <sz val="11"/>
        <color theme="1"/>
        <rFont val="Calibri"/>
        <family val="2"/>
        <scheme val="minor"/>
      </rPr>
      <t xml:space="preserve">, respectively, although they were not significant after adjusting for multiple testing. </t>
    </r>
    <r>
      <rPr>
        <b/>
        <sz val="11"/>
        <color theme="1"/>
        <rFont val="Calibri"/>
        <family val="2"/>
        <scheme val="minor"/>
      </rPr>
      <t>2)</t>
    </r>
    <r>
      <rPr>
        <sz val="11"/>
        <color theme="1"/>
        <rFont val="Calibri"/>
        <family val="2"/>
        <scheme val="minor"/>
      </rPr>
      <t xml:space="preserve"> Fifteen genes, including 7 located within 200 kb up or downstream of the 4 top SNPs and 8 genes for which expression was correlated with 3 SNPs in LCLs were selected for siRNA screening. </t>
    </r>
    <r>
      <rPr>
        <b/>
        <sz val="11"/>
        <color theme="1"/>
        <rFont val="Calibri"/>
        <family val="2"/>
        <scheme val="minor"/>
      </rPr>
      <t>3)</t>
    </r>
    <r>
      <rPr>
        <sz val="11"/>
        <color theme="1"/>
        <rFont val="Calibri"/>
        <family val="2"/>
        <scheme val="minor"/>
      </rPr>
      <t xml:space="preserve"> Knockdown of </t>
    </r>
    <r>
      <rPr>
        <b/>
        <sz val="11"/>
        <color theme="1"/>
        <rFont val="Calibri"/>
        <family val="2"/>
        <scheme val="minor"/>
      </rPr>
      <t>DAPK3</t>
    </r>
    <r>
      <rPr>
        <sz val="11"/>
        <color theme="1"/>
        <rFont val="Calibri"/>
        <family val="2"/>
        <scheme val="minor"/>
      </rPr>
      <t xml:space="preserve"> and METTL6, for which expression levels were correlated with the rs11169748 and rs2440915 SNPs, significantly decreased cisplatin sensitivity in lung cancer cells.</t>
    </r>
  </si>
  <si>
    <r>
      <rPr>
        <b/>
        <sz val="11"/>
        <color theme="1"/>
        <rFont val="Calibri"/>
        <family val="2"/>
        <scheme val="minor"/>
      </rPr>
      <t xml:space="preserve">1) </t>
    </r>
    <r>
      <rPr>
        <sz val="11"/>
        <color theme="1"/>
        <rFont val="Calibri"/>
        <family val="2"/>
        <scheme val="minor"/>
      </rPr>
      <t>Transcription corepressor known to repress transcriptional potential of several sumoylated transcription factors. </t>
    </r>
    <r>
      <rPr>
        <b/>
        <sz val="11"/>
        <color theme="1"/>
        <rFont val="Calibri"/>
        <family val="2"/>
        <scheme val="minor"/>
      </rPr>
      <t xml:space="preserve">2) </t>
    </r>
    <r>
      <rPr>
        <sz val="11"/>
        <color theme="1"/>
        <rFont val="Calibri"/>
        <family val="2"/>
        <scheme val="minor"/>
      </rPr>
      <t xml:space="preserve"> MDM2-DAXX-USP7 complex prevents MDM2 self-ubiquitination and enhances the intrinsic E3 ligase activity of MDM2 towards TP53, thereby promoting TP53</t>
    </r>
    <r>
      <rPr>
        <b/>
        <sz val="11"/>
        <color theme="1"/>
        <rFont val="Calibri"/>
        <family val="2"/>
        <scheme val="minor"/>
      </rPr>
      <t xml:space="preserve"> </t>
    </r>
    <r>
      <rPr>
        <sz val="11"/>
        <color theme="1"/>
        <rFont val="Calibri"/>
        <family val="2"/>
        <scheme val="minor"/>
      </rPr>
      <t xml:space="preserve">ubiquitination and subsequent proteasomal degradation. </t>
    </r>
  </si>
  <si>
    <r>
      <rPr>
        <b/>
        <sz val="11"/>
        <color theme="1"/>
        <rFont val="Calibri"/>
        <family val="2"/>
        <scheme val="minor"/>
      </rPr>
      <t xml:space="preserve">1) </t>
    </r>
    <r>
      <rPr>
        <sz val="11"/>
        <color theme="1"/>
        <rFont val="Calibri"/>
        <family val="2"/>
        <scheme val="minor"/>
      </rPr>
      <t xml:space="preserve">Adenovirus E1B 55-kilodalton (E1B-55K) mediated </t>
    </r>
    <r>
      <rPr>
        <b/>
        <sz val="11"/>
        <color theme="1"/>
        <rFont val="Calibri"/>
        <family val="2"/>
        <scheme val="minor"/>
      </rPr>
      <t>DAXX</t>
    </r>
    <r>
      <rPr>
        <sz val="11"/>
        <color theme="1"/>
        <rFont val="Calibri"/>
        <family val="2"/>
        <scheme val="minor"/>
      </rPr>
      <t xml:space="preserve"> degradation represents a potential mechanism by which E1B-55K sensitizes cancer cells to chemotherapy. </t>
    </r>
    <r>
      <rPr>
        <b/>
        <sz val="11"/>
        <color theme="1"/>
        <rFont val="Calibri"/>
        <family val="2"/>
        <scheme val="minor"/>
      </rPr>
      <t>2) Ovarian</t>
    </r>
    <r>
      <rPr>
        <sz val="11"/>
        <color theme="1"/>
        <rFont val="Calibri"/>
        <family val="2"/>
        <scheme val="minor"/>
      </rPr>
      <t xml:space="preserve"> cancer cells with </t>
    </r>
    <r>
      <rPr>
        <b/>
        <sz val="11"/>
        <color theme="1"/>
        <rFont val="Calibri"/>
        <family val="2"/>
        <scheme val="minor"/>
      </rPr>
      <t>E1B-55K</t>
    </r>
    <r>
      <rPr>
        <sz val="11"/>
        <color theme="1"/>
        <rFont val="Calibri"/>
        <family val="2"/>
        <scheme val="minor"/>
      </rPr>
      <t xml:space="preserve"> expression were more sensitive to </t>
    </r>
    <r>
      <rPr>
        <b/>
        <sz val="11"/>
        <color theme="1"/>
        <rFont val="Calibri"/>
        <family val="2"/>
        <scheme val="minor"/>
      </rPr>
      <t>cisplatin</t>
    </r>
    <r>
      <rPr>
        <sz val="11"/>
        <color theme="1"/>
        <rFont val="Calibri"/>
        <family val="2"/>
        <scheme val="minor"/>
      </rPr>
      <t xml:space="preserve"> than cells without E1B-55K expression. </t>
    </r>
    <r>
      <rPr>
        <b/>
        <sz val="11"/>
        <color theme="1"/>
        <rFont val="Calibri"/>
        <family val="2"/>
        <scheme val="minor"/>
      </rPr>
      <t xml:space="preserve">3) </t>
    </r>
    <r>
      <rPr>
        <sz val="11"/>
        <color theme="1"/>
        <rFont val="Calibri"/>
        <family val="2"/>
        <scheme val="minor"/>
      </rPr>
      <t xml:space="preserve">In vivo C13* xenograft studies showed that the combination of cisplatin and E1B-55K was markedly more effective to slow tumor growth and to confer prolonged survival of tumor-bearing mice than either cisplatin or E1B-55K alone. </t>
    </r>
    <r>
      <rPr>
        <b/>
        <sz val="11"/>
        <color theme="1"/>
        <rFont val="Calibri"/>
        <family val="2"/>
        <scheme val="minor"/>
      </rPr>
      <t xml:space="preserve">4) </t>
    </r>
    <r>
      <rPr>
        <sz val="11"/>
        <color theme="1"/>
        <rFont val="Calibri"/>
        <family val="2"/>
        <scheme val="minor"/>
      </rPr>
      <t xml:space="preserve">the expression levels of DAXX in OV2008 and A2780 fell in a dose-dependent manner, but it was increased in cisplatin-resistant C13* and A2780-DDP cells after cisplatin treatment. </t>
    </r>
    <r>
      <rPr>
        <b/>
        <sz val="11"/>
        <color theme="1"/>
        <rFont val="Calibri"/>
        <family val="2"/>
        <scheme val="minor"/>
      </rPr>
      <t xml:space="preserve">5) </t>
    </r>
    <r>
      <rPr>
        <sz val="11"/>
        <color theme="1"/>
        <rFont val="Calibri"/>
        <family val="2"/>
        <scheme val="minor"/>
      </rPr>
      <t>Knockdown of DAXX enhanced the sensitivity to cisplatin both in OV2008 and C13* cells, while overexpression of DAXX restored the cisplatin resistance phenotype in OV2008 cells.</t>
    </r>
    <r>
      <rPr>
        <b/>
        <sz val="11"/>
        <color theme="1"/>
        <rFont val="Calibri"/>
        <family val="2"/>
        <scheme val="minor"/>
      </rPr>
      <t xml:space="preserve"> 6)</t>
    </r>
    <r>
      <rPr>
        <sz val="11"/>
        <color theme="1"/>
        <rFont val="Calibri"/>
        <family val="2"/>
        <scheme val="minor"/>
      </rPr>
      <t xml:space="preserve"> DAXX expression in ovarian cancer tissues was related to the response to chemotherapy and prognosis in ovarian cancer patients. </t>
    </r>
  </si>
  <si>
    <r>
      <rPr>
        <b/>
        <sz val="11"/>
        <color theme="1"/>
        <rFont val="Calibri"/>
        <family val="2"/>
        <scheme val="minor"/>
      </rPr>
      <t xml:space="preserve">1) </t>
    </r>
    <r>
      <rPr>
        <sz val="11"/>
        <color theme="1"/>
        <rFont val="Calibri"/>
        <family val="2"/>
        <scheme val="minor"/>
      </rPr>
      <t xml:space="preserve">Overexpressed in adaptive cisplatin resistance ovarian cancer stem cell line A2780. </t>
    </r>
    <r>
      <rPr>
        <b/>
        <sz val="11"/>
        <color theme="1"/>
        <rFont val="Calibri"/>
        <family val="2"/>
        <scheme val="minor"/>
      </rPr>
      <t>2)</t>
    </r>
    <r>
      <rPr>
        <sz val="11"/>
        <color theme="1"/>
        <rFont val="Calibri"/>
        <family val="2"/>
        <scheme val="minor"/>
      </rPr>
      <t xml:space="preserve"> SNM1A- and SNM1B-deficient cells were sensitive to cisplatin but not to X-rays. </t>
    </r>
  </si>
  <si>
    <r>
      <t xml:space="preserve">Depletion of hSNM1B/Apollo renders human cells hypersensitive towards ICL-inducing agents, resulting in reduced survival rates after treatment with MMC and </t>
    </r>
    <r>
      <rPr>
        <b/>
        <sz val="11"/>
        <color theme="1"/>
        <rFont val="Calibri"/>
        <family val="2"/>
        <scheme val="minor"/>
      </rPr>
      <t>cisplatin</t>
    </r>
    <r>
      <rPr>
        <sz val="11"/>
        <color theme="1"/>
        <rFont val="Calibri"/>
        <family val="2"/>
        <scheme val="minor"/>
      </rPr>
      <t xml:space="preserve"> in DT40 cells and Hela cells</t>
    </r>
  </si>
  <si>
    <r>
      <t xml:space="preserve">The Artemis-deficient cells were not as sensitive as the XRCC4-deficient cells, except to </t>
    </r>
    <r>
      <rPr>
        <b/>
        <sz val="11"/>
        <color theme="1"/>
        <rFont val="Calibri"/>
        <family val="2"/>
        <scheme val="minor"/>
      </rPr>
      <t>cisplatin</t>
    </r>
    <r>
      <rPr>
        <sz val="11"/>
        <color theme="1"/>
        <rFont val="Calibri"/>
        <family val="2"/>
        <scheme val="minor"/>
      </rPr>
      <t xml:space="preserve"> and mitomycin C. </t>
    </r>
  </si>
  <si>
    <r>
      <rPr>
        <b/>
        <sz val="11"/>
        <color theme="1"/>
        <rFont val="Calibri"/>
        <family val="2"/>
        <scheme val="minor"/>
      </rPr>
      <t>1)</t>
    </r>
    <r>
      <rPr>
        <sz val="11"/>
        <color theme="1"/>
        <rFont val="Calibri"/>
        <family val="2"/>
        <scheme val="minor"/>
      </rPr>
      <t xml:space="preserve"> DNA repair factor in NER.</t>
    </r>
    <r>
      <rPr>
        <b/>
        <sz val="11"/>
        <color theme="1"/>
        <rFont val="Calibri"/>
        <family val="2"/>
        <scheme val="minor"/>
      </rPr>
      <t> 2)</t>
    </r>
    <r>
      <rPr>
        <sz val="11"/>
        <color theme="1"/>
        <rFont val="Calibri"/>
        <family val="2"/>
        <scheme val="minor"/>
      </rPr>
      <t xml:space="preserve"> New functions beyond DNA repair: inhibiting Bcl-2 and p21; blocking EMT; regulating NF-κB activity (23774208); mediating premature senescence. </t>
    </r>
  </si>
  <si>
    <r>
      <rPr>
        <b/>
        <sz val="11"/>
        <color theme="1"/>
        <rFont val="Calibri"/>
        <family val="2"/>
        <scheme val="minor"/>
      </rPr>
      <t>1)</t>
    </r>
    <r>
      <rPr>
        <sz val="11"/>
        <color theme="1"/>
        <rFont val="Calibri"/>
        <family val="2"/>
        <scheme val="minor"/>
      </rPr>
      <t xml:space="preserve"> Tyrosine kinase that functions as a cell surface receptor for fibrillar collagen and regulates cell attachment to the extracellular matrix.</t>
    </r>
    <r>
      <rPr>
        <b/>
        <sz val="11"/>
        <color theme="1"/>
        <rFont val="Calibri"/>
        <family val="2"/>
        <scheme val="minor"/>
      </rPr>
      <t xml:space="preserve"> 2) </t>
    </r>
    <r>
      <rPr>
        <sz val="11"/>
        <color theme="1"/>
        <rFont val="Calibri"/>
        <family val="2"/>
        <scheme val="minor"/>
      </rPr>
      <t xml:space="preserve">interacts with α2β1 integrin receptors and activates cell signaling pathways, which increased the expression of mesenchymal markers. </t>
    </r>
  </si>
  <si>
    <r>
      <rPr>
        <b/>
        <sz val="11"/>
        <color theme="1"/>
        <rFont val="Calibri"/>
        <family val="2"/>
        <scheme val="minor"/>
      </rPr>
      <t>1)</t>
    </r>
    <r>
      <rPr>
        <sz val="11"/>
        <color theme="1"/>
        <rFont val="Calibri"/>
        <family val="2"/>
        <scheme val="minor"/>
      </rPr>
      <t xml:space="preserve"> Both the mRNA and protein of </t>
    </r>
    <r>
      <rPr>
        <b/>
        <sz val="11"/>
        <color theme="1"/>
        <rFont val="Calibri"/>
        <family val="2"/>
        <scheme val="minor"/>
      </rPr>
      <t>DDR1</t>
    </r>
    <r>
      <rPr>
        <sz val="11"/>
        <color theme="1"/>
        <rFont val="Calibri"/>
        <family val="2"/>
        <scheme val="minor"/>
      </rPr>
      <t xml:space="preserve"> were aberrantly overexpressed in </t>
    </r>
    <r>
      <rPr>
        <b/>
        <sz val="11"/>
        <color theme="1"/>
        <rFont val="Calibri"/>
        <family val="2"/>
        <scheme val="minor"/>
      </rPr>
      <t>ovarian</t>
    </r>
    <r>
      <rPr>
        <sz val="11"/>
        <color theme="1"/>
        <rFont val="Calibri"/>
        <family val="2"/>
        <scheme val="minor"/>
      </rPr>
      <t xml:space="preserve"> cancer tissues compared with the normal control. </t>
    </r>
    <r>
      <rPr>
        <b/>
        <sz val="11"/>
        <color theme="1"/>
        <rFont val="Calibri"/>
        <family val="2"/>
        <scheme val="minor"/>
      </rPr>
      <t xml:space="preserve">2) </t>
    </r>
    <r>
      <rPr>
        <sz val="11"/>
        <color theme="1"/>
        <rFont val="Calibri"/>
        <family val="2"/>
        <scheme val="minor"/>
      </rPr>
      <t xml:space="preserve">high expression of DDR1 was statistically associated with lymph node metastasis, TNM stage and distant metastasis (P &lt; 0.05) but not with age and differentiation (P &gt; 0.05)  </t>
    </r>
    <r>
      <rPr>
        <b/>
        <sz val="11"/>
        <color theme="1"/>
        <rFont val="Calibri"/>
        <family val="2"/>
        <scheme val="minor"/>
      </rPr>
      <t xml:space="preserve">3) </t>
    </r>
    <r>
      <rPr>
        <sz val="11"/>
        <color theme="1"/>
        <rFont val="Calibri"/>
        <family val="2"/>
        <scheme val="minor"/>
      </rPr>
      <t xml:space="preserve">the 3-year overall survival (OS) rate of the group with DDR1 high expression was significantly lower than that of the group with DDR1 low expression (41.67% vs 74.55%, P = 0.0091). </t>
    </r>
    <r>
      <rPr>
        <b/>
        <sz val="11"/>
        <color theme="1"/>
        <rFont val="Calibri"/>
        <family val="2"/>
        <scheme val="minor"/>
      </rPr>
      <t xml:space="preserve">4) </t>
    </r>
    <r>
      <rPr>
        <sz val="11"/>
        <color theme="1"/>
        <rFont val="Calibri"/>
        <family val="2"/>
        <scheme val="minor"/>
      </rPr>
      <t xml:space="preserve">a negative correlation between </t>
    </r>
    <r>
      <rPr>
        <b/>
        <sz val="11"/>
        <color theme="1"/>
        <rFont val="Calibri"/>
        <family val="2"/>
        <scheme val="minor"/>
      </rPr>
      <t>DDR1</t>
    </r>
    <r>
      <rPr>
        <sz val="11"/>
        <color theme="1"/>
        <rFont val="Calibri"/>
        <family val="2"/>
        <scheme val="minor"/>
      </rPr>
      <t xml:space="preserve"> and a tumor suppressor miRNA, miR-199a-3p, was observed in </t>
    </r>
    <r>
      <rPr>
        <b/>
        <sz val="11"/>
        <color theme="1"/>
        <rFont val="Calibri"/>
        <family val="2"/>
        <scheme val="minor"/>
      </rPr>
      <t>ovarian</t>
    </r>
    <r>
      <rPr>
        <sz val="11"/>
        <color theme="1"/>
        <rFont val="Calibri"/>
        <family val="2"/>
        <scheme val="minor"/>
      </rPr>
      <t xml:space="preserve"> cancer tissues. </t>
    </r>
    <r>
      <rPr>
        <b/>
        <sz val="11"/>
        <color theme="1"/>
        <rFont val="Calibri"/>
        <family val="2"/>
        <scheme val="minor"/>
      </rPr>
      <t>5)</t>
    </r>
    <r>
      <rPr>
        <sz val="11"/>
        <color theme="1"/>
        <rFont val="Calibri"/>
        <family val="2"/>
        <scheme val="minor"/>
      </rPr>
      <t xml:space="preserve"> miR-199a-3p decreased the expression of DDR1 via targeting the 3'UTR of DDR1 mRNA. </t>
    </r>
    <r>
      <rPr>
        <b/>
        <sz val="11"/>
        <color theme="1"/>
        <rFont val="Calibri"/>
        <family val="2"/>
        <scheme val="minor"/>
      </rPr>
      <t xml:space="preserve">6) </t>
    </r>
    <r>
      <rPr>
        <sz val="11"/>
        <color theme="1"/>
        <rFont val="Calibri"/>
        <family val="2"/>
        <scheme val="minor"/>
      </rPr>
      <t xml:space="preserve">miR-199a-3p inhibitor enhanced the </t>
    </r>
    <r>
      <rPr>
        <b/>
        <sz val="11"/>
        <color theme="1"/>
        <rFont val="Calibri"/>
        <family val="2"/>
        <scheme val="minor"/>
      </rPr>
      <t>cisplatin</t>
    </r>
    <r>
      <rPr>
        <sz val="11"/>
        <color theme="1"/>
        <rFont val="Calibri"/>
        <family val="2"/>
        <scheme val="minor"/>
      </rPr>
      <t xml:space="preserve"> resistance of SKOV3 cells. </t>
    </r>
    <r>
      <rPr>
        <b/>
        <sz val="11"/>
        <color theme="1"/>
        <rFont val="Calibri"/>
        <family val="2"/>
        <scheme val="minor"/>
      </rPr>
      <t>7)</t>
    </r>
    <r>
      <rPr>
        <sz val="11"/>
        <color theme="1"/>
        <rFont val="Calibri"/>
        <family val="2"/>
        <scheme val="minor"/>
      </rPr>
      <t xml:space="preserve"> knockdown of DDR1 by siRNA significantly increased the sensitivity of SKOV3 and HO-8910 cells to </t>
    </r>
    <r>
      <rPr>
        <b/>
        <sz val="11"/>
        <color theme="1"/>
        <rFont val="Calibri"/>
        <family val="2"/>
        <scheme val="minor"/>
      </rPr>
      <t>cisplatin</t>
    </r>
    <r>
      <rPr>
        <sz val="11"/>
        <color theme="1"/>
        <rFont val="Calibri"/>
        <family val="2"/>
        <scheme val="minor"/>
      </rPr>
      <t xml:space="preserve"> treatment and reverse the cisplatin resistance induced by miR-199a-3p inhibor. </t>
    </r>
  </si>
  <si>
    <r>
      <rPr>
        <b/>
        <sz val="11"/>
        <color theme="1"/>
        <rFont val="Calibri"/>
        <family val="2"/>
        <scheme val="minor"/>
      </rPr>
      <t xml:space="preserve">1) </t>
    </r>
    <r>
      <rPr>
        <sz val="11"/>
        <color theme="1"/>
        <rFont val="Calibri"/>
        <family val="2"/>
        <scheme val="minor"/>
      </rPr>
      <t xml:space="preserve">Derlin-1 was upregulated in 38.6% (58/150) cases of cancer samples. The rate of Derlin-1 overexpression was higher in muscle invasive </t>
    </r>
    <r>
      <rPr>
        <b/>
        <sz val="11"/>
        <color theme="1"/>
        <rFont val="Calibri"/>
        <family val="2"/>
        <scheme val="minor"/>
      </rPr>
      <t>bladder</t>
    </r>
    <r>
      <rPr>
        <sz val="11"/>
        <color theme="1"/>
        <rFont val="Calibri"/>
        <family val="2"/>
        <scheme val="minor"/>
      </rPr>
      <t xml:space="preserve"> cancer (MIBC) than non-muscle invasive bladder cancer (NMIBC) (p=0.0079).</t>
    </r>
    <r>
      <rPr>
        <b/>
        <sz val="11"/>
        <color theme="1"/>
        <rFont val="Calibri"/>
        <family val="2"/>
        <scheme val="minor"/>
      </rPr>
      <t xml:space="preserve"> 2)</t>
    </r>
    <r>
      <rPr>
        <sz val="11"/>
        <color theme="1"/>
        <rFont val="Calibri"/>
        <family val="2"/>
        <scheme val="minor"/>
      </rPr>
      <t xml:space="preserve"> Derlin-1 was a predicting factor for poor patient prognosis. </t>
    </r>
    <r>
      <rPr>
        <b/>
        <sz val="11"/>
        <color theme="1"/>
        <rFont val="Calibri"/>
        <family val="2"/>
        <scheme val="minor"/>
      </rPr>
      <t xml:space="preserve">3) </t>
    </r>
    <r>
      <rPr>
        <sz val="11"/>
        <color theme="1"/>
        <rFont val="Calibri"/>
        <family val="2"/>
        <scheme val="minor"/>
      </rPr>
      <t xml:space="preserve">Knockdown of Derlin-1 inhibited while its overexpression facilitated cell invasion and colony formation. </t>
    </r>
    <r>
      <rPr>
        <b/>
        <sz val="11"/>
        <color theme="1"/>
        <rFont val="Calibri"/>
        <family val="2"/>
        <scheme val="minor"/>
      </rPr>
      <t xml:space="preserve">4) </t>
    </r>
    <r>
      <rPr>
        <sz val="11"/>
        <color theme="1"/>
        <rFont val="Calibri"/>
        <family val="2"/>
        <scheme val="minor"/>
      </rPr>
      <t>Derlin-1 overexpression induced </t>
    </r>
    <r>
      <rPr>
        <b/>
        <sz val="11"/>
        <color theme="1"/>
        <rFont val="Calibri"/>
        <family val="2"/>
        <scheme val="minor"/>
      </rPr>
      <t>cisplatin</t>
    </r>
    <r>
      <rPr>
        <sz val="11"/>
        <color theme="1"/>
        <rFont val="Calibri"/>
        <family val="2"/>
        <scheme val="minor"/>
      </rPr>
      <t> resistance while its depletion sensitized cancer cells to cisplatin.</t>
    </r>
    <r>
      <rPr>
        <b/>
        <sz val="11"/>
        <color theme="1"/>
        <rFont val="Calibri"/>
        <family val="2"/>
        <scheme val="minor"/>
      </rPr>
      <t xml:space="preserve"> 5) </t>
    </r>
    <r>
      <rPr>
        <sz val="11"/>
        <color theme="1"/>
        <rFont val="Calibri"/>
        <family val="2"/>
        <scheme val="minor"/>
      </rPr>
      <t xml:space="preserve">Derlin-1 activated AKT phosphorylation and upregulated Bcl-2 expression. </t>
    </r>
    <r>
      <rPr>
        <b/>
        <sz val="11"/>
        <color theme="1"/>
        <rFont val="Calibri"/>
        <family val="2"/>
        <scheme val="minor"/>
      </rPr>
      <t xml:space="preserve">6) </t>
    </r>
    <r>
      <rPr>
        <sz val="11"/>
        <color theme="1"/>
        <rFont val="Calibri"/>
        <family val="2"/>
        <scheme val="minor"/>
      </rPr>
      <t>Blockage of AKT signaling by LY294005 abolished the effects of Derlin-1 on Bcl-2 and </t>
    </r>
    <r>
      <rPr>
        <b/>
        <sz val="11"/>
        <color theme="1"/>
        <rFont val="Calibri"/>
        <family val="2"/>
        <scheme val="minor"/>
      </rPr>
      <t>cisplatin</t>
    </r>
    <r>
      <rPr>
        <sz val="11"/>
        <color theme="1"/>
        <rFont val="Calibri"/>
        <family val="2"/>
        <scheme val="minor"/>
      </rPr>
      <t xml:space="preserve"> resistance. </t>
    </r>
    <r>
      <rPr>
        <b/>
        <sz val="11"/>
        <color theme="1"/>
        <rFont val="Calibri"/>
        <family val="2"/>
        <scheme val="minor"/>
      </rPr>
      <t xml:space="preserve">7) </t>
    </r>
    <r>
      <rPr>
        <sz val="11"/>
        <color theme="1"/>
        <rFont val="Calibri"/>
        <family val="2"/>
        <scheme val="minor"/>
      </rPr>
      <t>Derlin-1 interacted with p110α subunit of PI3K.</t>
    </r>
    <r>
      <rPr>
        <b/>
        <sz val="11"/>
        <color theme="1"/>
        <rFont val="Calibri"/>
        <family val="2"/>
        <scheme val="minor"/>
      </rPr>
      <t xml:space="preserve"> 8) </t>
    </r>
    <r>
      <rPr>
        <sz val="11"/>
        <color theme="1"/>
        <rFont val="Calibri"/>
        <family val="2"/>
        <scheme val="minor"/>
      </rPr>
      <t xml:space="preserve">Derlin-1 depletion downregulated and its overexpression upregulated cell MMP-2/9 expression and ERK phosphorylation. </t>
    </r>
  </si>
  <si>
    <r>
      <rPr>
        <b/>
        <sz val="11"/>
        <color theme="1"/>
        <rFont val="Calibri"/>
        <family val="2"/>
        <scheme val="minor"/>
      </rPr>
      <t xml:space="preserve">1) </t>
    </r>
    <r>
      <rPr>
        <sz val="11"/>
        <color theme="1"/>
        <rFont val="Calibri"/>
        <family val="2"/>
        <scheme val="minor"/>
      </rPr>
      <t xml:space="preserve">Collateral sensitivity to novel </t>
    </r>
    <r>
      <rPr>
        <b/>
        <sz val="11"/>
        <color theme="1"/>
        <rFont val="Calibri"/>
        <family val="2"/>
        <scheme val="minor"/>
      </rPr>
      <t xml:space="preserve">thymidylate synthase </t>
    </r>
    <r>
      <rPr>
        <sz val="11"/>
        <color theme="1"/>
        <rFont val="Calibri"/>
        <family val="2"/>
        <scheme val="minor"/>
      </rPr>
      <t xml:space="preserve">inhibitors correlates with folate cycle enzymes impairment in </t>
    </r>
    <r>
      <rPr>
        <b/>
        <sz val="11"/>
        <color theme="1"/>
        <rFont val="Calibri"/>
        <family val="2"/>
        <scheme val="minor"/>
      </rPr>
      <t>cisplatin</t>
    </r>
    <r>
      <rPr>
        <sz val="11"/>
        <color theme="1"/>
        <rFont val="Calibri"/>
        <family val="2"/>
        <scheme val="minor"/>
      </rPr>
      <t xml:space="preserve">-resistant human ovarian cancer cells. </t>
    </r>
    <r>
      <rPr>
        <b/>
        <sz val="11"/>
        <color theme="1"/>
        <rFont val="Calibri"/>
        <family val="2"/>
        <scheme val="minor"/>
      </rPr>
      <t xml:space="preserve">2) </t>
    </r>
    <r>
      <rPr>
        <sz val="11"/>
        <color theme="1"/>
        <rFont val="Calibri"/>
        <family val="2"/>
        <scheme val="minor"/>
      </rPr>
      <t xml:space="preserve">berberine suppresses the growth of </t>
    </r>
    <r>
      <rPr>
        <b/>
        <sz val="11"/>
        <color theme="1"/>
        <rFont val="Calibri"/>
        <family val="2"/>
        <scheme val="minor"/>
      </rPr>
      <t>cDDP-resistant</t>
    </r>
    <r>
      <rPr>
        <sz val="11"/>
        <color theme="1"/>
        <rFont val="Calibri"/>
        <family val="2"/>
        <scheme val="minor"/>
      </rPr>
      <t xml:space="preserve"> cells more than the sensitive counterparts, by interfering with the expression of folate cycle enzymes, dihydrofolate reductase (DHFR) and thymidylate synthase (TS). </t>
    </r>
    <r>
      <rPr>
        <b/>
        <sz val="11"/>
        <color theme="1"/>
        <rFont val="Calibri"/>
        <family val="2"/>
        <scheme val="minor"/>
      </rPr>
      <t>3)</t>
    </r>
    <r>
      <rPr>
        <sz val="11"/>
        <color theme="1"/>
        <rFont val="Calibri"/>
        <family val="2"/>
        <scheme val="minor"/>
      </rPr>
      <t xml:space="preserve"> Overexpression of DHFR gene result in cDDP-resistance in ovarian cancer SKOV3 cell line. </t>
    </r>
  </si>
  <si>
    <r>
      <rPr>
        <b/>
        <sz val="11"/>
        <color theme="1"/>
        <rFont val="Calibri"/>
        <family val="2"/>
        <scheme val="minor"/>
      </rPr>
      <t>1)</t>
    </r>
    <r>
      <rPr>
        <sz val="11"/>
        <color theme="1"/>
        <rFont val="Calibri"/>
        <family val="2"/>
        <scheme val="minor"/>
      </rPr>
      <t xml:space="preserve"> critical role for mammalian </t>
    </r>
    <r>
      <rPr>
        <b/>
        <sz val="11"/>
        <color theme="1"/>
        <rFont val="Calibri"/>
        <family val="2"/>
        <scheme val="minor"/>
      </rPr>
      <t>Diaphanous (mDia)-related formin-2</t>
    </r>
    <r>
      <rPr>
        <sz val="11"/>
        <color theme="1"/>
        <rFont val="Calibri"/>
        <family val="2"/>
        <scheme val="minor"/>
      </rPr>
      <t xml:space="preserve"> in maintaining EOC spheroid structure.</t>
    </r>
    <r>
      <rPr>
        <b/>
        <sz val="11"/>
        <color theme="1"/>
        <rFont val="Calibri"/>
        <family val="2"/>
        <scheme val="minor"/>
      </rPr>
      <t xml:space="preserve"> 2) </t>
    </r>
    <r>
      <rPr>
        <sz val="11"/>
        <color theme="1"/>
        <rFont val="Calibri"/>
        <family val="2"/>
        <scheme val="minor"/>
      </rPr>
      <t xml:space="preserve">Combining either cisplatin or taxol with SMIFH2 did not significantly enhance the effects of either drug alone in ES2 monolayers, while Skov3 monolayers treated with taxol or cisplatin and SMIFH2 showed significant additive inhibition of viability.  </t>
    </r>
    <r>
      <rPr>
        <b/>
        <sz val="11"/>
        <color theme="1"/>
        <rFont val="Calibri"/>
        <family val="2"/>
        <scheme val="minor"/>
      </rPr>
      <t>3)</t>
    </r>
    <r>
      <rPr>
        <sz val="11"/>
        <color theme="1"/>
        <rFont val="Calibri"/>
        <family val="2"/>
        <scheme val="minor"/>
      </rPr>
      <t xml:space="preserve"> Combining </t>
    </r>
    <r>
      <rPr>
        <b/>
        <sz val="11"/>
        <color theme="1"/>
        <rFont val="Calibri"/>
        <family val="2"/>
        <scheme val="minor"/>
      </rPr>
      <t>mDia</t>
    </r>
    <r>
      <rPr>
        <sz val="11"/>
        <color theme="1"/>
        <rFont val="Calibri"/>
        <family val="2"/>
        <scheme val="minor"/>
      </rPr>
      <t xml:space="preserve"> functional inhibition in 2D and 3D EOC spheroid models with standard chemotherapeutics used in EOC therapy is a more effective therapeutic strategy. </t>
    </r>
    <r>
      <rPr>
        <b/>
        <sz val="11"/>
        <color theme="1"/>
        <rFont val="Calibri"/>
        <family val="2"/>
        <scheme val="minor"/>
      </rPr>
      <t xml:space="preserve">4) </t>
    </r>
    <r>
      <rPr>
        <sz val="11"/>
        <color theme="1"/>
        <rFont val="Calibri"/>
        <family val="2"/>
        <scheme val="minor"/>
      </rPr>
      <t xml:space="preserve">In muscle‐invasive </t>
    </r>
    <r>
      <rPr>
        <b/>
        <sz val="11"/>
        <color theme="1"/>
        <rFont val="Calibri"/>
        <family val="2"/>
        <scheme val="minor"/>
      </rPr>
      <t>bladder</t>
    </r>
    <r>
      <rPr>
        <sz val="11"/>
        <color theme="1"/>
        <rFont val="Calibri"/>
        <family val="2"/>
        <scheme val="minor"/>
      </rPr>
      <t xml:space="preserve"> cancer (MIBC), the expression of </t>
    </r>
    <r>
      <rPr>
        <b/>
        <sz val="11"/>
        <color theme="1"/>
        <rFont val="Calibri"/>
        <family val="2"/>
        <scheme val="minor"/>
      </rPr>
      <t>DIAPH3</t>
    </r>
    <r>
      <rPr>
        <sz val="11"/>
        <color theme="1"/>
        <rFont val="Calibri"/>
        <family val="2"/>
        <scheme val="minor"/>
      </rPr>
      <t>, EMR2, MMP1, STX12, and UHMK1 was found to be significantly associated with response to Gem/</t>
    </r>
    <r>
      <rPr>
        <b/>
        <sz val="11"/>
        <color theme="1"/>
        <rFont val="Calibri"/>
        <family val="2"/>
        <scheme val="minor"/>
      </rPr>
      <t>Cisplatin</t>
    </r>
    <r>
      <rPr>
        <sz val="11"/>
        <color theme="1"/>
        <rFont val="Calibri"/>
        <family val="2"/>
        <scheme val="minor"/>
      </rPr>
      <t xml:space="preserve">. </t>
    </r>
    <r>
      <rPr>
        <b/>
        <sz val="11"/>
        <color theme="1"/>
        <rFont val="Calibri"/>
        <family val="2"/>
        <scheme val="minor"/>
      </rPr>
      <t>5)</t>
    </r>
    <r>
      <rPr>
        <sz val="11"/>
        <color theme="1"/>
        <rFont val="Calibri"/>
        <family val="2"/>
        <scheme val="minor"/>
      </rPr>
      <t xml:space="preserve"> High expression of DIAPH3, LMAN1, PPP2R5E, and UHMK1 and low HLA‐E expression were significantly associated with shorter recurrence‐free survival (P = .002, P = .006, P = .008, P = .002, and P = .009). </t>
    </r>
    <r>
      <rPr>
        <b/>
        <sz val="11"/>
        <color theme="1"/>
        <rFont val="Calibri"/>
        <family val="2"/>
        <scheme val="minor"/>
      </rPr>
      <t xml:space="preserve">6) </t>
    </r>
    <r>
      <rPr>
        <sz val="11"/>
        <color theme="1"/>
        <rFont val="Calibri"/>
        <family val="2"/>
        <scheme val="minor"/>
      </rPr>
      <t>high DIAPH3, HLA‐E, and LMAN1 expression was significantly associated with shorter overall survival (P = .043, P = 0.018, and P = .014), and high PPP2R5E and UHMK1 expression showed a trend toward association with shorter overall survival in MIBC (P = .052 and P = .078).</t>
    </r>
  </si>
  <si>
    <r>
      <rPr>
        <b/>
        <sz val="11"/>
        <color theme="1"/>
        <rFont val="Calibri"/>
        <family val="2"/>
        <scheme val="minor"/>
      </rPr>
      <t>1) Dicer</t>
    </r>
    <r>
      <rPr>
        <sz val="11"/>
        <color theme="1"/>
        <rFont val="Calibri"/>
        <family val="2"/>
        <scheme val="minor"/>
      </rPr>
      <t xml:space="preserve"> was expressed at low levels in </t>
    </r>
    <r>
      <rPr>
        <b/>
        <sz val="11"/>
        <color theme="1"/>
        <rFont val="Calibri"/>
        <family val="2"/>
        <scheme val="minor"/>
      </rPr>
      <t>cisplatin</t>
    </r>
    <r>
      <rPr>
        <sz val="11"/>
        <color theme="1"/>
        <rFont val="Calibri"/>
        <family val="2"/>
        <scheme val="minor"/>
      </rPr>
      <t xml:space="preserve">‑resistant A2780 cells when compared with parental cells. </t>
    </r>
    <r>
      <rPr>
        <b/>
        <sz val="11"/>
        <color theme="1"/>
        <rFont val="Calibri"/>
        <family val="2"/>
        <scheme val="minor"/>
      </rPr>
      <t>2)</t>
    </r>
    <r>
      <rPr>
        <sz val="11"/>
        <color theme="1"/>
        <rFont val="Calibri"/>
        <family val="2"/>
        <scheme val="minor"/>
      </rPr>
      <t xml:space="preserve"> knocking down Dicer using shRNA decreased the sensitivity of A2780 and CAOV3 cells to cisplatin. </t>
    </r>
    <r>
      <rPr>
        <b/>
        <sz val="11"/>
        <color theme="1"/>
        <rFont val="Calibri"/>
        <family val="2"/>
        <scheme val="minor"/>
      </rPr>
      <t>3)</t>
    </r>
    <r>
      <rPr>
        <sz val="11"/>
        <color theme="1"/>
        <rFont val="Calibri"/>
        <family val="2"/>
        <scheme val="minor"/>
      </rPr>
      <t xml:space="preserve"> downregulating Dicer significantly inhibited cisplatin‑induced apoptosis in ovarian cancer cells, and decreased the levels of proteins involved in apoptosis signaling pathways, including P73, P63, P53, caspase‑9 and caspase‑3. </t>
    </r>
    <r>
      <rPr>
        <b/>
        <sz val="11"/>
        <color theme="1"/>
        <rFont val="Calibri"/>
        <family val="2"/>
        <scheme val="minor"/>
      </rPr>
      <t xml:space="preserve">4) </t>
    </r>
    <r>
      <rPr>
        <sz val="11"/>
        <color theme="1"/>
        <rFont val="Calibri"/>
        <family val="2"/>
        <scheme val="minor"/>
      </rPr>
      <t xml:space="preserve">logistic regression analysis demonstrated that the higher incidence of reduced Dicer expression in poorly differentiated tumors remained significant even after correction for other parameters (P = 0.02). </t>
    </r>
  </si>
  <si>
    <r>
      <rPr>
        <b/>
        <sz val="11"/>
        <color theme="1"/>
        <rFont val="Calibri"/>
        <family val="2"/>
        <scheme val="minor"/>
      </rPr>
      <t xml:space="preserve">1) </t>
    </r>
    <r>
      <rPr>
        <sz val="11"/>
        <color theme="1"/>
        <rFont val="Calibri"/>
        <family val="2"/>
        <scheme val="minor"/>
      </rPr>
      <t>ARHI (</t>
    </r>
    <r>
      <rPr>
        <b/>
        <sz val="11"/>
        <color theme="1"/>
        <rFont val="Calibri"/>
        <family val="2"/>
        <scheme val="minor"/>
      </rPr>
      <t>DIRAS3</t>
    </r>
    <r>
      <rPr>
        <sz val="11"/>
        <color theme="1"/>
        <rFont val="Calibri"/>
        <family val="2"/>
        <scheme val="minor"/>
      </rPr>
      <t xml:space="preserve">) is downregulated in 60% of ovarian cancers and associated with shortened progression-free survival. </t>
    </r>
    <r>
      <rPr>
        <b/>
        <sz val="11"/>
        <color theme="1"/>
        <rFont val="Calibri"/>
        <family val="2"/>
        <scheme val="minor"/>
      </rPr>
      <t>2)</t>
    </r>
    <r>
      <rPr>
        <sz val="11"/>
        <color theme="1"/>
        <rFont val="Calibri"/>
        <family val="2"/>
        <scheme val="minor"/>
      </rPr>
      <t xml:space="preserve"> In cell culture, re-expression of ARHI induces autophagy and ovarian cancer cell death within 72 h. </t>
    </r>
    <r>
      <rPr>
        <b/>
        <sz val="11"/>
        <color theme="1"/>
        <rFont val="Calibri"/>
        <family val="2"/>
        <scheme val="minor"/>
      </rPr>
      <t xml:space="preserve">3) </t>
    </r>
    <r>
      <rPr>
        <sz val="11"/>
        <color theme="1"/>
        <rFont val="Calibri"/>
        <family val="2"/>
        <scheme val="minor"/>
      </rPr>
      <t>In xenografts, re-expression of ARHI arrests cell growth and induces autophagy, but does not kill engrafted cancer cells.  When ARHI levels are reduced after 6 weeks, dormancy is broken and xenografts grow promptly.</t>
    </r>
    <r>
      <rPr>
        <b/>
        <sz val="11"/>
        <color theme="1"/>
        <rFont val="Calibri"/>
        <family val="2"/>
        <scheme val="minor"/>
      </rPr>
      <t xml:space="preserve"> 4) </t>
    </r>
    <r>
      <rPr>
        <sz val="11"/>
        <color theme="1"/>
        <rFont val="Calibri"/>
        <family val="2"/>
        <scheme val="minor"/>
      </rPr>
      <t xml:space="preserve">Re-expression of ARHI enhanced the cytotoxic effect of </t>
    </r>
    <r>
      <rPr>
        <b/>
        <sz val="11"/>
        <color theme="1"/>
        <rFont val="Calibri"/>
        <family val="2"/>
        <scheme val="minor"/>
      </rPr>
      <t>cisplatin</t>
    </r>
    <r>
      <rPr>
        <sz val="11"/>
        <color theme="1"/>
        <rFont val="Calibri"/>
        <family val="2"/>
        <scheme val="minor"/>
      </rPr>
      <t xml:space="preserve"> in cell culture, increasing caspase-3 activation and PARP cleavage by inhibiting ERK and HER2 activity and downregulating XIAP and Bcl-2. </t>
    </r>
    <r>
      <rPr>
        <b/>
        <sz val="11"/>
        <color theme="1"/>
        <rFont val="Calibri"/>
        <family val="2"/>
        <scheme val="minor"/>
      </rPr>
      <t xml:space="preserve">5) </t>
    </r>
    <r>
      <rPr>
        <sz val="11"/>
        <color theme="1"/>
        <rFont val="Calibri"/>
        <family val="2"/>
        <scheme val="minor"/>
      </rPr>
      <t xml:space="preserve">In xenografts, treatment with </t>
    </r>
    <r>
      <rPr>
        <b/>
        <sz val="11"/>
        <color theme="1"/>
        <rFont val="Calibri"/>
        <family val="2"/>
        <scheme val="minor"/>
      </rPr>
      <t>cisplatin</t>
    </r>
    <r>
      <rPr>
        <sz val="11"/>
        <color theme="1"/>
        <rFont val="Calibri"/>
        <family val="2"/>
        <scheme val="minor"/>
      </rPr>
      <t xml:space="preserve"> significantly slowed the outgrowth of dormant autophagic cells after reduction of ARHI. </t>
    </r>
  </si>
  <si>
    <r>
      <rPr>
        <b/>
        <sz val="11"/>
        <color theme="1"/>
        <rFont val="Calibri"/>
        <family val="2"/>
        <scheme val="minor"/>
      </rPr>
      <t xml:space="preserve">1) </t>
    </r>
    <r>
      <rPr>
        <sz val="11"/>
        <color theme="1"/>
        <rFont val="Calibri"/>
        <family val="2"/>
        <scheme val="minor"/>
      </rPr>
      <t xml:space="preserve">secreted proteins characterized by two cysteine-rich domains that mediate protein-protein interactions. </t>
    </r>
    <r>
      <rPr>
        <b/>
        <sz val="11"/>
        <color theme="1"/>
        <rFont val="Calibri"/>
        <family val="2"/>
        <scheme val="minor"/>
      </rPr>
      <t>2)</t>
    </r>
    <r>
      <rPr>
        <sz val="11"/>
        <color theme="1"/>
        <rFont val="Calibri"/>
        <family val="2"/>
        <scheme val="minor"/>
      </rPr>
      <t xml:space="preserve"> binds to the LRP6 co-receptor and inhibits beta-catenin-dependent Wnt signaling. </t>
    </r>
  </si>
  <si>
    <r>
      <rPr>
        <b/>
        <sz val="11"/>
        <color theme="1"/>
        <rFont val="Calibri"/>
        <family val="2"/>
        <scheme val="minor"/>
      </rPr>
      <t xml:space="preserve">1) </t>
    </r>
    <r>
      <rPr>
        <sz val="11"/>
        <color theme="1"/>
        <rFont val="Calibri"/>
        <family val="2"/>
        <scheme val="minor"/>
      </rPr>
      <t xml:space="preserve">global gene expression profiles of </t>
    </r>
    <r>
      <rPr>
        <b/>
        <sz val="11"/>
        <color theme="1"/>
        <rFont val="Calibri"/>
        <family val="2"/>
        <scheme val="minor"/>
      </rPr>
      <t>NSCLC</t>
    </r>
    <r>
      <rPr>
        <sz val="11"/>
        <color theme="1"/>
        <rFont val="Calibri"/>
        <family val="2"/>
        <scheme val="minor"/>
      </rPr>
      <t xml:space="preserve"> clones surviving a pulse treatment with </t>
    </r>
    <r>
      <rPr>
        <b/>
        <sz val="11"/>
        <color theme="1"/>
        <rFont val="Calibri"/>
        <family val="2"/>
        <scheme val="minor"/>
      </rPr>
      <t>cisplatin</t>
    </r>
    <r>
      <rPr>
        <sz val="11"/>
        <color theme="1"/>
        <rFont val="Calibri"/>
        <family val="2"/>
        <scheme val="minor"/>
      </rPr>
      <t xml:space="preserve"> was analysed, and </t>
    </r>
    <r>
      <rPr>
        <b/>
        <sz val="11"/>
        <color theme="1"/>
        <rFont val="Calibri"/>
        <family val="2"/>
        <scheme val="minor"/>
      </rPr>
      <t>DKK1</t>
    </r>
    <r>
      <rPr>
        <sz val="11"/>
        <color theme="1"/>
        <rFont val="Calibri"/>
        <family val="2"/>
        <scheme val="minor"/>
      </rPr>
      <t xml:space="preserve"> is among the top deregulated genes by microarray and were validated by q-RT-PCR. </t>
    </r>
    <r>
      <rPr>
        <b/>
        <sz val="11"/>
        <color theme="1"/>
        <rFont val="Calibri"/>
        <family val="2"/>
        <scheme val="minor"/>
      </rPr>
      <t xml:space="preserve">2) </t>
    </r>
    <r>
      <rPr>
        <sz val="11"/>
        <color theme="1"/>
        <rFont val="Calibri"/>
        <family val="2"/>
        <scheme val="minor"/>
      </rPr>
      <t xml:space="preserve">Knockdown of DKK1 by siRNA sensitized for </t>
    </r>
    <r>
      <rPr>
        <b/>
        <sz val="11"/>
        <color theme="1"/>
        <rFont val="Calibri"/>
        <family val="2"/>
        <scheme val="minor"/>
      </rPr>
      <t>cisplatin</t>
    </r>
    <r>
      <rPr>
        <sz val="11"/>
        <color theme="1"/>
        <rFont val="Calibri"/>
        <family val="2"/>
        <scheme val="minor"/>
      </rPr>
      <t xml:space="preserve"> in two different NSCLC cell lines and in </t>
    </r>
    <r>
      <rPr>
        <b/>
        <sz val="11"/>
        <color theme="1"/>
        <rFont val="Calibri"/>
        <family val="2"/>
        <scheme val="minor"/>
      </rPr>
      <t>ovarian</t>
    </r>
    <r>
      <rPr>
        <sz val="11"/>
        <color theme="1"/>
        <rFont val="Calibri"/>
        <family val="2"/>
        <scheme val="minor"/>
      </rPr>
      <t xml:space="preserve"> A2780 cells, but not in the A2780 cis subline made resistant to cisplatin by chronic exposure, suggesting a role of DKK1 in intrinsic but not acquired platinum refractoriness.</t>
    </r>
    <r>
      <rPr>
        <b/>
        <sz val="11"/>
        <color theme="1"/>
        <rFont val="Calibri"/>
        <family val="2"/>
        <scheme val="minor"/>
      </rPr>
      <t xml:space="preserve"> 3)</t>
    </r>
    <r>
      <rPr>
        <sz val="11"/>
        <color theme="1"/>
        <rFont val="Calibri"/>
        <family val="2"/>
        <scheme val="minor"/>
      </rPr>
      <t xml:space="preserve"> The </t>
    </r>
    <r>
      <rPr>
        <b/>
        <sz val="11"/>
        <color theme="1"/>
        <rFont val="Calibri"/>
        <family val="2"/>
        <scheme val="minor"/>
      </rPr>
      <t>cisplatin</t>
    </r>
    <r>
      <rPr>
        <sz val="11"/>
        <color theme="1"/>
        <rFont val="Calibri"/>
        <family val="2"/>
        <scheme val="minor"/>
      </rPr>
      <t xml:space="preserve"> sensitization from </t>
    </r>
    <r>
      <rPr>
        <b/>
        <sz val="11"/>
        <color theme="1"/>
        <rFont val="Calibri"/>
        <family val="2"/>
        <scheme val="minor"/>
      </rPr>
      <t xml:space="preserve">NSCLC </t>
    </r>
    <r>
      <rPr>
        <sz val="11"/>
        <color theme="1"/>
        <rFont val="Calibri"/>
        <family val="2"/>
        <scheme val="minor"/>
      </rPr>
      <t xml:space="preserve">were validated also in </t>
    </r>
    <r>
      <rPr>
        <b/>
        <sz val="11"/>
        <color theme="1"/>
        <rFont val="Calibri"/>
        <family val="2"/>
        <scheme val="minor"/>
      </rPr>
      <t xml:space="preserve">ovarian </t>
    </r>
    <r>
      <rPr>
        <sz val="11"/>
        <color theme="1"/>
        <rFont val="Calibri"/>
        <family val="2"/>
        <scheme val="minor"/>
      </rPr>
      <t xml:space="preserve">cancer cells. </t>
    </r>
    <r>
      <rPr>
        <b/>
        <sz val="11"/>
        <color theme="1"/>
        <rFont val="Calibri"/>
        <family val="2"/>
        <scheme val="minor"/>
      </rPr>
      <t xml:space="preserve">4) </t>
    </r>
    <r>
      <rPr>
        <sz val="11"/>
        <color theme="1"/>
        <rFont val="Calibri"/>
        <family val="2"/>
        <scheme val="minor"/>
      </rPr>
      <t xml:space="preserve">The expression level of DKK1 was associated with the staining pattern of beta-catenin in hepatocellular carcinomas (HCC) cell lines, </t>
    </r>
    <r>
      <rPr>
        <b/>
        <sz val="11"/>
        <color theme="1"/>
        <rFont val="Calibri"/>
        <family val="2"/>
        <scheme val="minor"/>
      </rPr>
      <t xml:space="preserve">5) </t>
    </r>
    <r>
      <rPr>
        <sz val="11"/>
        <color theme="1"/>
        <rFont val="Calibri"/>
        <family val="2"/>
        <scheme val="minor"/>
      </rPr>
      <t xml:space="preserve">DKK1 overexpression correlated with beta-catenin cytoplasmic/nuclear accumulation in clinical HCC samples (P=0.011, correlation coefficient=0.144). </t>
    </r>
    <r>
      <rPr>
        <b/>
        <sz val="11"/>
        <color theme="1"/>
        <rFont val="Calibri"/>
        <family val="2"/>
        <scheme val="minor"/>
      </rPr>
      <t xml:space="preserve">6) </t>
    </r>
    <r>
      <rPr>
        <sz val="11"/>
        <color theme="1"/>
        <rFont val="Calibri"/>
        <family val="2"/>
        <scheme val="minor"/>
      </rPr>
      <t>High DKK1 expression predicted unfavorable prognosis in HCC patients, especially in early stage patients and those with normal AFP levels.</t>
    </r>
  </si>
  <si>
    <r>
      <rPr>
        <b/>
        <sz val="11"/>
        <color theme="1"/>
        <rFont val="Calibri"/>
        <family val="2"/>
        <scheme val="minor"/>
      </rPr>
      <t>1)</t>
    </r>
    <r>
      <rPr>
        <sz val="11"/>
        <color theme="1"/>
        <rFont val="Calibri"/>
        <family val="2"/>
        <scheme val="minor"/>
      </rPr>
      <t xml:space="preserve"> DKK3 was overexpressed (&gt;2-fold) in 75.8% (72/95) of </t>
    </r>
    <r>
      <rPr>
        <b/>
        <sz val="11"/>
        <color theme="1"/>
        <rFont val="Calibri"/>
        <family val="2"/>
        <scheme val="minor"/>
      </rPr>
      <t>esophageal</t>
    </r>
    <r>
      <rPr>
        <sz val="11"/>
        <color theme="1"/>
        <rFont val="Calibri"/>
        <family val="2"/>
        <scheme val="minor"/>
      </rPr>
      <t xml:space="preserve"> adenocarcinomas. </t>
    </r>
    <r>
      <rPr>
        <b/>
        <sz val="11"/>
        <color theme="1"/>
        <rFont val="Calibri"/>
        <family val="2"/>
        <scheme val="minor"/>
      </rPr>
      <t xml:space="preserve">2) </t>
    </r>
    <r>
      <rPr>
        <sz val="11"/>
        <color theme="1"/>
        <rFont val="Calibri"/>
        <family val="2"/>
        <scheme val="minor"/>
      </rPr>
      <t xml:space="preserve">Stable transfection of DKK3 significantly increased proliferation (P &lt; .05) and Matrigel invasion (P &lt; .001). </t>
    </r>
    <r>
      <rPr>
        <b/>
        <sz val="11"/>
        <color theme="1"/>
        <rFont val="Calibri"/>
        <family val="2"/>
        <scheme val="minor"/>
      </rPr>
      <t xml:space="preserve">3) </t>
    </r>
    <r>
      <rPr>
        <sz val="11"/>
        <color theme="1"/>
        <rFont val="Calibri"/>
        <family val="2"/>
        <scheme val="minor"/>
      </rPr>
      <t xml:space="preserve">Levels of SMAD4, a key mediator of the transforming growth factor-ß pathway, increased after activin treatment of OE33/DKK3, and siSMAD4 significantly decreased Matrigel invasion, suggesting that DKK3 acts through the transforming growth factor-β pathway. </t>
    </r>
    <r>
      <rPr>
        <b/>
        <sz val="11"/>
        <color theme="1"/>
        <rFont val="Calibri"/>
        <family val="2"/>
        <scheme val="minor"/>
      </rPr>
      <t>4)</t>
    </r>
    <r>
      <rPr>
        <sz val="11"/>
        <color theme="1"/>
        <rFont val="Calibri"/>
        <family val="2"/>
        <scheme val="minor"/>
      </rPr>
      <t xml:space="preserve"> OE33/DKK3 cells increased endothelial tube formation and were significantly more resistant to 5-fluorouracil and </t>
    </r>
    <r>
      <rPr>
        <b/>
        <sz val="11"/>
        <color theme="1"/>
        <rFont val="Calibri"/>
        <family val="2"/>
        <scheme val="minor"/>
      </rPr>
      <t>cisplatin</t>
    </r>
    <r>
      <rPr>
        <sz val="11"/>
        <color theme="1"/>
        <rFont val="Calibri"/>
        <family val="2"/>
        <scheme val="minor"/>
      </rPr>
      <t xml:space="preserve">, and DKK3 expression was significantly higher in chemoresistant esophageal adenocarcinomas (P &lt; .005). </t>
    </r>
    <r>
      <rPr>
        <b/>
        <sz val="11"/>
        <color theme="1"/>
        <rFont val="Calibri"/>
        <family val="2"/>
        <scheme val="minor"/>
      </rPr>
      <t>5)</t>
    </r>
    <r>
      <rPr>
        <sz val="11"/>
        <color theme="1"/>
        <rFont val="Calibri"/>
        <family val="2"/>
        <scheme val="minor"/>
      </rPr>
      <t xml:space="preserve"> In NOD/SCIDγ mice, OE33/DKK3 cells resulted in tumors at all sites (8/8), whereas vector cells grew in only 1 of 8 sites. Nodal metastases were also significantly increased in patients with esophageal adenocarcinomas highly overexpressing DKK3, 28 of 32 (88%) versus 42 of 63 (68%) (P &lt; .05).</t>
    </r>
  </si>
  <si>
    <r>
      <rPr>
        <b/>
        <sz val="11"/>
        <color theme="1"/>
        <rFont val="Calibri"/>
        <family val="2"/>
        <scheme val="minor"/>
      </rPr>
      <t xml:space="preserve">1) </t>
    </r>
    <r>
      <rPr>
        <sz val="11"/>
        <color theme="1"/>
        <rFont val="Calibri"/>
        <family val="2"/>
        <scheme val="minor"/>
      </rPr>
      <t xml:space="preserve">miR-30a-5p and miR-30c-5p dramatically decreased in </t>
    </r>
    <r>
      <rPr>
        <b/>
        <sz val="11"/>
        <color theme="1"/>
        <rFont val="Calibri"/>
        <family val="2"/>
        <scheme val="minor"/>
      </rPr>
      <t>cisplatin</t>
    </r>
    <r>
      <rPr>
        <sz val="11"/>
        <color theme="1"/>
        <rFont val="Calibri"/>
        <family val="2"/>
        <scheme val="minor"/>
      </rPr>
      <t>-resistant CP70 cells due to overexpressed-</t>
    </r>
    <r>
      <rPr>
        <b/>
        <sz val="11"/>
        <color theme="1"/>
        <rFont val="Calibri"/>
        <family val="2"/>
        <scheme val="minor"/>
      </rPr>
      <t>DNMT1</t>
    </r>
    <r>
      <rPr>
        <sz val="11"/>
        <color theme="1"/>
        <rFont val="Calibri"/>
        <family val="2"/>
        <scheme val="minor"/>
      </rPr>
      <t xml:space="preserve"> induced aberrant methylation. </t>
    </r>
    <r>
      <rPr>
        <b/>
        <sz val="11"/>
        <color theme="1"/>
        <rFont val="Calibri"/>
        <family val="2"/>
        <scheme val="minor"/>
      </rPr>
      <t xml:space="preserve">2) </t>
    </r>
    <r>
      <rPr>
        <sz val="11"/>
        <color theme="1"/>
        <rFont val="Calibri"/>
        <family val="2"/>
        <scheme val="minor"/>
      </rPr>
      <t xml:space="preserve">miR-30a/c-5p in turn directly inhibited </t>
    </r>
    <r>
      <rPr>
        <b/>
        <sz val="11"/>
        <color theme="1"/>
        <rFont val="Calibri"/>
        <family val="2"/>
        <scheme val="minor"/>
      </rPr>
      <t>DNMT1</t>
    </r>
    <r>
      <rPr>
        <sz val="11"/>
        <color theme="1"/>
        <rFont val="Calibri"/>
        <family val="2"/>
        <scheme val="minor"/>
      </rPr>
      <t xml:space="preserve">. </t>
    </r>
    <r>
      <rPr>
        <b/>
        <sz val="11"/>
        <color theme="1"/>
        <rFont val="Calibri"/>
        <family val="2"/>
        <scheme val="minor"/>
      </rPr>
      <t xml:space="preserve">3) </t>
    </r>
    <r>
      <rPr>
        <sz val="11"/>
        <color theme="1"/>
        <rFont val="Calibri"/>
        <family val="2"/>
        <scheme val="minor"/>
      </rPr>
      <t xml:space="preserve">Forced expression of miR-30a/c-5p or knocking down of </t>
    </r>
    <r>
      <rPr>
        <b/>
        <sz val="11"/>
        <color theme="1"/>
        <rFont val="Calibri"/>
        <family val="2"/>
        <scheme val="minor"/>
      </rPr>
      <t>DNMT1</t>
    </r>
    <r>
      <rPr>
        <sz val="11"/>
        <color theme="1"/>
        <rFont val="Calibri"/>
        <family val="2"/>
        <scheme val="minor"/>
      </rPr>
      <t xml:space="preserve"> promoted </t>
    </r>
    <r>
      <rPr>
        <b/>
        <sz val="11"/>
        <color theme="1"/>
        <rFont val="Calibri"/>
        <family val="2"/>
        <scheme val="minor"/>
      </rPr>
      <t>cisplatin</t>
    </r>
    <r>
      <rPr>
        <sz val="11"/>
        <color theme="1"/>
        <rFont val="Calibri"/>
        <family val="2"/>
        <scheme val="minor"/>
      </rPr>
      <t xml:space="preserve"> susceptibility and partially reversed epithelial-mesenchymal transition (EMT) in CP70 cells.</t>
    </r>
    <r>
      <rPr>
        <b/>
        <sz val="11"/>
        <color theme="1"/>
        <rFont val="Calibri"/>
        <family val="2"/>
        <scheme val="minor"/>
      </rPr>
      <t xml:space="preserve"> 4)</t>
    </r>
    <r>
      <rPr>
        <sz val="11"/>
        <color theme="1"/>
        <rFont val="Calibri"/>
        <family val="2"/>
        <scheme val="minor"/>
      </rPr>
      <t xml:space="preserve"> ectopic expression of </t>
    </r>
    <r>
      <rPr>
        <b/>
        <sz val="11"/>
        <color theme="1"/>
        <rFont val="Calibri"/>
        <family val="2"/>
        <scheme val="minor"/>
      </rPr>
      <t>DNMT1</t>
    </r>
    <r>
      <rPr>
        <sz val="11"/>
        <color theme="1"/>
        <rFont val="Calibri"/>
        <family val="2"/>
        <scheme val="minor"/>
      </rPr>
      <t xml:space="preserve"> induced </t>
    </r>
    <r>
      <rPr>
        <b/>
        <sz val="11"/>
        <color theme="1"/>
        <rFont val="Calibri"/>
        <family val="2"/>
        <scheme val="minor"/>
      </rPr>
      <t>cisplatin</t>
    </r>
    <r>
      <rPr>
        <sz val="11"/>
        <color theme="1"/>
        <rFont val="Calibri"/>
        <family val="2"/>
        <scheme val="minor"/>
      </rPr>
      <t xml:space="preserve"> resistance and partial EMT in cisplatin-sensitive </t>
    </r>
    <r>
      <rPr>
        <b/>
        <sz val="11"/>
        <color theme="1"/>
        <rFont val="Calibri"/>
        <family val="2"/>
        <scheme val="minor"/>
      </rPr>
      <t>ovarian</t>
    </r>
    <r>
      <rPr>
        <sz val="11"/>
        <color theme="1"/>
        <rFont val="Calibri"/>
        <family val="2"/>
        <scheme val="minor"/>
      </rPr>
      <t xml:space="preserve"> cancer A2780 cells.</t>
    </r>
    <r>
      <rPr>
        <b/>
        <sz val="11"/>
        <color theme="1"/>
        <rFont val="Calibri"/>
        <family val="2"/>
        <scheme val="minor"/>
      </rPr>
      <t xml:space="preserve"> 5) </t>
    </r>
    <r>
      <rPr>
        <sz val="11"/>
        <color theme="1"/>
        <rFont val="Calibri"/>
        <family val="2"/>
        <scheme val="minor"/>
      </rPr>
      <t xml:space="preserve">Acute </t>
    </r>
    <r>
      <rPr>
        <b/>
        <sz val="11"/>
        <color theme="1"/>
        <rFont val="Calibri"/>
        <family val="2"/>
        <scheme val="minor"/>
      </rPr>
      <t>cisplatin</t>
    </r>
    <r>
      <rPr>
        <sz val="11"/>
        <color theme="1"/>
        <rFont val="Calibri"/>
        <family val="2"/>
        <scheme val="minor"/>
      </rPr>
      <t xml:space="preserve"> treatment induces an EGFR mediated increase in </t>
    </r>
    <r>
      <rPr>
        <b/>
        <sz val="11"/>
        <color theme="1"/>
        <rFont val="Calibri"/>
        <family val="2"/>
        <scheme val="minor"/>
      </rPr>
      <t>DNMT</t>
    </r>
    <r>
      <rPr>
        <sz val="11"/>
        <color theme="1"/>
        <rFont val="Calibri"/>
        <family val="2"/>
        <scheme val="minor"/>
      </rPr>
      <t xml:space="preserve"> activity. </t>
    </r>
    <r>
      <rPr>
        <b/>
        <sz val="11"/>
        <color theme="1"/>
        <rFont val="Calibri"/>
        <family val="2"/>
        <scheme val="minor"/>
      </rPr>
      <t>6)</t>
    </r>
    <r>
      <rPr>
        <sz val="11"/>
        <color theme="1"/>
        <rFont val="Calibri"/>
        <family val="2"/>
        <scheme val="minor"/>
      </rPr>
      <t xml:space="preserve"> </t>
    </r>
    <r>
      <rPr>
        <b/>
        <sz val="11"/>
        <color theme="1"/>
        <rFont val="Calibri"/>
        <family val="2"/>
        <scheme val="minor"/>
      </rPr>
      <t>Cisplatin</t>
    </r>
    <r>
      <rPr>
        <sz val="11"/>
        <color theme="1"/>
        <rFont val="Calibri"/>
        <family val="2"/>
        <scheme val="minor"/>
      </rPr>
      <t xml:space="preserve"> resistant cells also showed increased </t>
    </r>
    <r>
      <rPr>
        <b/>
        <sz val="11"/>
        <color theme="1"/>
        <rFont val="Calibri"/>
        <family val="2"/>
        <scheme val="minor"/>
      </rPr>
      <t>DNMT</t>
    </r>
    <r>
      <rPr>
        <sz val="11"/>
        <color theme="1"/>
        <rFont val="Calibri"/>
        <family val="2"/>
        <scheme val="minor"/>
      </rPr>
      <t xml:space="preserve"> activity and global methylation. </t>
    </r>
    <r>
      <rPr>
        <b/>
        <sz val="11"/>
        <color theme="1"/>
        <rFont val="Calibri"/>
        <family val="2"/>
        <scheme val="minor"/>
      </rPr>
      <t>7)</t>
    </r>
    <r>
      <rPr>
        <sz val="11"/>
        <color theme="1"/>
        <rFont val="Calibri"/>
        <family val="2"/>
        <scheme val="minor"/>
      </rPr>
      <t xml:space="preserve"> nude mice injected intraperitoneally with SKOV3/DDP cells transfected with DNNT-targeting miR-152 mimics exhibited upregulated </t>
    </r>
    <r>
      <rPr>
        <b/>
        <sz val="11"/>
        <color theme="1"/>
        <rFont val="Calibri"/>
        <family val="2"/>
        <scheme val="minor"/>
      </rPr>
      <t>cisplatin</t>
    </r>
    <r>
      <rPr>
        <sz val="11"/>
        <color theme="1"/>
        <rFont val="Calibri"/>
        <family val="2"/>
        <scheme val="minor"/>
      </rPr>
      <t xml:space="preserve"> sensitivity in vivo. </t>
    </r>
    <r>
      <rPr>
        <b/>
        <sz val="11"/>
        <color theme="1"/>
        <rFont val="Calibri"/>
        <family val="2"/>
        <scheme val="minor"/>
      </rPr>
      <t>8)</t>
    </r>
    <r>
      <rPr>
        <sz val="11"/>
        <color theme="1"/>
        <rFont val="Calibri"/>
        <family val="2"/>
        <scheme val="minor"/>
      </rPr>
      <t xml:space="preserve"> In vivo administration of DNMT1-containing exosomes exacerbated xenograft progression and reduced overall survival significantly. </t>
    </r>
    <r>
      <rPr>
        <b/>
        <sz val="11"/>
        <color theme="1"/>
        <rFont val="Calibri"/>
        <family val="2"/>
        <scheme val="minor"/>
      </rPr>
      <t>9)</t>
    </r>
    <r>
      <rPr>
        <sz val="11"/>
        <color theme="1"/>
        <rFont val="Calibri"/>
        <family val="2"/>
        <scheme val="minor"/>
      </rPr>
      <t xml:space="preserve"> Dual targeting of G9a and </t>
    </r>
    <r>
      <rPr>
        <b/>
        <sz val="11"/>
        <color theme="1"/>
        <rFont val="Calibri"/>
        <family val="2"/>
        <scheme val="minor"/>
      </rPr>
      <t>DNMT1</t>
    </r>
    <r>
      <rPr>
        <sz val="11"/>
        <color theme="1"/>
        <rFont val="Calibri"/>
        <family val="2"/>
        <scheme val="minor"/>
      </rPr>
      <t xml:space="preserve"> with epigenetic small molecule inhibitors such as CM272 markedly reduced </t>
    </r>
    <r>
      <rPr>
        <b/>
        <sz val="11"/>
        <color theme="1"/>
        <rFont val="Calibri"/>
        <family val="2"/>
        <scheme val="minor"/>
      </rPr>
      <t>cholangiocarcinoma</t>
    </r>
    <r>
      <rPr>
        <sz val="11"/>
        <color theme="1"/>
        <rFont val="Calibri"/>
        <family val="2"/>
        <scheme val="minor"/>
      </rPr>
      <t xml:space="preserve"> CCA cells proliferation and synergized with </t>
    </r>
    <r>
      <rPr>
        <b/>
        <sz val="11"/>
        <color theme="1"/>
        <rFont val="Calibri"/>
        <family val="2"/>
        <scheme val="minor"/>
      </rPr>
      <t>Cisplatin</t>
    </r>
    <r>
      <rPr>
        <sz val="11"/>
        <color theme="1"/>
        <rFont val="Calibri"/>
        <family val="2"/>
        <scheme val="minor"/>
      </rPr>
      <t xml:space="preserve">. </t>
    </r>
    <r>
      <rPr>
        <b/>
        <sz val="11"/>
        <color theme="1"/>
        <rFont val="Calibri"/>
        <family val="2"/>
        <scheme val="minor"/>
      </rPr>
      <t>10)</t>
    </r>
    <r>
      <rPr>
        <sz val="11"/>
        <color theme="1"/>
        <rFont val="Calibri"/>
        <family val="2"/>
        <scheme val="minor"/>
      </rPr>
      <t xml:space="preserve"> Patients of </t>
    </r>
    <r>
      <rPr>
        <b/>
        <sz val="11"/>
        <color theme="1"/>
        <rFont val="Calibri"/>
        <family val="2"/>
        <scheme val="minor"/>
      </rPr>
      <t>gastric</t>
    </r>
    <r>
      <rPr>
        <sz val="11"/>
        <color theme="1"/>
        <rFont val="Calibri"/>
        <family val="2"/>
        <scheme val="minor"/>
      </rPr>
      <t xml:space="preserve"> cancer with low </t>
    </r>
    <r>
      <rPr>
        <b/>
        <sz val="11"/>
        <color theme="1"/>
        <rFont val="Calibri"/>
        <family val="2"/>
        <scheme val="minor"/>
      </rPr>
      <t>DNMT1</t>
    </r>
    <r>
      <rPr>
        <sz val="11"/>
        <color theme="1"/>
        <rFont val="Calibri"/>
        <family val="2"/>
        <scheme val="minor"/>
      </rPr>
      <t xml:space="preserve"> expression demonstrated a significantly better histopathological/clinical response (P=0.03/P=0.008) and OS (P(log-rank)=0.001). </t>
    </r>
    <r>
      <rPr>
        <b/>
        <sz val="11"/>
        <color theme="1"/>
        <rFont val="Calibri"/>
        <family val="2"/>
        <scheme val="minor"/>
      </rPr>
      <t>11)</t>
    </r>
    <r>
      <rPr>
        <sz val="11"/>
        <color theme="1"/>
        <rFont val="Calibri"/>
        <family val="2"/>
        <scheme val="minor"/>
      </rPr>
      <t xml:space="preserve"> In vitro, knockdown of </t>
    </r>
    <r>
      <rPr>
        <b/>
        <sz val="11"/>
        <color theme="1"/>
        <rFont val="Calibri"/>
        <family val="2"/>
        <scheme val="minor"/>
      </rPr>
      <t>DNMT1</t>
    </r>
    <r>
      <rPr>
        <sz val="11"/>
        <color theme="1"/>
        <rFont val="Calibri"/>
        <family val="2"/>
        <scheme val="minor"/>
      </rPr>
      <t xml:space="preserve"> caused an increased chemosensitivity towards </t>
    </r>
    <r>
      <rPr>
        <b/>
        <sz val="11"/>
        <color theme="1"/>
        <rFont val="Calibri"/>
        <family val="2"/>
        <scheme val="minor"/>
      </rPr>
      <t>cisplatin</t>
    </r>
    <r>
      <rPr>
        <sz val="11"/>
        <color theme="1"/>
        <rFont val="Calibri"/>
        <family val="2"/>
        <scheme val="minor"/>
      </rPr>
      <t xml:space="preserve">. </t>
    </r>
    <r>
      <rPr>
        <b/>
        <sz val="11"/>
        <color theme="1"/>
        <rFont val="Calibri"/>
        <family val="2"/>
        <scheme val="minor"/>
      </rPr>
      <t xml:space="preserve">12) </t>
    </r>
    <r>
      <rPr>
        <sz val="11"/>
        <color theme="1"/>
        <rFont val="Calibri"/>
        <family val="2"/>
        <scheme val="minor"/>
      </rPr>
      <t xml:space="preserve">Combined treatment with </t>
    </r>
    <r>
      <rPr>
        <b/>
        <sz val="11"/>
        <color theme="1"/>
        <rFont val="Calibri"/>
        <family val="2"/>
        <scheme val="minor"/>
      </rPr>
      <t>cisplatin</t>
    </r>
    <r>
      <rPr>
        <sz val="11"/>
        <color theme="1"/>
        <rFont val="Calibri"/>
        <family val="2"/>
        <scheme val="minor"/>
      </rPr>
      <t xml:space="preserve"> and DAC showed a synergistic effect leading to increased cytotoxicity in the </t>
    </r>
    <r>
      <rPr>
        <b/>
        <sz val="11"/>
        <color theme="1"/>
        <rFont val="Calibri"/>
        <family val="2"/>
        <scheme val="minor"/>
      </rPr>
      <t>cisplatin</t>
    </r>
    <r>
      <rPr>
        <sz val="11"/>
        <color theme="1"/>
        <rFont val="Calibri"/>
        <family val="2"/>
        <scheme val="minor"/>
      </rPr>
      <t>-resistant cell line AGS.</t>
    </r>
  </si>
  <si>
    <r>
      <rPr>
        <b/>
        <sz val="11"/>
        <color theme="1"/>
        <rFont val="Calibri"/>
        <family val="2"/>
        <scheme val="minor"/>
      </rPr>
      <t>1) DOK2</t>
    </r>
    <r>
      <rPr>
        <sz val="11"/>
        <color theme="1"/>
        <rFont val="Calibri"/>
        <family val="2"/>
        <scheme val="minor"/>
      </rPr>
      <t xml:space="preserve"> is among the 296 genes that were methylated and transcriptionally repressed in platinum resistant patients</t>
    </r>
    <r>
      <rPr>
        <b/>
        <sz val="11"/>
        <color theme="1"/>
        <rFont val="Calibri"/>
        <family val="2"/>
        <scheme val="minor"/>
      </rPr>
      <t>. 2)</t>
    </r>
    <r>
      <rPr>
        <sz val="11"/>
        <color theme="1"/>
        <rFont val="Calibri"/>
        <family val="2"/>
        <scheme val="minor"/>
      </rPr>
      <t xml:space="preserve"> DOK2 is among the 19 genes that when suppressed altered the chemoresistance of the cells in culture. </t>
    </r>
    <r>
      <rPr>
        <b/>
        <sz val="11"/>
        <color theme="1"/>
        <rFont val="Calibri"/>
        <family val="2"/>
        <scheme val="minor"/>
      </rPr>
      <t xml:space="preserve">3) </t>
    </r>
    <r>
      <rPr>
        <sz val="11"/>
        <color theme="1"/>
        <rFont val="Calibri"/>
        <family val="2"/>
        <scheme val="minor"/>
      </rPr>
      <t xml:space="preserve">The loss of DOK2 decreased the level of apoptosis in response to carboplatin. </t>
    </r>
    <r>
      <rPr>
        <b/>
        <sz val="11"/>
        <color theme="1"/>
        <rFont val="Calibri"/>
        <family val="2"/>
        <scheme val="minor"/>
      </rPr>
      <t xml:space="preserve">4) </t>
    </r>
    <r>
      <rPr>
        <sz val="11"/>
        <color theme="1"/>
        <rFont val="Calibri"/>
        <family val="2"/>
        <scheme val="minor"/>
      </rPr>
      <t xml:space="preserve">in cells with reduced DOK2, the level of anoikis was decreased. </t>
    </r>
  </si>
  <si>
    <r>
      <rPr>
        <b/>
        <sz val="11"/>
        <color theme="1"/>
        <rFont val="Calibri"/>
        <family val="2"/>
        <scheme val="minor"/>
      </rPr>
      <t>1)</t>
    </r>
    <r>
      <rPr>
        <sz val="11"/>
        <color theme="1"/>
        <rFont val="Calibri"/>
        <family val="2"/>
        <scheme val="minor"/>
      </rPr>
      <t xml:space="preserve"> </t>
    </r>
    <r>
      <rPr>
        <b/>
        <sz val="11"/>
        <color theme="1"/>
        <rFont val="Calibri"/>
        <family val="2"/>
        <scheme val="minor"/>
      </rPr>
      <t>Cisplatin</t>
    </r>
    <r>
      <rPr>
        <sz val="11"/>
        <color theme="1"/>
        <rFont val="Calibri"/>
        <family val="2"/>
        <scheme val="minor"/>
      </rPr>
      <t>-induced cell death in Cisplatin-sensitive ovarian cancer cells (A2780) was mediated by p53-induced apoptosis acompanied by expresson of damage-regulated autophagy modulator (</t>
    </r>
    <r>
      <rPr>
        <b/>
        <sz val="11"/>
        <color theme="1"/>
        <rFont val="Calibri"/>
        <family val="2"/>
        <scheme val="minor"/>
      </rPr>
      <t>DRAM</t>
    </r>
    <r>
      <rPr>
        <sz val="11"/>
        <color theme="1"/>
        <rFont val="Calibri"/>
        <family val="2"/>
        <scheme val="minor"/>
      </rPr>
      <t xml:space="preserve">). </t>
    </r>
    <r>
      <rPr>
        <b/>
        <sz val="11"/>
        <color theme="1"/>
        <rFont val="Calibri"/>
        <family val="2"/>
        <scheme val="minor"/>
      </rPr>
      <t>2)</t>
    </r>
    <r>
      <rPr>
        <sz val="11"/>
        <color theme="1"/>
        <rFont val="Calibri"/>
        <family val="2"/>
        <scheme val="minor"/>
      </rPr>
      <t xml:space="preserve"> In </t>
    </r>
    <r>
      <rPr>
        <b/>
        <sz val="11"/>
        <color theme="1"/>
        <rFont val="Calibri"/>
        <family val="2"/>
        <scheme val="minor"/>
      </rPr>
      <t>Cisplatin</t>
    </r>
    <r>
      <rPr>
        <sz val="11"/>
        <color theme="1"/>
        <rFont val="Calibri"/>
        <family val="2"/>
        <scheme val="minor"/>
      </rPr>
      <t>-resistant cells, decreased DRAM expression (p &lt; 0.01) hindered p21-mediated cell death and contributed to cisplatin resistance. </t>
    </r>
    <r>
      <rPr>
        <b/>
        <sz val="11"/>
        <color theme="1"/>
        <rFont val="Calibri"/>
        <family val="2"/>
        <scheme val="minor"/>
      </rPr>
      <t>3)</t>
    </r>
    <r>
      <rPr>
        <sz val="11"/>
        <color theme="1"/>
        <rFont val="Calibri"/>
        <family val="2"/>
        <scheme val="minor"/>
      </rPr>
      <t xml:space="preserve"> N-myc and STAT interactor (</t>
    </r>
    <r>
      <rPr>
        <b/>
        <sz val="11"/>
        <color theme="1"/>
        <rFont val="Calibri"/>
        <family val="2"/>
        <scheme val="minor"/>
      </rPr>
      <t>NMI</t>
    </r>
    <r>
      <rPr>
        <sz val="11"/>
        <color theme="1"/>
        <rFont val="Calibri"/>
        <family val="2"/>
        <scheme val="minor"/>
      </rPr>
      <t xml:space="preserve">) expressing breast cancer cells showed autophagic vacuoles and LC3 processing; </t>
    </r>
    <r>
      <rPr>
        <b/>
        <sz val="11"/>
        <color theme="1"/>
        <rFont val="Calibri"/>
        <family val="2"/>
        <scheme val="minor"/>
      </rPr>
      <t>NMI</t>
    </r>
    <r>
      <rPr>
        <sz val="11"/>
        <color theme="1"/>
        <rFont val="Calibri"/>
        <family val="2"/>
        <scheme val="minor"/>
      </rPr>
      <t xml:space="preserve"> expression increased the </t>
    </r>
    <r>
      <rPr>
        <b/>
        <sz val="11"/>
        <color theme="1"/>
        <rFont val="Calibri"/>
        <family val="2"/>
        <scheme val="minor"/>
      </rPr>
      <t>cisplatin</t>
    </r>
    <r>
      <rPr>
        <sz val="11"/>
        <color theme="1"/>
        <rFont val="Calibri"/>
        <family val="2"/>
        <scheme val="minor"/>
      </rPr>
      <t xml:space="preserve"> sensitivity of the</t>
    </r>
    <r>
      <rPr>
        <b/>
        <sz val="11"/>
        <color theme="1"/>
        <rFont val="Calibri"/>
        <family val="2"/>
        <scheme val="minor"/>
      </rPr>
      <t xml:space="preserve"> breast</t>
    </r>
    <r>
      <rPr>
        <sz val="11"/>
        <color theme="1"/>
        <rFont val="Calibri"/>
        <family val="2"/>
        <scheme val="minor"/>
      </rPr>
      <t xml:space="preserve"> cancer cells. </t>
    </r>
    <r>
      <rPr>
        <b/>
        <sz val="11"/>
        <color theme="1"/>
        <rFont val="Calibri"/>
        <family val="2"/>
        <scheme val="minor"/>
      </rPr>
      <t>4) DRAM1</t>
    </r>
    <r>
      <rPr>
        <sz val="11"/>
        <color theme="1"/>
        <rFont val="Calibri"/>
        <family val="2"/>
        <scheme val="minor"/>
      </rPr>
      <t xml:space="preserve"> is regulated by NMI and</t>
    </r>
    <r>
      <rPr>
        <b/>
        <sz val="11"/>
        <color theme="1"/>
        <rFont val="Calibri"/>
        <family val="2"/>
        <scheme val="minor"/>
      </rPr>
      <t xml:space="preserve"> NMI</t>
    </r>
    <r>
      <rPr>
        <sz val="11"/>
        <color theme="1"/>
        <rFont val="Calibri"/>
        <family val="2"/>
        <scheme val="minor"/>
      </rPr>
      <t xml:space="preserve"> sensitizes breast cancer cells to </t>
    </r>
    <r>
      <rPr>
        <b/>
        <sz val="11"/>
        <color theme="1"/>
        <rFont val="Calibri"/>
        <family val="2"/>
        <scheme val="minor"/>
      </rPr>
      <t>cisplatin</t>
    </r>
    <r>
      <rPr>
        <sz val="11"/>
        <color theme="1"/>
        <rFont val="Calibri"/>
        <family val="2"/>
        <scheme val="minor"/>
      </rPr>
      <t xml:space="preserve"> treatment through</t>
    </r>
    <r>
      <rPr>
        <b/>
        <sz val="11"/>
        <color theme="1"/>
        <rFont val="Calibri"/>
        <family val="2"/>
        <scheme val="minor"/>
      </rPr>
      <t xml:space="preserve"> DRAM1 </t>
    </r>
    <r>
      <rPr>
        <sz val="11"/>
        <color theme="1"/>
        <rFont val="Calibri"/>
        <family val="2"/>
        <scheme val="minor"/>
      </rPr>
      <t xml:space="preserve">dependent autophagy. </t>
    </r>
    <r>
      <rPr>
        <b/>
        <sz val="11"/>
        <color theme="1"/>
        <rFont val="Calibri"/>
        <family val="2"/>
        <scheme val="minor"/>
      </rPr>
      <t>5) p53</t>
    </r>
    <r>
      <rPr>
        <sz val="11"/>
        <color theme="1"/>
        <rFont val="Calibri"/>
        <family val="2"/>
        <scheme val="minor"/>
      </rPr>
      <t xml:space="preserve"> siRNA prevented </t>
    </r>
    <r>
      <rPr>
        <b/>
        <sz val="11"/>
        <color theme="1"/>
        <rFont val="Calibri"/>
        <family val="2"/>
        <scheme val="minor"/>
      </rPr>
      <t>cisplatin</t>
    </r>
    <r>
      <rPr>
        <sz val="11"/>
        <color theme="1"/>
        <rFont val="Calibri"/>
        <family val="2"/>
        <scheme val="minor"/>
      </rPr>
      <t xml:space="preserve">-mediated up-regulation of </t>
    </r>
    <r>
      <rPr>
        <b/>
        <sz val="11"/>
        <color theme="1"/>
        <rFont val="Calibri"/>
        <family val="2"/>
        <scheme val="minor"/>
      </rPr>
      <t>FLJ11259/DRAM</t>
    </r>
    <r>
      <rPr>
        <sz val="11"/>
        <color theme="1"/>
        <rFont val="Calibri"/>
        <family val="2"/>
        <scheme val="minor"/>
      </rPr>
      <t xml:space="preserve"> in NT2/D1 cells. </t>
    </r>
  </si>
  <si>
    <r>
      <rPr>
        <b/>
        <sz val="11"/>
        <color theme="1"/>
        <rFont val="Calibri"/>
        <family val="2"/>
        <scheme val="minor"/>
      </rPr>
      <t xml:space="preserve">1) </t>
    </r>
    <r>
      <rPr>
        <sz val="11"/>
        <color theme="1"/>
        <rFont val="Calibri"/>
        <family val="2"/>
        <scheme val="minor"/>
      </rPr>
      <t xml:space="preserve">Univariate analyses identified, among others, negative membranous </t>
    </r>
    <r>
      <rPr>
        <b/>
        <sz val="11"/>
        <color theme="1"/>
        <rFont val="Calibri"/>
        <family val="2"/>
        <scheme val="minor"/>
      </rPr>
      <t>DSG1</t>
    </r>
    <r>
      <rPr>
        <sz val="11"/>
        <color theme="1"/>
        <rFont val="Calibri"/>
        <family val="2"/>
        <scheme val="minor"/>
      </rPr>
      <t xml:space="preserve"> staining (P=0.009), negative cytoplasmic DSC1 staining (P=0.012) and negative DSG1 (membranous)+negative DSC1 (cytoplasmic) staining (P=0.004) to be associated with improved cancer-specific survival (CSS). </t>
    </r>
    <r>
      <rPr>
        <b/>
        <sz val="11"/>
        <color theme="1"/>
        <rFont val="Calibri"/>
        <family val="2"/>
        <scheme val="minor"/>
      </rPr>
      <t xml:space="preserve">2) </t>
    </r>
    <r>
      <rPr>
        <sz val="11"/>
        <color theme="1"/>
        <rFont val="Calibri"/>
        <family val="2"/>
        <scheme val="minor"/>
      </rPr>
      <t>On multivariate analyses positive DSG1 (membranous)+DSC1 (cytoplasmic) staining (HR 6.95, P=0.044), large tumour size and lymph node metastases (HR 6.44, P=0.004) and</t>
    </r>
    <r>
      <rPr>
        <b/>
        <sz val="11"/>
        <color theme="1"/>
        <rFont val="Calibri"/>
        <family val="2"/>
        <scheme val="minor"/>
      </rPr>
      <t xml:space="preserve"> radiation without chemotherapy </t>
    </r>
    <r>
      <rPr>
        <sz val="11"/>
        <color theme="1"/>
        <rFont val="Calibri"/>
        <family val="2"/>
        <scheme val="minor"/>
      </rPr>
      <t xml:space="preserve">(HR 6.73 P=0.004) were associated with worse CSS. </t>
    </r>
    <r>
      <rPr>
        <b/>
        <sz val="11"/>
        <color theme="1"/>
        <rFont val="Calibri"/>
        <family val="2"/>
        <scheme val="minor"/>
      </rPr>
      <t xml:space="preserve">3) </t>
    </r>
    <r>
      <rPr>
        <sz val="11"/>
        <color theme="1"/>
        <rFont val="Calibri"/>
        <family val="2"/>
        <scheme val="minor"/>
      </rPr>
      <t>On univariate analysis, improved disease-free survival was associated with negative membranous staining of DSG1 (P=0.047), and negative DSG1 (membranous)+negative DSC1 (cytoplasmic) staining (P=0.025), among others.</t>
    </r>
  </si>
  <si>
    <r>
      <rPr>
        <b/>
        <sz val="11"/>
        <color theme="1"/>
        <rFont val="Calibri"/>
        <family val="2"/>
        <scheme val="minor"/>
      </rPr>
      <t xml:space="preserve">1) </t>
    </r>
    <r>
      <rPr>
        <sz val="11"/>
        <color theme="1"/>
        <rFont val="Calibri"/>
        <family val="2"/>
        <scheme val="minor"/>
      </rPr>
      <t xml:space="preserve">A total of 7 ROS-related genes upregulated in </t>
    </r>
    <r>
      <rPr>
        <b/>
        <sz val="11"/>
        <color theme="1"/>
        <rFont val="Calibri"/>
        <family val="2"/>
        <scheme val="minor"/>
      </rPr>
      <t>cisplatin</t>
    </r>
    <r>
      <rPr>
        <sz val="11"/>
        <color theme="1"/>
        <rFont val="Calibri"/>
        <family val="2"/>
        <scheme val="minor"/>
      </rPr>
      <t xml:space="preserve">-resistant </t>
    </r>
    <r>
      <rPr>
        <b/>
        <sz val="11"/>
        <color theme="1"/>
        <rFont val="Calibri"/>
        <family val="2"/>
        <scheme val="minor"/>
      </rPr>
      <t>ovarian</t>
    </r>
    <r>
      <rPr>
        <sz val="11"/>
        <color theme="1"/>
        <rFont val="Calibri"/>
        <family val="2"/>
        <scheme val="minor"/>
      </rPr>
      <t xml:space="preserve"> cancer IGROV1 CR cells when compared to sensitive GROV1 cells. Among these genes, the expression level change of </t>
    </r>
    <r>
      <rPr>
        <b/>
        <sz val="11"/>
        <color theme="1"/>
        <rFont val="Calibri"/>
        <family val="2"/>
        <scheme val="minor"/>
      </rPr>
      <t>DUOXA1</t>
    </r>
    <r>
      <rPr>
        <sz val="11"/>
        <color theme="1"/>
        <rFont val="Calibri"/>
        <family val="2"/>
        <scheme val="minor"/>
      </rPr>
      <t xml:space="preserve"> is the most significant upregulated. </t>
    </r>
    <r>
      <rPr>
        <b/>
        <sz val="11"/>
        <color theme="1"/>
        <rFont val="Calibri"/>
        <family val="2"/>
        <scheme val="minor"/>
      </rPr>
      <t xml:space="preserve">2) </t>
    </r>
    <r>
      <rPr>
        <sz val="11"/>
        <color theme="1"/>
        <rFont val="Calibri"/>
        <family val="2"/>
        <scheme val="minor"/>
      </rPr>
      <t xml:space="preserve">resulting in elevated </t>
    </r>
    <r>
      <rPr>
        <b/>
        <sz val="11"/>
        <color theme="1"/>
        <rFont val="Calibri"/>
        <family val="2"/>
        <scheme val="minor"/>
      </rPr>
      <t>ROS</t>
    </r>
    <r>
      <rPr>
        <sz val="11"/>
        <color theme="1"/>
        <rFont val="Calibri"/>
        <family val="2"/>
        <scheme val="minor"/>
      </rPr>
      <t xml:space="preserve"> level sustains the activation of </t>
    </r>
    <r>
      <rPr>
        <b/>
        <sz val="11"/>
        <color theme="1"/>
        <rFont val="Calibri"/>
        <family val="2"/>
        <scheme val="minor"/>
      </rPr>
      <t>ATR-Chk1</t>
    </r>
    <r>
      <rPr>
        <sz val="11"/>
        <color theme="1"/>
        <rFont val="Calibri"/>
        <family val="2"/>
        <scheme val="minor"/>
      </rPr>
      <t xml:space="preserve"> pathway, leading to resistance to cisplatin in ovarian cancer cells. </t>
    </r>
    <r>
      <rPr>
        <b/>
        <sz val="11"/>
        <color theme="1"/>
        <rFont val="Calibri"/>
        <family val="2"/>
        <scheme val="minor"/>
      </rPr>
      <t xml:space="preserve">3) </t>
    </r>
    <r>
      <rPr>
        <sz val="11"/>
        <color theme="1"/>
        <rFont val="Calibri"/>
        <family val="2"/>
        <scheme val="minor"/>
      </rPr>
      <t xml:space="preserve">using qHTCS we identified two Chk1 inhibitors (PF-477736 and AZD7762) that re-sensitize resistant cells to cisplatin. </t>
    </r>
    <r>
      <rPr>
        <b/>
        <sz val="11"/>
        <color theme="1"/>
        <rFont val="Calibri"/>
        <family val="2"/>
        <scheme val="minor"/>
      </rPr>
      <t xml:space="preserve">4) </t>
    </r>
    <r>
      <rPr>
        <sz val="11"/>
        <color theme="1"/>
        <rFont val="Calibri"/>
        <family val="2"/>
        <scheme val="minor"/>
      </rPr>
      <t xml:space="preserve">Blocking this novel pathway by inhibiting ROS, DUOXA1, ATR or Chk1 effectively overcomes cisplatin resistance in vitro and in vivo. </t>
    </r>
    <r>
      <rPr>
        <b/>
        <sz val="11"/>
        <color theme="1"/>
        <rFont val="Calibri"/>
        <family val="2"/>
        <scheme val="minor"/>
      </rPr>
      <t>5)</t>
    </r>
    <r>
      <rPr>
        <sz val="11"/>
        <color theme="1"/>
        <rFont val="Calibri"/>
        <family val="2"/>
        <scheme val="minor"/>
      </rPr>
      <t xml:space="preserve"> the clinical studies also confirm the activation of ATR and DOUXA1 in ovarian cancer patients, and elevated DOUXA1 or ATR-Chk1 pathway correlates with poor prognosis. </t>
    </r>
  </si>
  <si>
    <r>
      <rPr>
        <b/>
        <sz val="11"/>
        <color theme="1"/>
        <rFont val="Calibri"/>
        <family val="2"/>
        <scheme val="minor"/>
      </rPr>
      <t>1)</t>
    </r>
    <r>
      <rPr>
        <sz val="11"/>
        <color theme="1"/>
        <rFont val="Calibri"/>
        <family val="2"/>
        <scheme val="minor"/>
      </rPr>
      <t xml:space="preserve"> in the human </t>
    </r>
    <r>
      <rPr>
        <b/>
        <sz val="11"/>
        <color theme="1"/>
        <rFont val="Calibri"/>
        <family val="2"/>
        <scheme val="minor"/>
      </rPr>
      <t>ovarian</t>
    </r>
    <r>
      <rPr>
        <sz val="11"/>
        <color theme="1"/>
        <rFont val="Calibri"/>
        <family val="2"/>
        <scheme val="minor"/>
      </rPr>
      <t xml:space="preserve"> cancer cell lines, cisplatin induces MKP-1 through ERK2-mediated phosphorylation.</t>
    </r>
    <r>
      <rPr>
        <b/>
        <sz val="11"/>
        <color theme="1"/>
        <rFont val="Calibri"/>
        <family val="2"/>
        <scheme val="minor"/>
      </rPr>
      <t xml:space="preserve"> 2) </t>
    </r>
    <r>
      <rPr>
        <sz val="11"/>
        <color theme="1"/>
        <rFont val="Calibri"/>
        <family val="2"/>
        <scheme val="minor"/>
      </rPr>
      <t xml:space="preserve">inhibition of ERK2 activity by inhibitor U0126 or by si RNA decreases MKP-1 induction, leading to an increase in </t>
    </r>
    <r>
      <rPr>
        <b/>
        <sz val="11"/>
        <color theme="1"/>
        <rFont val="Calibri"/>
        <family val="2"/>
        <scheme val="minor"/>
      </rPr>
      <t>cisplatin-induced cell death</t>
    </r>
    <r>
      <rPr>
        <sz val="11"/>
        <color theme="1"/>
        <rFont val="Calibri"/>
        <family val="2"/>
        <scheme val="minor"/>
      </rPr>
      <t xml:space="preserve">. </t>
    </r>
    <r>
      <rPr>
        <b/>
        <sz val="11"/>
        <color theme="1"/>
        <rFont val="Calibri"/>
        <family val="2"/>
        <scheme val="minor"/>
      </rPr>
      <t xml:space="preserve">3) </t>
    </r>
    <r>
      <rPr>
        <sz val="11"/>
        <color theme="1"/>
        <rFont val="Calibri"/>
        <family val="2"/>
        <scheme val="minor"/>
      </rPr>
      <t>MKP-1 overexpression stimulates PARP-1 and poly(ADP-ribose) (PAR) protein expression and cisplatin resistance. 4</t>
    </r>
    <r>
      <rPr>
        <b/>
        <sz val="11"/>
        <color theme="1"/>
        <rFont val="Calibri"/>
        <family val="2"/>
        <scheme val="minor"/>
      </rPr>
      <t>)</t>
    </r>
    <r>
      <rPr>
        <sz val="11"/>
        <color theme="1"/>
        <rFont val="Calibri"/>
        <family val="2"/>
        <scheme val="minor"/>
      </rPr>
      <t xml:space="preserve"> MKP-1 downregulation suppresses PARP-1 and PAR protein expression and cisplatin resistance.</t>
    </r>
    <r>
      <rPr>
        <b/>
        <sz val="11"/>
        <color theme="1"/>
        <rFont val="Calibri"/>
        <family val="2"/>
        <scheme val="minor"/>
      </rPr>
      <t xml:space="preserve"> 6) </t>
    </r>
    <r>
      <rPr>
        <sz val="11"/>
        <color theme="1"/>
        <rFont val="Calibri"/>
        <family val="2"/>
        <scheme val="minor"/>
      </rPr>
      <t xml:space="preserve">MKP-1 suppresses MAPK activities to maintain PARP-1 and PAR levels. </t>
    </r>
    <r>
      <rPr>
        <b/>
        <sz val="11"/>
        <color theme="1"/>
        <rFont val="Calibri"/>
        <family val="2"/>
        <scheme val="minor"/>
      </rPr>
      <t xml:space="preserve">7) </t>
    </r>
    <r>
      <rPr>
        <sz val="11"/>
        <color theme="1"/>
        <rFont val="Calibri"/>
        <family val="2"/>
        <scheme val="minor"/>
      </rPr>
      <t>JNK is the protein that is responsible for suppressing PARP-1 expression.</t>
    </r>
    <r>
      <rPr>
        <b/>
        <sz val="11"/>
        <color theme="1"/>
        <rFont val="Calibri"/>
        <family val="2"/>
        <scheme val="minor"/>
      </rPr>
      <t xml:space="preserve"> 8) </t>
    </r>
    <r>
      <rPr>
        <sz val="11"/>
        <color theme="1"/>
        <rFont val="Calibri"/>
        <family val="2"/>
        <scheme val="minor"/>
      </rPr>
      <t xml:space="preserve">analysis of TCGA data showed that increased DUSP1 expression was associated with decreased overall (P= 0.049) and progression-free (P= 0.0005) survival in </t>
    </r>
    <r>
      <rPr>
        <b/>
        <sz val="11"/>
        <color theme="1"/>
        <rFont val="Calibri"/>
        <family val="2"/>
        <scheme val="minor"/>
      </rPr>
      <t>ovarian</t>
    </r>
    <r>
      <rPr>
        <sz val="11"/>
        <color theme="1"/>
        <rFont val="Calibri"/>
        <family val="2"/>
        <scheme val="minor"/>
      </rPr>
      <t xml:space="preserve"> cancer.</t>
    </r>
  </si>
  <si>
    <r>
      <rPr>
        <b/>
        <sz val="11"/>
        <color theme="1"/>
        <rFont val="Calibri"/>
        <family val="2"/>
        <scheme val="minor"/>
      </rPr>
      <t xml:space="preserve">1) </t>
    </r>
    <r>
      <rPr>
        <sz val="11"/>
        <color theme="1"/>
        <rFont val="Calibri"/>
        <family val="2"/>
        <scheme val="minor"/>
      </rPr>
      <t xml:space="preserve">Dvl stealth RNAi down-regulated the expression of </t>
    </r>
    <r>
      <rPr>
        <b/>
        <sz val="11"/>
        <color theme="1"/>
        <rFont val="Calibri"/>
        <family val="2"/>
        <scheme val="minor"/>
      </rPr>
      <t xml:space="preserve">Dvl-3 in mesothelioma </t>
    </r>
    <r>
      <rPr>
        <sz val="11"/>
        <color theme="1"/>
        <rFont val="Calibri"/>
        <family val="2"/>
        <scheme val="minor"/>
      </rPr>
      <t xml:space="preserve">cells and Dvl stealth RNAi and </t>
    </r>
    <r>
      <rPr>
        <b/>
        <sz val="11"/>
        <color theme="1"/>
        <rFont val="Calibri"/>
        <family val="2"/>
        <scheme val="minor"/>
      </rPr>
      <t>cisplatin</t>
    </r>
    <r>
      <rPr>
        <sz val="11"/>
        <color theme="1"/>
        <rFont val="Calibri"/>
        <family val="2"/>
        <scheme val="minor"/>
      </rPr>
      <t xml:space="preserve"> in combination suppressed cell growth synergistically. </t>
    </r>
    <r>
      <rPr>
        <b/>
        <sz val="11"/>
        <color theme="1"/>
        <rFont val="Calibri"/>
        <family val="2"/>
        <scheme val="minor"/>
      </rPr>
      <t xml:space="preserve">2) </t>
    </r>
    <r>
      <rPr>
        <sz val="11"/>
        <color theme="1"/>
        <rFont val="Calibri"/>
        <family val="2"/>
        <scheme val="minor"/>
      </rPr>
      <t>both protein and mRNA of Dvl-1 and Dvl-3 are overexpressed in NSCLC in a manner related to poor prognosis. Dvl-1 may affect the biological behavior of lung cancer cells mainly through beta-catenin (canonical Wnt pathway), while Dvl-3 mainly through p38 and JNK pathway (noncanonical Wnt pathway).</t>
    </r>
  </si>
  <si>
    <r>
      <rPr>
        <b/>
        <sz val="11"/>
        <color theme="1"/>
        <rFont val="Calibri"/>
        <family val="2"/>
        <scheme val="minor"/>
      </rPr>
      <t>1)</t>
    </r>
    <r>
      <rPr>
        <sz val="11"/>
        <color theme="1"/>
        <rFont val="Calibri"/>
        <family val="2"/>
        <scheme val="minor"/>
      </rPr>
      <t xml:space="preserve"> downstream of ATM and phospho p53/TP53 at 'Ser-46' to induce apoptosis upon DNA damage. </t>
    </r>
    <r>
      <rPr>
        <b/>
        <sz val="11"/>
        <color theme="1"/>
        <rFont val="Calibri"/>
        <family val="2"/>
        <scheme val="minor"/>
      </rPr>
      <t>2)</t>
    </r>
    <r>
      <rPr>
        <sz val="11"/>
        <color theme="1"/>
        <rFont val="Calibri"/>
        <family val="2"/>
        <scheme val="minor"/>
      </rPr>
      <t xml:space="preserve"> initiates the degradation of several proteins via ubiquitination. </t>
    </r>
  </si>
  <si>
    <r>
      <rPr>
        <b/>
        <sz val="11"/>
        <color theme="1"/>
        <rFont val="Calibri"/>
        <family val="2"/>
        <scheme val="minor"/>
      </rPr>
      <t xml:space="preserve">1) </t>
    </r>
    <r>
      <rPr>
        <sz val="11"/>
        <color theme="1"/>
        <rFont val="Calibri"/>
        <family val="2"/>
        <scheme val="minor"/>
      </rPr>
      <t xml:space="preserve">Survival analyses showed low expression of E2F1 or E2F2 to be significantly associated with favorable disease-free and overall survival (E2F1, P = 0.039 and 0.047, respectively; E2F2, P = 0.009 and 0.006, respectively). </t>
    </r>
    <r>
      <rPr>
        <b/>
        <sz val="11"/>
        <color theme="1"/>
        <rFont val="Calibri"/>
        <family val="2"/>
        <scheme val="minor"/>
      </rPr>
      <t>2)</t>
    </r>
    <r>
      <rPr>
        <sz val="11"/>
        <color theme="1"/>
        <rFont val="Calibri"/>
        <family val="2"/>
        <scheme val="minor"/>
      </rPr>
      <t xml:space="preserve"> high expression of inhibiting E2F4 or E2F7 predicted favorable disease-free and overall survival (E2F4, P = 0.047 and 0.042, respectively; E2F7, P = 0.048 and 0.042, respectively). </t>
    </r>
    <r>
      <rPr>
        <b/>
        <sz val="11"/>
        <color theme="1"/>
        <rFont val="Calibri"/>
        <family val="2"/>
        <scheme val="minor"/>
      </rPr>
      <t xml:space="preserve">3) </t>
    </r>
    <r>
      <rPr>
        <sz val="11"/>
        <color theme="1"/>
        <rFont val="Calibri"/>
        <family val="2"/>
        <scheme val="minor"/>
      </rPr>
      <t xml:space="preserve">A high E2F2 to E2F4 ratio was the most valuable prognostic variable for disease-free survival in multivariate analysis (hazard ratio, 6.494; P = 0.002). </t>
    </r>
    <r>
      <rPr>
        <b/>
        <sz val="11"/>
        <color theme="1"/>
        <rFont val="Calibri"/>
        <family val="2"/>
        <scheme val="minor"/>
      </rPr>
      <t xml:space="preserve">4) Ovarian </t>
    </r>
    <r>
      <rPr>
        <sz val="11"/>
        <color theme="1"/>
        <rFont val="Calibri"/>
        <family val="2"/>
        <scheme val="minor"/>
      </rPr>
      <t xml:space="preserve">tumors considered </t>
    </r>
    <r>
      <rPr>
        <b/>
        <sz val="11"/>
        <color theme="1"/>
        <rFont val="Calibri"/>
        <family val="2"/>
        <scheme val="minor"/>
      </rPr>
      <t>platinum</t>
    </r>
    <r>
      <rPr>
        <sz val="11"/>
        <color theme="1"/>
        <rFont val="Calibri"/>
        <family val="2"/>
        <scheme val="minor"/>
      </rPr>
      <t xml:space="preserve"> resistant were associated with lower E2F4 and E2F7 expression (P = 0.012 and 0.009, respectively) compared with platinum-sensitive tumors. </t>
    </r>
    <r>
      <rPr>
        <b/>
        <sz val="11"/>
        <color theme="1"/>
        <rFont val="Calibri"/>
        <family val="2"/>
        <scheme val="minor"/>
      </rPr>
      <t xml:space="preserve">5) </t>
    </r>
    <r>
      <rPr>
        <sz val="11"/>
        <color theme="1"/>
        <rFont val="Calibri"/>
        <family val="2"/>
        <scheme val="minor"/>
      </rPr>
      <t xml:space="preserve">ratios of E2F1 or E2F2 to E2F7 were the most favorable variables in predicting </t>
    </r>
    <r>
      <rPr>
        <b/>
        <sz val="11"/>
        <color theme="1"/>
        <rFont val="Calibri"/>
        <family val="2"/>
        <scheme val="minor"/>
      </rPr>
      <t>platinum</t>
    </r>
    <r>
      <rPr>
        <sz val="11"/>
        <color theme="1"/>
        <rFont val="Calibri"/>
        <family val="2"/>
        <scheme val="minor"/>
      </rPr>
      <t xml:space="preserve"> resistance. </t>
    </r>
    <r>
      <rPr>
        <b/>
        <sz val="11"/>
        <color theme="1"/>
        <rFont val="Calibri"/>
        <family val="2"/>
        <scheme val="minor"/>
      </rPr>
      <t xml:space="preserve">6) </t>
    </r>
    <r>
      <rPr>
        <sz val="11"/>
        <color theme="1"/>
        <rFont val="Calibri"/>
        <family val="2"/>
        <scheme val="minor"/>
      </rPr>
      <t xml:space="preserve">miR-136 directly targets E2F1. </t>
    </r>
    <r>
      <rPr>
        <b/>
        <sz val="11"/>
        <color theme="1"/>
        <rFont val="Calibri"/>
        <family val="2"/>
        <scheme val="minor"/>
      </rPr>
      <t xml:space="preserve">7) </t>
    </r>
    <r>
      <rPr>
        <sz val="11"/>
        <color theme="1"/>
        <rFont val="Calibri"/>
        <family val="2"/>
        <scheme val="minor"/>
      </rPr>
      <t xml:space="preserve">the low-level expression of miR-136 is significantly associated with a more aggressive and/or poor prognostic phenotype of patients with </t>
    </r>
    <r>
      <rPr>
        <b/>
        <sz val="11"/>
        <color theme="1"/>
        <rFont val="Calibri"/>
        <family val="2"/>
        <scheme val="minor"/>
      </rPr>
      <t>gliomas</t>
    </r>
    <r>
      <rPr>
        <sz val="11"/>
        <color theme="1"/>
        <rFont val="Calibri"/>
        <family val="2"/>
        <scheme val="minor"/>
      </rPr>
      <t xml:space="preserve">. </t>
    </r>
    <r>
      <rPr>
        <b/>
        <sz val="11"/>
        <color theme="1"/>
        <rFont val="Calibri"/>
        <family val="2"/>
        <scheme val="minor"/>
      </rPr>
      <t>7)</t>
    </r>
    <r>
      <rPr>
        <sz val="11"/>
        <color theme="1"/>
        <rFont val="Calibri"/>
        <family val="2"/>
        <scheme val="minor"/>
      </rPr>
      <t xml:space="preserve"> Both gain- and loss-of-function experiments showed that miR-136 expression can reverse</t>
    </r>
    <r>
      <rPr>
        <b/>
        <sz val="11"/>
        <color theme="1"/>
        <rFont val="Calibri"/>
        <family val="2"/>
        <scheme val="minor"/>
      </rPr>
      <t xml:space="preserve"> cisplatin</t>
    </r>
    <r>
      <rPr>
        <sz val="11"/>
        <color theme="1"/>
        <rFont val="Calibri"/>
        <family val="2"/>
        <scheme val="minor"/>
      </rPr>
      <t xml:space="preserve"> resistance and enhance the response to cisplatin treatment. </t>
    </r>
    <r>
      <rPr>
        <b/>
        <sz val="11"/>
        <color theme="1"/>
        <rFont val="Calibri"/>
        <family val="2"/>
        <scheme val="minor"/>
      </rPr>
      <t>8)</t>
    </r>
    <r>
      <rPr>
        <sz val="11"/>
        <color theme="1"/>
        <rFont val="Calibri"/>
        <family val="2"/>
        <scheme val="minor"/>
      </rPr>
      <t xml:space="preserve"> Depletion of E2F1 recapitulated the tumor-suppressive functions of miR-136, whereas re-expression of E2F1 attenuated the function of miR-136 in glioma cells. </t>
    </r>
    <r>
      <rPr>
        <b/>
        <sz val="11"/>
        <color theme="1"/>
        <rFont val="Calibri"/>
        <family val="2"/>
        <scheme val="minor"/>
      </rPr>
      <t xml:space="preserve">9) </t>
    </r>
    <r>
      <rPr>
        <sz val="11"/>
        <color theme="1"/>
        <rFont val="Calibri"/>
        <family val="2"/>
        <scheme val="minor"/>
      </rPr>
      <t xml:space="preserve">miR-136 is inversely correlated with E2F1 expression in human glioma samples. </t>
    </r>
  </si>
  <si>
    <r>
      <rPr>
        <b/>
        <sz val="11"/>
        <color theme="1"/>
        <rFont val="Calibri"/>
        <family val="2"/>
        <scheme val="minor"/>
      </rPr>
      <t xml:space="preserve">1) </t>
    </r>
    <r>
      <rPr>
        <sz val="11"/>
        <color theme="1"/>
        <rFont val="Calibri"/>
        <family val="2"/>
        <scheme val="minor"/>
      </rPr>
      <t xml:space="preserve">miR-26a was downregulated in </t>
    </r>
    <r>
      <rPr>
        <b/>
        <sz val="11"/>
        <color theme="1"/>
        <rFont val="Calibri"/>
        <family val="2"/>
        <scheme val="minor"/>
      </rPr>
      <t>cisplatin</t>
    </r>
    <r>
      <rPr>
        <sz val="11"/>
        <color theme="1"/>
        <rFont val="Calibri"/>
        <family val="2"/>
        <scheme val="minor"/>
      </rPr>
      <t xml:space="preserve">-resistant </t>
    </r>
    <r>
      <rPr>
        <b/>
        <sz val="11"/>
        <color theme="1"/>
        <rFont val="Calibri"/>
        <family val="2"/>
        <scheme val="minor"/>
      </rPr>
      <t>gastric</t>
    </r>
    <r>
      <rPr>
        <sz val="11"/>
        <color theme="1"/>
        <rFont val="Calibri"/>
        <family val="2"/>
        <scheme val="minor"/>
      </rPr>
      <t xml:space="preserve"> cancer SGC-7901/DDP cells compared with SGC-7901 cells.</t>
    </r>
    <r>
      <rPr>
        <b/>
        <sz val="11"/>
        <color theme="1"/>
        <rFont val="Calibri"/>
        <family val="2"/>
        <scheme val="minor"/>
      </rPr>
      <t xml:space="preserve"> 2) </t>
    </r>
    <r>
      <rPr>
        <sz val="11"/>
        <color theme="1"/>
        <rFont val="Calibri"/>
        <family val="2"/>
        <scheme val="minor"/>
      </rPr>
      <t xml:space="preserve">miR-26a has target sites in the 3'-UTR of NRAS and </t>
    </r>
    <r>
      <rPr>
        <b/>
        <sz val="11"/>
        <color theme="1"/>
        <rFont val="Calibri"/>
        <family val="2"/>
        <scheme val="minor"/>
      </rPr>
      <t>E2F2</t>
    </r>
    <r>
      <rPr>
        <sz val="11"/>
        <color theme="1"/>
        <rFont val="Calibri"/>
        <family val="2"/>
        <scheme val="minor"/>
      </rPr>
      <t xml:space="preserve">. </t>
    </r>
    <r>
      <rPr>
        <b/>
        <sz val="11"/>
        <color theme="1"/>
        <rFont val="Calibri"/>
        <family val="2"/>
        <scheme val="minor"/>
      </rPr>
      <t>3)</t>
    </r>
    <r>
      <rPr>
        <sz val="11"/>
        <color theme="1"/>
        <rFont val="Calibri"/>
        <family val="2"/>
        <scheme val="minor"/>
      </rPr>
      <t xml:space="preserve"> knockdown of NRAS or E2F2 sensitize GC cells to cisplatin. </t>
    </r>
    <r>
      <rPr>
        <b/>
        <sz val="11"/>
        <color theme="1"/>
        <rFont val="Calibri"/>
        <family val="2"/>
        <scheme val="minor"/>
      </rPr>
      <t xml:space="preserve">3) </t>
    </r>
    <r>
      <rPr>
        <sz val="11"/>
        <color theme="1"/>
        <rFont val="Calibri"/>
        <family val="2"/>
        <scheme val="minor"/>
      </rPr>
      <t xml:space="preserve">As E2F1. </t>
    </r>
  </si>
  <si>
    <r>
      <t xml:space="preserve">1) As E2F1. </t>
    </r>
    <r>
      <rPr>
        <b/>
        <sz val="11"/>
        <color theme="1"/>
        <rFont val="Calibri"/>
        <family val="2"/>
        <scheme val="minor"/>
      </rPr>
      <t>2)</t>
    </r>
    <r>
      <rPr>
        <sz val="11"/>
        <color theme="1"/>
        <rFont val="Calibri"/>
        <family val="2"/>
        <scheme val="minor"/>
      </rPr>
      <t xml:space="preserve"> E2F4 levels are diminished following treatment with cyclin dependent kinase inhibitors (flavopiridol, roscovitine and BMS-387032) or with DNA damaging drugs (</t>
    </r>
    <r>
      <rPr>
        <b/>
        <sz val="11"/>
        <color theme="1"/>
        <rFont val="Calibri"/>
        <family val="2"/>
        <scheme val="minor"/>
      </rPr>
      <t>cisplatin</t>
    </r>
    <r>
      <rPr>
        <sz val="11"/>
        <color theme="1"/>
        <rFont val="Calibri"/>
        <family val="2"/>
        <scheme val="minor"/>
      </rPr>
      <t xml:space="preserve"> and VP16). In contrast, each of these drugs induced E2F1. </t>
    </r>
  </si>
  <si>
    <r>
      <t>transcription repressor</t>
    </r>
    <r>
      <rPr>
        <b/>
        <sz val="11"/>
        <color theme="1"/>
        <rFont val="Calibri"/>
        <family val="2"/>
        <scheme val="minor"/>
      </rPr>
      <t xml:space="preserve"> </t>
    </r>
    <r>
      <rPr>
        <sz val="11"/>
        <color theme="1"/>
        <rFont val="Calibri"/>
        <family val="2"/>
        <scheme val="minor"/>
      </rPr>
      <t xml:space="preserve">whose levels are induced by DNA damage. Its repression targets include CDC6 and MCM2—as well as HR proteins, including RAD51 and BRCA1. </t>
    </r>
  </si>
  <si>
    <r>
      <rPr>
        <b/>
        <sz val="11"/>
        <color theme="1"/>
        <rFont val="Calibri"/>
        <family val="2"/>
        <scheme val="minor"/>
      </rPr>
      <t xml:space="preserve">1) </t>
    </r>
    <r>
      <rPr>
        <sz val="11"/>
        <color theme="1"/>
        <rFont val="Calibri"/>
        <family val="2"/>
        <scheme val="minor"/>
      </rPr>
      <t xml:space="preserve">Tumors considered </t>
    </r>
    <r>
      <rPr>
        <b/>
        <sz val="11"/>
        <color theme="1"/>
        <rFont val="Calibri"/>
        <family val="2"/>
        <scheme val="minor"/>
      </rPr>
      <t>platinum</t>
    </r>
    <r>
      <rPr>
        <sz val="11"/>
        <color theme="1"/>
        <rFont val="Calibri"/>
        <family val="2"/>
        <scheme val="minor"/>
      </rPr>
      <t xml:space="preserve"> resistant were associated with lower E2F4 and E2F7 expression (P = 0.012 and 0.009, respectively) compared with platinum-sensitive tumors. </t>
    </r>
    <r>
      <rPr>
        <b/>
        <sz val="11"/>
        <color theme="1"/>
        <rFont val="Calibri"/>
        <family val="2"/>
        <scheme val="minor"/>
      </rPr>
      <t xml:space="preserve">2) </t>
    </r>
    <r>
      <rPr>
        <sz val="11"/>
        <color theme="1"/>
        <rFont val="Calibri"/>
        <family val="2"/>
        <scheme val="minor"/>
      </rPr>
      <t xml:space="preserve">down-regulation of E2F7 may contribute to mechanisms underlying platinum resistance, and calculation of ratios of proliferation-promoting E2F1 to E2F7 could serve as a putative predictor of platinum resistance. </t>
    </r>
    <r>
      <rPr>
        <b/>
        <sz val="11"/>
        <color theme="1"/>
        <rFont val="Calibri"/>
        <family val="2"/>
        <scheme val="minor"/>
      </rPr>
      <t xml:space="preserve">3) </t>
    </r>
    <r>
      <rPr>
        <sz val="11"/>
        <color theme="1"/>
        <rFont val="Calibri"/>
        <family val="2"/>
        <scheme val="minor"/>
      </rPr>
      <t xml:space="preserve">BRCA2-deficient cells are less sensitive to PARP inhibitor and cisplatin treatment after E2F7 depletion. </t>
    </r>
    <r>
      <rPr>
        <b/>
        <sz val="11"/>
        <color theme="1"/>
        <rFont val="Calibri"/>
        <family val="2"/>
        <scheme val="minor"/>
      </rPr>
      <t xml:space="preserve">4) </t>
    </r>
    <r>
      <rPr>
        <sz val="11"/>
        <color theme="1"/>
        <rFont val="Calibri"/>
        <family val="2"/>
        <scheme val="minor"/>
      </rPr>
      <t xml:space="preserve">the mechanism underlying this activity involves increased expression of RAD51, a target for E2F7-mediated transcriptional repression. </t>
    </r>
  </si>
  <si>
    <r>
      <rPr>
        <b/>
        <sz val="11"/>
        <color theme="1"/>
        <rFont val="Calibri"/>
        <family val="2"/>
        <scheme val="minor"/>
      </rPr>
      <t>1)</t>
    </r>
    <r>
      <rPr>
        <sz val="11"/>
        <color theme="1"/>
        <rFont val="Calibri"/>
        <family val="2"/>
        <scheme val="minor"/>
      </rPr>
      <t xml:space="preserve"> As EGFR. </t>
    </r>
    <r>
      <rPr>
        <b/>
        <sz val="11"/>
        <color theme="1"/>
        <rFont val="Calibri"/>
        <family val="2"/>
        <scheme val="minor"/>
      </rPr>
      <t>2)</t>
    </r>
    <r>
      <rPr>
        <sz val="11"/>
        <color theme="1"/>
        <rFont val="Calibri"/>
        <family val="2"/>
        <scheme val="minor"/>
      </rPr>
      <t xml:space="preserve"> EGF enhances cisplatin-induced cell death by activating an apoptotic pathway that is independent of caspase 3. </t>
    </r>
  </si>
  <si>
    <r>
      <rPr>
        <b/>
        <sz val="11"/>
        <color theme="1"/>
        <rFont val="Calibri"/>
        <family val="2"/>
        <scheme val="minor"/>
      </rPr>
      <t xml:space="preserve">1) </t>
    </r>
    <r>
      <rPr>
        <sz val="11"/>
        <color theme="1"/>
        <rFont val="Calibri"/>
        <family val="2"/>
        <scheme val="minor"/>
      </rPr>
      <t xml:space="preserve">Acute </t>
    </r>
    <r>
      <rPr>
        <b/>
        <sz val="11"/>
        <color theme="1"/>
        <rFont val="Calibri"/>
        <family val="2"/>
        <scheme val="minor"/>
      </rPr>
      <t>cisplatin</t>
    </r>
    <r>
      <rPr>
        <sz val="11"/>
        <color theme="1"/>
        <rFont val="Calibri"/>
        <family val="2"/>
        <scheme val="minor"/>
      </rPr>
      <t xml:space="preserve"> treatment activates the EGFR and downstream signaling pathways, and induces an EGFR mediated increase in DNMT activity. </t>
    </r>
    <r>
      <rPr>
        <b/>
        <sz val="11"/>
        <color theme="1"/>
        <rFont val="Calibri"/>
        <family val="2"/>
        <scheme val="minor"/>
      </rPr>
      <t xml:space="preserve">2) </t>
    </r>
    <r>
      <rPr>
        <sz val="11"/>
        <color theme="1"/>
        <rFont val="Calibri"/>
        <family val="2"/>
        <scheme val="minor"/>
      </rPr>
      <t xml:space="preserve">Cisplatin resistant cells also showed increased DNMT activity and global methylation. </t>
    </r>
    <r>
      <rPr>
        <b/>
        <sz val="11"/>
        <color theme="1"/>
        <rFont val="Calibri"/>
        <family val="2"/>
        <scheme val="minor"/>
      </rPr>
      <t xml:space="preserve">3) </t>
    </r>
    <r>
      <rPr>
        <sz val="11"/>
        <color theme="1"/>
        <rFont val="Calibri"/>
        <family val="2"/>
        <scheme val="minor"/>
      </rPr>
      <t>EGFR inhibition during repeated cisplatin treatments generated cells that were more sensitive to cisplatin and did not develop increases in DNA methylation or DNMT activity compared to controls.</t>
    </r>
    <r>
      <rPr>
        <b/>
        <sz val="11"/>
        <color theme="1"/>
        <rFont val="Calibri"/>
        <family val="2"/>
        <scheme val="minor"/>
      </rPr>
      <t xml:space="preserve"> 4) </t>
    </r>
    <r>
      <rPr>
        <sz val="11"/>
        <color theme="1"/>
        <rFont val="Calibri"/>
        <family val="2"/>
        <scheme val="minor"/>
      </rPr>
      <t xml:space="preserve">Of 1,065 </t>
    </r>
    <r>
      <rPr>
        <b/>
        <sz val="11"/>
        <color theme="1"/>
        <rFont val="Calibri"/>
        <family val="2"/>
        <scheme val="minor"/>
      </rPr>
      <t>gastric carcinoma</t>
    </r>
    <r>
      <rPr>
        <sz val="11"/>
        <color theme="1"/>
        <rFont val="Calibri"/>
        <family val="2"/>
        <scheme val="minor"/>
      </rPr>
      <t xml:space="preserve"> samples, higher expression of EGFR (HR = 1.86, p = 8.5E-11) were predictive for poor OS. 5) The EGFR was found to act as a strong prognostic indicator in head and neck, </t>
    </r>
    <r>
      <rPr>
        <b/>
        <sz val="11"/>
        <color theme="1"/>
        <rFont val="Calibri"/>
        <family val="2"/>
        <scheme val="minor"/>
      </rPr>
      <t>ovarian</t>
    </r>
    <r>
      <rPr>
        <sz val="11"/>
        <color theme="1"/>
        <rFont val="Calibri"/>
        <family val="2"/>
        <scheme val="minor"/>
      </rPr>
      <t xml:space="preserve">, cervical, bladder and oesophageal cancers. In these cancers, increased EGFR expression was associated with reduced recurrence-free or overall survival rates in 70% (52/74) of studies. </t>
    </r>
  </si>
  <si>
    <r>
      <rPr>
        <b/>
        <sz val="11"/>
        <color theme="1"/>
        <rFont val="Calibri"/>
        <family val="2"/>
        <scheme val="minor"/>
      </rPr>
      <t>1)</t>
    </r>
    <r>
      <rPr>
        <sz val="11"/>
        <color theme="1"/>
        <rFont val="Calibri"/>
        <family val="2"/>
        <scheme val="minor"/>
      </rPr>
      <t> </t>
    </r>
    <r>
      <rPr>
        <b/>
        <sz val="11"/>
        <color theme="1"/>
        <rFont val="Calibri"/>
        <family val="2"/>
        <scheme val="minor"/>
      </rPr>
      <t>PHD2</t>
    </r>
    <r>
      <rPr>
        <sz val="11"/>
        <color theme="1"/>
        <rFont val="Calibri"/>
        <family val="2"/>
        <scheme val="minor"/>
      </rPr>
      <t xml:space="preserve"> was shown to be a direct substrate of </t>
    </r>
    <r>
      <rPr>
        <b/>
        <sz val="11"/>
        <color theme="1"/>
        <rFont val="Calibri"/>
        <family val="2"/>
        <scheme val="minor"/>
      </rPr>
      <t>ERK</t>
    </r>
    <r>
      <rPr>
        <sz val="11"/>
        <color theme="1"/>
        <rFont val="Calibri"/>
        <family val="2"/>
        <scheme val="minor"/>
      </rPr>
      <t xml:space="preserve">; Phosphorylation of PHD2 by ERK prevents its binding to </t>
    </r>
    <r>
      <rPr>
        <b/>
        <sz val="11"/>
        <color theme="1"/>
        <rFont val="Calibri"/>
        <family val="2"/>
        <scheme val="minor"/>
      </rPr>
      <t>HIF1α</t>
    </r>
    <r>
      <rPr>
        <sz val="11"/>
        <color theme="1"/>
        <rFont val="Calibri"/>
        <family val="2"/>
        <scheme val="minor"/>
      </rPr>
      <t xml:space="preserve">, thus inhibiting HIF1α hydroxylation and degradation-increasing HIF1α stability. </t>
    </r>
    <r>
      <rPr>
        <b/>
        <sz val="11"/>
        <color theme="1"/>
        <rFont val="Calibri"/>
        <family val="2"/>
        <scheme val="minor"/>
      </rPr>
      <t xml:space="preserve">2) </t>
    </r>
    <r>
      <rPr>
        <sz val="11"/>
        <color theme="1"/>
        <rFont val="Calibri"/>
        <family val="2"/>
        <scheme val="minor"/>
      </rPr>
      <t xml:space="preserve">ERK/PHD2 signaling in </t>
    </r>
    <r>
      <rPr>
        <b/>
        <sz val="11"/>
        <color theme="1"/>
        <rFont val="Calibri"/>
        <family val="2"/>
        <scheme val="minor"/>
      </rPr>
      <t>Platinum</t>
    </r>
    <r>
      <rPr>
        <sz val="11"/>
        <color theme="1"/>
        <rFont val="Calibri"/>
        <family val="2"/>
        <scheme val="minor"/>
      </rPr>
      <t xml:space="preserve"> resistant </t>
    </r>
    <r>
      <rPr>
        <b/>
        <sz val="11"/>
        <color theme="1"/>
        <rFont val="Calibri"/>
        <family val="2"/>
        <scheme val="minor"/>
      </rPr>
      <t xml:space="preserve">ovarian </t>
    </r>
    <r>
      <rPr>
        <sz val="11"/>
        <color theme="1"/>
        <rFont val="Calibri"/>
        <family val="2"/>
        <scheme val="minor"/>
      </rPr>
      <t xml:space="preserve">cancer (PROC) cells is dependent on </t>
    </r>
    <r>
      <rPr>
        <b/>
        <sz val="11"/>
        <color theme="1"/>
        <rFont val="Calibri"/>
        <family val="2"/>
        <scheme val="minor"/>
      </rPr>
      <t>TGFβ1</t>
    </r>
    <r>
      <rPr>
        <sz val="11"/>
        <color theme="1"/>
        <rFont val="Calibri"/>
        <family val="2"/>
        <scheme val="minor"/>
      </rPr>
      <t xml:space="preserve">, promoting platinum resistance by stabilizing HIF1α. Inhibition of TGFβ1 by SB431542, ERK by selumetinib, or HIF1α by YC-1 efficiently overcame platinum resistance both in vitro and in vivo. </t>
    </r>
    <r>
      <rPr>
        <b/>
        <sz val="11"/>
        <color theme="1"/>
        <rFont val="Calibri"/>
        <family val="2"/>
        <scheme val="minor"/>
      </rPr>
      <t xml:space="preserve">3) </t>
    </r>
    <r>
      <rPr>
        <sz val="11"/>
        <color theme="1"/>
        <rFont val="Calibri"/>
        <family val="2"/>
        <scheme val="minor"/>
      </rPr>
      <t>Activation of the ERK/PHD2/HIF1α axis in patients with PROC, correlating highly with poor prognoses for patients.</t>
    </r>
  </si>
  <si>
    <r>
      <rPr>
        <b/>
        <sz val="11"/>
        <color theme="1"/>
        <rFont val="Calibri"/>
        <family val="2"/>
        <scheme val="minor"/>
      </rPr>
      <t>1) BIM-EL</t>
    </r>
    <r>
      <rPr>
        <sz val="11"/>
        <color theme="1"/>
        <rFont val="Calibri"/>
        <family val="2"/>
        <scheme val="minor"/>
      </rPr>
      <t xml:space="preserve">, a proapoptotic BH3-only protein, is hydroxylated by </t>
    </r>
    <r>
      <rPr>
        <b/>
        <sz val="11"/>
        <color theme="1"/>
        <rFont val="Calibri"/>
        <family val="2"/>
        <scheme val="minor"/>
      </rPr>
      <t>EglN3</t>
    </r>
    <r>
      <rPr>
        <sz val="11"/>
        <color theme="1"/>
        <rFont val="Calibri"/>
        <family val="2"/>
        <scheme val="minor"/>
      </rPr>
      <t xml:space="preserve"> and subsequently bound by </t>
    </r>
    <r>
      <rPr>
        <b/>
        <sz val="11"/>
        <color theme="1"/>
        <rFont val="Calibri"/>
        <family val="2"/>
        <scheme val="minor"/>
      </rPr>
      <t>VHL</t>
    </r>
    <r>
      <rPr>
        <sz val="11"/>
        <color theme="1"/>
        <rFont val="Calibri"/>
        <family val="2"/>
        <scheme val="minor"/>
      </rPr>
      <t xml:space="preserve">. </t>
    </r>
    <r>
      <rPr>
        <b/>
        <sz val="11"/>
        <color theme="1"/>
        <rFont val="Calibri"/>
        <family val="2"/>
        <scheme val="minor"/>
      </rPr>
      <t>2) VHL</t>
    </r>
    <r>
      <rPr>
        <sz val="11"/>
        <color theme="1"/>
        <rFont val="Calibri"/>
        <family val="2"/>
        <scheme val="minor"/>
      </rPr>
      <t xml:space="preserve"> mutants fail to bind hydroxylated </t>
    </r>
    <r>
      <rPr>
        <b/>
        <sz val="11"/>
        <color theme="1"/>
        <rFont val="Calibri"/>
        <family val="2"/>
        <scheme val="minor"/>
      </rPr>
      <t>BIM-EL</t>
    </r>
    <r>
      <rPr>
        <sz val="11"/>
        <color theme="1"/>
        <rFont val="Calibri"/>
        <family val="2"/>
        <scheme val="minor"/>
      </rPr>
      <t xml:space="preserve">, regardless of whether they have the ability to bind hydroxylated </t>
    </r>
    <r>
      <rPr>
        <b/>
        <sz val="11"/>
        <color theme="1"/>
        <rFont val="Calibri"/>
        <family val="2"/>
        <scheme val="minor"/>
      </rPr>
      <t>HIFα</t>
    </r>
    <r>
      <rPr>
        <sz val="11"/>
        <color theme="1"/>
        <rFont val="Calibri"/>
        <family val="2"/>
        <scheme val="minor"/>
      </rPr>
      <t xml:space="preserve"> or not.</t>
    </r>
    <r>
      <rPr>
        <b/>
        <sz val="11"/>
        <color theme="1"/>
        <rFont val="Calibri"/>
        <family val="2"/>
        <scheme val="minor"/>
      </rPr>
      <t xml:space="preserve"> 3) VHL</t>
    </r>
    <r>
      <rPr>
        <sz val="11"/>
        <color theme="1"/>
        <rFont val="Calibri"/>
        <family val="2"/>
        <scheme val="minor"/>
      </rPr>
      <t xml:space="preserve"> binding inhibits </t>
    </r>
    <r>
      <rPr>
        <b/>
        <sz val="11"/>
        <color theme="1"/>
        <rFont val="Calibri"/>
        <family val="2"/>
        <scheme val="minor"/>
      </rPr>
      <t>BIM-EL</t>
    </r>
    <r>
      <rPr>
        <sz val="11"/>
        <color theme="1"/>
        <rFont val="Calibri"/>
        <family val="2"/>
        <scheme val="minor"/>
      </rPr>
      <t xml:space="preserve"> phosphorylation by </t>
    </r>
    <r>
      <rPr>
        <b/>
        <sz val="11"/>
        <color theme="1"/>
        <rFont val="Calibri"/>
        <family val="2"/>
        <scheme val="minor"/>
      </rPr>
      <t>ERK</t>
    </r>
    <r>
      <rPr>
        <sz val="11"/>
        <color theme="1"/>
        <rFont val="Calibri"/>
        <family val="2"/>
        <scheme val="minor"/>
      </rPr>
      <t xml:space="preserve"> on serine 69. This causes </t>
    </r>
    <r>
      <rPr>
        <b/>
        <sz val="11"/>
        <color theme="1"/>
        <rFont val="Calibri"/>
        <family val="2"/>
        <scheme val="minor"/>
      </rPr>
      <t>BIM-EL</t>
    </r>
    <r>
      <rPr>
        <sz val="11"/>
        <color theme="1"/>
        <rFont val="Calibri"/>
        <family val="2"/>
        <scheme val="minor"/>
      </rPr>
      <t xml:space="preserve"> to escape from proteasomal degradation, allowing it to enhance </t>
    </r>
    <r>
      <rPr>
        <b/>
        <sz val="11"/>
        <color theme="1"/>
        <rFont val="Calibri"/>
        <family val="2"/>
        <scheme val="minor"/>
      </rPr>
      <t>EglN3</t>
    </r>
    <r>
      <rPr>
        <sz val="11"/>
        <color theme="1"/>
        <rFont val="Calibri"/>
        <family val="2"/>
        <scheme val="minor"/>
      </rPr>
      <t xml:space="preserve">-induced apoptosis. </t>
    </r>
    <r>
      <rPr>
        <b/>
        <sz val="11"/>
        <color theme="1"/>
        <rFont val="Calibri"/>
        <family val="2"/>
        <scheme val="minor"/>
      </rPr>
      <t>4) BIM-EL</t>
    </r>
    <r>
      <rPr>
        <sz val="11"/>
        <color theme="1"/>
        <rFont val="Calibri"/>
        <family val="2"/>
        <scheme val="minor"/>
      </rPr>
      <t xml:space="preserve"> was rapidly degraded in cells lacking wild-type</t>
    </r>
    <r>
      <rPr>
        <b/>
        <sz val="11"/>
        <color theme="1"/>
        <rFont val="Calibri"/>
        <family val="2"/>
        <scheme val="minor"/>
      </rPr>
      <t xml:space="preserve"> VHL </t>
    </r>
    <r>
      <rPr>
        <sz val="11"/>
        <color theme="1"/>
        <rFont val="Calibri"/>
        <family val="2"/>
        <scheme val="minor"/>
      </rPr>
      <t xml:space="preserve">or in which </t>
    </r>
    <r>
      <rPr>
        <b/>
        <sz val="11"/>
        <color theme="1"/>
        <rFont val="Calibri"/>
        <family val="2"/>
        <scheme val="minor"/>
      </rPr>
      <t>EglN3</t>
    </r>
    <r>
      <rPr>
        <sz val="11"/>
        <color theme="1"/>
        <rFont val="Calibri"/>
        <family val="2"/>
        <scheme val="minor"/>
      </rPr>
      <t xml:space="preserve"> was inactivated genetically or by lack of oxygen, leading to enhanced cell survival and chemotherapy resistance. </t>
    </r>
    <r>
      <rPr>
        <b/>
        <sz val="11"/>
        <color theme="1"/>
        <rFont val="Calibri"/>
        <family val="2"/>
        <scheme val="minor"/>
      </rPr>
      <t>5)</t>
    </r>
    <r>
      <rPr>
        <sz val="11"/>
        <color theme="1"/>
        <rFont val="Calibri"/>
        <family val="2"/>
        <scheme val="minor"/>
      </rPr>
      <t xml:space="preserve"> Combination therapy using </t>
    </r>
    <r>
      <rPr>
        <b/>
        <sz val="11"/>
        <color theme="1"/>
        <rFont val="Calibri"/>
        <family val="2"/>
        <scheme val="minor"/>
      </rPr>
      <t>ERK</t>
    </r>
    <r>
      <rPr>
        <sz val="11"/>
        <color theme="1"/>
        <rFont val="Calibri"/>
        <family val="2"/>
        <scheme val="minor"/>
      </rPr>
      <t xml:space="preserve"> inhibitors, however, resensitizes </t>
    </r>
    <r>
      <rPr>
        <b/>
        <sz val="11"/>
        <color theme="1"/>
        <rFont val="Calibri"/>
        <family val="2"/>
        <scheme val="minor"/>
      </rPr>
      <t>VHL</t>
    </r>
    <r>
      <rPr>
        <sz val="11"/>
        <color theme="1"/>
        <rFont val="Calibri"/>
        <family val="2"/>
        <scheme val="minor"/>
      </rPr>
      <t xml:space="preserve">- and </t>
    </r>
    <r>
      <rPr>
        <b/>
        <sz val="11"/>
        <color theme="1"/>
        <rFont val="Calibri"/>
        <family val="2"/>
        <scheme val="minor"/>
      </rPr>
      <t>EglN3</t>
    </r>
    <r>
      <rPr>
        <sz val="11"/>
        <color theme="1"/>
        <rFont val="Calibri"/>
        <family val="2"/>
        <scheme val="minor"/>
      </rPr>
      <t xml:space="preserve">-deficient cells that are otherwise </t>
    </r>
    <r>
      <rPr>
        <b/>
        <sz val="11"/>
        <color theme="1"/>
        <rFont val="Calibri"/>
        <family val="2"/>
        <scheme val="minor"/>
      </rPr>
      <t>cisplatin</t>
    </r>
    <r>
      <rPr>
        <sz val="11"/>
        <color theme="1"/>
        <rFont val="Calibri"/>
        <family val="2"/>
        <scheme val="minor"/>
      </rPr>
      <t>-resistant.</t>
    </r>
  </si>
  <si>
    <r>
      <rPr>
        <b/>
        <sz val="11"/>
        <color theme="1"/>
        <rFont val="Calibri"/>
        <family val="2"/>
        <scheme val="minor"/>
      </rPr>
      <t>1) MIR152</t>
    </r>
    <r>
      <rPr>
        <sz val="11"/>
        <color theme="1"/>
        <rFont val="Calibri"/>
        <family val="2"/>
        <scheme val="minor"/>
      </rPr>
      <t xml:space="preserve"> expression was dramatically downregulated in the </t>
    </r>
    <r>
      <rPr>
        <b/>
        <sz val="11"/>
        <color theme="1"/>
        <rFont val="Calibri"/>
        <family val="2"/>
        <scheme val="minor"/>
      </rPr>
      <t>cisplatin</t>
    </r>
    <r>
      <rPr>
        <sz val="11"/>
        <color theme="1"/>
        <rFont val="Calibri"/>
        <family val="2"/>
        <scheme val="minor"/>
      </rPr>
      <t xml:space="preserve">-resistant cell lines A2780/CP70, SKOV3/DDP compared with their respective parental cells, </t>
    </r>
    <r>
      <rPr>
        <b/>
        <sz val="11"/>
        <color theme="1"/>
        <rFont val="Calibri"/>
        <family val="2"/>
        <scheme val="minor"/>
      </rPr>
      <t xml:space="preserve">2) </t>
    </r>
    <r>
      <rPr>
        <sz val="11"/>
        <color theme="1"/>
        <rFont val="Calibri"/>
        <family val="2"/>
        <scheme val="minor"/>
      </rPr>
      <t xml:space="preserve">and in </t>
    </r>
    <r>
      <rPr>
        <b/>
        <sz val="11"/>
        <color theme="1"/>
        <rFont val="Calibri"/>
        <family val="2"/>
        <scheme val="minor"/>
      </rPr>
      <t>ovarian</t>
    </r>
    <r>
      <rPr>
        <sz val="11"/>
        <color theme="1"/>
        <rFont val="Calibri"/>
        <family val="2"/>
        <scheme val="minor"/>
      </rPr>
      <t xml:space="preserve"> cancer tissues associated with cisplatin-resistance. </t>
    </r>
    <r>
      <rPr>
        <b/>
        <sz val="11"/>
        <color theme="1"/>
        <rFont val="Calibri"/>
        <family val="2"/>
        <scheme val="minor"/>
      </rPr>
      <t xml:space="preserve">3) </t>
    </r>
    <r>
      <rPr>
        <sz val="11"/>
        <color theme="1"/>
        <rFont val="Calibri"/>
        <family val="2"/>
        <scheme val="minor"/>
      </rPr>
      <t xml:space="preserve">Overexpression of </t>
    </r>
    <r>
      <rPr>
        <b/>
        <sz val="11"/>
        <color theme="1"/>
        <rFont val="Calibri"/>
        <family val="2"/>
        <scheme val="minor"/>
      </rPr>
      <t>MIR152</t>
    </r>
    <r>
      <rPr>
        <sz val="11"/>
        <color theme="1"/>
        <rFont val="Calibri"/>
        <family val="2"/>
        <scheme val="minor"/>
      </rPr>
      <t xml:space="preserve"> sensitized cisplatin-resistant ovarian cancer cells by reducing cisplatin-induced autophagy. </t>
    </r>
    <r>
      <rPr>
        <b/>
        <sz val="11"/>
        <color theme="1"/>
        <rFont val="Calibri"/>
        <family val="2"/>
        <scheme val="minor"/>
      </rPr>
      <t>4)</t>
    </r>
    <r>
      <rPr>
        <sz val="11"/>
        <color theme="1"/>
        <rFont val="Calibri"/>
        <family val="2"/>
        <scheme val="minor"/>
      </rPr>
      <t xml:space="preserve"> A mouse subcutaneous xenograft tumor model using A2780/CP70 cells with overexpressing </t>
    </r>
    <r>
      <rPr>
        <b/>
        <sz val="11"/>
        <color theme="1"/>
        <rFont val="Calibri"/>
        <family val="2"/>
        <scheme val="minor"/>
      </rPr>
      <t>MIR152</t>
    </r>
    <r>
      <rPr>
        <sz val="11"/>
        <color theme="1"/>
        <rFont val="Calibri"/>
        <family val="2"/>
        <scheme val="minor"/>
      </rPr>
      <t xml:space="preserve"> was established and displayed decreased tumor growth in response to cisplatin.</t>
    </r>
    <r>
      <rPr>
        <b/>
        <sz val="11"/>
        <color theme="1"/>
        <rFont val="Calibri"/>
        <family val="2"/>
        <scheme val="minor"/>
      </rPr>
      <t xml:space="preserve"> 5) ATG14</t>
    </r>
    <r>
      <rPr>
        <sz val="11"/>
        <color theme="1"/>
        <rFont val="Calibri"/>
        <family val="2"/>
        <scheme val="minor"/>
      </rPr>
      <t xml:space="preserve"> is a functional target of MIR152. </t>
    </r>
    <r>
      <rPr>
        <b/>
        <sz val="11"/>
        <color theme="1"/>
        <rFont val="Calibri"/>
        <family val="2"/>
        <scheme val="minor"/>
      </rPr>
      <t>6) EGR1</t>
    </r>
    <r>
      <rPr>
        <sz val="11"/>
        <color theme="1"/>
        <rFont val="Calibri"/>
        <family val="2"/>
        <scheme val="minor"/>
      </rPr>
      <t xml:space="preserve"> regulated the </t>
    </r>
    <r>
      <rPr>
        <b/>
        <sz val="11"/>
        <color theme="1"/>
        <rFont val="Calibri"/>
        <family val="2"/>
        <scheme val="minor"/>
      </rPr>
      <t>MIR152</t>
    </r>
    <r>
      <rPr>
        <sz val="11"/>
        <color theme="1"/>
        <rFont val="Calibri"/>
        <family val="2"/>
        <scheme val="minor"/>
      </rPr>
      <t xml:space="preserve"> gene at the transcriptional level. </t>
    </r>
    <r>
      <rPr>
        <b/>
        <sz val="11"/>
        <color theme="1"/>
        <rFont val="Calibri"/>
        <family val="2"/>
        <scheme val="minor"/>
      </rPr>
      <t xml:space="preserve">7) </t>
    </r>
    <r>
      <rPr>
        <sz val="11"/>
        <color theme="1"/>
        <rFont val="Calibri"/>
        <family val="2"/>
        <scheme val="minor"/>
      </rPr>
      <t xml:space="preserve">Ectopic expression of </t>
    </r>
    <r>
      <rPr>
        <b/>
        <sz val="11"/>
        <color theme="1"/>
        <rFont val="Calibri"/>
        <family val="2"/>
        <scheme val="minor"/>
      </rPr>
      <t xml:space="preserve">EGR1 </t>
    </r>
    <r>
      <rPr>
        <sz val="11"/>
        <color theme="1"/>
        <rFont val="Calibri"/>
        <family val="2"/>
        <scheme val="minor"/>
      </rPr>
      <t xml:space="preserve">enhanced efficacy of chemotherapy in A2780/CP70 cells. </t>
    </r>
    <r>
      <rPr>
        <b/>
        <sz val="11"/>
        <color theme="1"/>
        <rFont val="Calibri"/>
        <family val="2"/>
        <scheme val="minor"/>
      </rPr>
      <t xml:space="preserve">8) </t>
    </r>
    <r>
      <rPr>
        <sz val="11"/>
        <color theme="1"/>
        <rFont val="Calibri"/>
        <family val="2"/>
        <scheme val="minor"/>
      </rPr>
      <t xml:space="preserve">Both </t>
    </r>
    <r>
      <rPr>
        <b/>
        <sz val="11"/>
        <color theme="1"/>
        <rFont val="Calibri"/>
        <family val="2"/>
        <scheme val="minor"/>
      </rPr>
      <t>EGR1</t>
    </r>
    <r>
      <rPr>
        <sz val="11"/>
        <color theme="1"/>
        <rFont val="Calibri"/>
        <family val="2"/>
        <scheme val="minor"/>
      </rPr>
      <t xml:space="preserve"> and MIR152 expression levels were significantly lower in ovarian cancer tissues with high levels of </t>
    </r>
    <r>
      <rPr>
        <b/>
        <sz val="11"/>
        <color theme="1"/>
        <rFont val="Calibri"/>
        <family val="2"/>
        <scheme val="minor"/>
      </rPr>
      <t>ERCC1</t>
    </r>
    <r>
      <rPr>
        <sz val="11"/>
        <color theme="1"/>
        <rFont val="Calibri"/>
        <family val="2"/>
        <scheme val="minor"/>
      </rPr>
      <t xml:space="preserve">, a marker for cisplatin-resistance. </t>
    </r>
  </si>
  <si>
    <r>
      <rPr>
        <b/>
        <sz val="11"/>
        <color theme="1"/>
        <rFont val="Calibri"/>
        <family val="2"/>
        <scheme val="minor"/>
      </rPr>
      <t xml:space="preserve">1) </t>
    </r>
    <r>
      <rPr>
        <sz val="11"/>
        <color theme="1"/>
        <rFont val="Calibri"/>
        <family val="2"/>
        <scheme val="minor"/>
      </rPr>
      <t xml:space="preserve">The immunohistochemistry assay showed that </t>
    </r>
    <r>
      <rPr>
        <b/>
        <sz val="11"/>
        <color theme="1"/>
        <rFont val="Calibri"/>
        <family val="2"/>
        <scheme val="minor"/>
      </rPr>
      <t>adjuvant chemotherapy</t>
    </r>
    <r>
      <rPr>
        <sz val="11"/>
        <color theme="1"/>
        <rFont val="Calibri"/>
        <family val="2"/>
        <scheme val="minor"/>
      </rPr>
      <t xml:space="preserve">-treated </t>
    </r>
    <r>
      <rPr>
        <b/>
        <sz val="11"/>
        <color theme="1"/>
        <rFont val="Calibri"/>
        <family val="2"/>
        <scheme val="minor"/>
      </rPr>
      <t>NSCLC</t>
    </r>
    <r>
      <rPr>
        <sz val="11"/>
        <color theme="1"/>
        <rFont val="Calibri"/>
        <family val="2"/>
        <scheme val="minor"/>
      </rPr>
      <t xml:space="preserve"> patients expressing </t>
    </r>
    <r>
      <rPr>
        <b/>
        <sz val="11"/>
        <color theme="1"/>
        <rFont val="Calibri"/>
        <family val="2"/>
        <scheme val="minor"/>
      </rPr>
      <t>EHD1</t>
    </r>
    <r>
      <rPr>
        <sz val="11"/>
        <color theme="1"/>
        <rFont val="Calibri"/>
        <family val="2"/>
        <scheme val="minor"/>
      </rPr>
      <t xml:space="preserve"> exhibited reduced OS compared with patients who did not express EHD1 (P = 0.01). </t>
    </r>
    <r>
      <rPr>
        <b/>
        <sz val="11"/>
        <color theme="1"/>
        <rFont val="Calibri"/>
        <family val="2"/>
        <scheme val="minor"/>
      </rPr>
      <t>2)</t>
    </r>
    <r>
      <rPr>
        <sz val="11"/>
        <color theme="1"/>
        <rFont val="Calibri"/>
        <family val="2"/>
        <scheme val="minor"/>
      </rPr>
      <t xml:space="preserve"> EHD1 gene was upregulated in </t>
    </r>
    <r>
      <rPr>
        <b/>
        <sz val="11"/>
        <color theme="1"/>
        <rFont val="Calibri"/>
        <family val="2"/>
        <scheme val="minor"/>
      </rPr>
      <t>CDDP</t>
    </r>
    <r>
      <rPr>
        <sz val="11"/>
        <color theme="1"/>
        <rFont val="Calibri"/>
        <family val="2"/>
        <scheme val="minor"/>
      </rPr>
      <t xml:space="preserve">- resistant NSCLC cells. </t>
    </r>
    <r>
      <rPr>
        <b/>
        <sz val="11"/>
        <color theme="1"/>
        <rFont val="Calibri"/>
        <family val="2"/>
        <scheme val="minor"/>
      </rPr>
      <t xml:space="preserve">3) </t>
    </r>
    <r>
      <rPr>
        <sz val="11"/>
        <color theme="1"/>
        <rFont val="Calibri"/>
        <family val="2"/>
        <scheme val="minor"/>
      </rPr>
      <t xml:space="preserve">the IC50 value of EHD1 knockdown cells was at least 5.2-fold lower than that of the control cells. </t>
    </r>
    <r>
      <rPr>
        <b/>
        <sz val="11"/>
        <color theme="1"/>
        <rFont val="Calibri"/>
        <family val="2"/>
        <scheme val="minor"/>
      </rPr>
      <t xml:space="preserve">4) </t>
    </r>
    <r>
      <rPr>
        <sz val="11"/>
        <color theme="1"/>
        <rFont val="Calibri"/>
        <family val="2"/>
        <scheme val="minor"/>
      </rPr>
      <t>the total platinum level was lower in A549-EHD1 cells than in control cells, and the concentration of CDDP was higher in the EHD1 knockdown cells than in the A549/DDP control cells.</t>
    </r>
  </si>
  <si>
    <r>
      <rPr>
        <b/>
        <sz val="11"/>
        <color theme="1"/>
        <rFont val="Calibri"/>
        <family val="2"/>
        <scheme val="minor"/>
      </rPr>
      <t>1)</t>
    </r>
    <r>
      <rPr>
        <sz val="11"/>
        <color theme="1"/>
        <rFont val="Calibri"/>
        <family val="2"/>
        <scheme val="minor"/>
      </rPr>
      <t xml:space="preserve"> reduction of eIF2α </t>
    </r>
    <r>
      <rPr>
        <b/>
        <sz val="11"/>
        <color theme="1"/>
        <rFont val="Calibri"/>
        <family val="2"/>
        <scheme val="minor"/>
      </rPr>
      <t>phosphorylation</t>
    </r>
    <r>
      <rPr>
        <sz val="11"/>
        <color theme="1"/>
        <rFont val="Calibri"/>
        <family val="2"/>
        <scheme val="minor"/>
      </rPr>
      <t xml:space="preserve"> by </t>
    </r>
    <r>
      <rPr>
        <b/>
        <sz val="11"/>
        <color theme="1"/>
        <rFont val="Calibri"/>
        <family val="2"/>
        <scheme val="minor"/>
      </rPr>
      <t>PERK</t>
    </r>
    <r>
      <rPr>
        <sz val="11"/>
        <color theme="1"/>
        <rFont val="Calibri"/>
        <family val="2"/>
        <scheme val="minor"/>
      </rPr>
      <t xml:space="preserve"> knockdown enhanced </t>
    </r>
    <r>
      <rPr>
        <b/>
        <sz val="11"/>
        <color theme="1"/>
        <rFont val="Calibri"/>
        <family val="2"/>
        <scheme val="minor"/>
      </rPr>
      <t>cisplatin</t>
    </r>
    <r>
      <rPr>
        <sz val="11"/>
        <color theme="1"/>
        <rFont val="Calibri"/>
        <family val="2"/>
        <scheme val="minor"/>
      </rPr>
      <t xml:space="preserve">-induced p53 activation and apoptosis. (in HK-2 human renal proximal tubular cells) </t>
    </r>
    <r>
      <rPr>
        <b/>
        <sz val="11"/>
        <color theme="1"/>
        <rFont val="Calibri"/>
        <family val="2"/>
        <scheme val="minor"/>
      </rPr>
      <t>2)</t>
    </r>
    <r>
      <rPr>
        <sz val="11"/>
        <color theme="1"/>
        <rFont val="Calibri"/>
        <family val="2"/>
        <scheme val="minor"/>
      </rPr>
      <t xml:space="preserve"> ER stress-resistant cells were cross-resistant to multiple chemotherapeutic drugs: such multidrug resistance (MDR) was due to the overexpression of the plasma-membrane transporter MDR related protein 1 (MRP1). </t>
    </r>
    <r>
      <rPr>
        <b/>
        <sz val="11"/>
        <color theme="1"/>
        <rFont val="Calibri"/>
        <family val="2"/>
        <scheme val="minor"/>
      </rPr>
      <t xml:space="preserve">3) </t>
    </r>
    <r>
      <rPr>
        <sz val="11"/>
        <color theme="1"/>
        <rFont val="Calibri"/>
        <family val="2"/>
        <scheme val="minor"/>
      </rPr>
      <t xml:space="preserve">Gene profiling analysis unveiled that cells with acquired resistance to ER stress and chemotherapy share higher expression of the UPR sensor protein kinase </t>
    </r>
    <r>
      <rPr>
        <b/>
        <sz val="11"/>
        <color theme="1"/>
        <rFont val="Calibri"/>
        <family val="2"/>
        <scheme val="minor"/>
      </rPr>
      <t>PERK</t>
    </r>
    <r>
      <rPr>
        <sz val="11"/>
        <color theme="1"/>
        <rFont val="Calibri"/>
        <family val="2"/>
        <scheme val="minor"/>
      </rPr>
      <t xml:space="preserve">, which mediated Nrf2-driven transcription of </t>
    </r>
    <r>
      <rPr>
        <b/>
        <sz val="11"/>
        <color theme="1"/>
        <rFont val="Calibri"/>
        <family val="2"/>
        <scheme val="minor"/>
      </rPr>
      <t>MRP1</t>
    </r>
    <r>
      <rPr>
        <sz val="11"/>
        <color theme="1"/>
        <rFont val="Calibri"/>
        <family val="2"/>
        <scheme val="minor"/>
      </rPr>
      <t xml:space="preserve">. </t>
    </r>
    <r>
      <rPr>
        <b/>
        <sz val="11"/>
        <color theme="1"/>
        <rFont val="Calibri"/>
        <family val="2"/>
        <scheme val="minor"/>
      </rPr>
      <t xml:space="preserve">4) </t>
    </r>
    <r>
      <rPr>
        <sz val="11"/>
        <color theme="1"/>
        <rFont val="Calibri"/>
        <family val="2"/>
        <scheme val="minor"/>
      </rPr>
      <t xml:space="preserve">Disrupting PERK/Nrf2 axis reversed at the same time resistance to ER stress and chemotherapy. </t>
    </r>
    <r>
      <rPr>
        <b/>
        <sz val="11"/>
        <color theme="1"/>
        <rFont val="Calibri"/>
        <family val="2"/>
        <scheme val="minor"/>
      </rPr>
      <t xml:space="preserve">5) </t>
    </r>
    <r>
      <rPr>
        <sz val="11"/>
        <color theme="1"/>
        <rFont val="Calibri"/>
        <family val="2"/>
        <scheme val="minor"/>
      </rPr>
      <t>The inducible silencing of PERK reduced tumor growth and restored chemosensitivity in resistant tumor xenografts.</t>
    </r>
  </si>
  <si>
    <r>
      <rPr>
        <b/>
        <sz val="11"/>
        <color theme="1"/>
        <rFont val="Calibri"/>
        <family val="2"/>
        <scheme val="minor"/>
      </rPr>
      <t xml:space="preserve">1) </t>
    </r>
    <r>
      <rPr>
        <sz val="11"/>
        <color theme="1"/>
        <rFont val="Calibri"/>
        <family val="2"/>
        <scheme val="minor"/>
      </rPr>
      <t xml:space="preserve">the phosphorylation of </t>
    </r>
    <r>
      <rPr>
        <b/>
        <sz val="11"/>
        <color theme="1"/>
        <rFont val="Calibri"/>
        <family val="2"/>
        <scheme val="minor"/>
      </rPr>
      <t xml:space="preserve">eIF2α </t>
    </r>
    <r>
      <rPr>
        <sz val="11"/>
        <color theme="1"/>
        <rFont val="Calibri"/>
        <family val="2"/>
        <scheme val="minor"/>
      </rPr>
      <t xml:space="preserve">suppresses </t>
    </r>
    <r>
      <rPr>
        <b/>
        <sz val="11"/>
        <color theme="1"/>
        <rFont val="Calibri"/>
        <family val="2"/>
        <scheme val="minor"/>
      </rPr>
      <t>cisplatin</t>
    </r>
    <r>
      <rPr>
        <sz val="11"/>
        <color theme="1"/>
        <rFont val="Calibri"/>
        <family val="2"/>
        <scheme val="minor"/>
      </rPr>
      <t xml:space="preserve">-induced A549 cell apoptosis. </t>
    </r>
    <r>
      <rPr>
        <b/>
        <sz val="11"/>
        <color theme="1"/>
        <rFont val="Calibri"/>
        <family val="2"/>
        <scheme val="minor"/>
      </rPr>
      <t xml:space="preserve">2) </t>
    </r>
    <r>
      <rPr>
        <sz val="11"/>
        <color theme="1"/>
        <rFont val="Calibri"/>
        <family val="2"/>
        <scheme val="minor"/>
      </rPr>
      <t xml:space="preserve">Cisplatin induced eIF2α phosphorylation through protein kinase RNA. </t>
    </r>
    <r>
      <rPr>
        <b/>
        <sz val="11"/>
        <color theme="1"/>
        <rFont val="Calibri"/>
        <family val="2"/>
        <scheme val="minor"/>
      </rPr>
      <t xml:space="preserve">3) </t>
    </r>
    <r>
      <rPr>
        <sz val="11"/>
        <color theme="1"/>
        <rFont val="Calibri"/>
        <family val="2"/>
        <scheme val="minor"/>
      </rPr>
      <t xml:space="preserve">phospho-eIF2α inhibited cisplatin-induced A549 cells apoptosis, at least in part, by suppressing the p38 pathway. </t>
    </r>
    <r>
      <rPr>
        <b/>
        <sz val="11"/>
        <color theme="1"/>
        <rFont val="Calibri"/>
        <family val="2"/>
        <scheme val="minor"/>
      </rPr>
      <t xml:space="preserve">4) </t>
    </r>
    <r>
      <rPr>
        <sz val="11"/>
        <color theme="1"/>
        <rFont val="Calibri"/>
        <family val="2"/>
        <scheme val="minor"/>
      </rPr>
      <t xml:space="preserve">analysis of tissue microarrays information demonstrated that phospho-eIF2α predicted a poor prognosis in patients with </t>
    </r>
    <r>
      <rPr>
        <b/>
        <sz val="11"/>
        <color theme="1"/>
        <rFont val="Calibri"/>
        <family val="2"/>
        <scheme val="minor"/>
      </rPr>
      <t>NSCLC</t>
    </r>
    <r>
      <rPr>
        <sz val="11"/>
        <color theme="1"/>
        <rFont val="Calibri"/>
        <family val="2"/>
        <scheme val="minor"/>
      </rPr>
      <t>. </t>
    </r>
  </si>
  <si>
    <r>
      <rPr>
        <b/>
        <sz val="11"/>
        <color theme="1"/>
        <rFont val="Calibri"/>
        <family val="2"/>
        <scheme val="minor"/>
      </rPr>
      <t xml:space="preserve">1) </t>
    </r>
    <r>
      <rPr>
        <sz val="11"/>
        <color theme="1"/>
        <rFont val="Calibri"/>
        <family val="2"/>
        <scheme val="minor"/>
      </rPr>
      <t xml:space="preserve">CDDP-sensitive sub-clone S16 isolated from an </t>
    </r>
    <r>
      <rPr>
        <b/>
        <sz val="11"/>
        <color theme="1"/>
        <rFont val="Calibri"/>
        <family val="2"/>
        <scheme val="minor"/>
      </rPr>
      <t>nasopharyngeal</t>
    </r>
    <r>
      <rPr>
        <sz val="11"/>
        <color theme="1"/>
        <rFont val="Calibri"/>
        <family val="2"/>
        <scheme val="minor"/>
      </rPr>
      <t xml:space="preserve"> carcinoma cell line CNE-2 has increased </t>
    </r>
    <r>
      <rPr>
        <b/>
        <sz val="11"/>
        <color theme="1"/>
        <rFont val="Calibri"/>
        <family val="2"/>
        <scheme val="minor"/>
      </rPr>
      <t>eIF3a</t>
    </r>
    <r>
      <rPr>
        <sz val="11"/>
        <color theme="1"/>
        <rFont val="Calibri"/>
        <family val="2"/>
        <scheme val="minor"/>
      </rPr>
      <t xml:space="preserve"> expression. </t>
    </r>
    <r>
      <rPr>
        <b/>
        <sz val="11"/>
        <color theme="1"/>
        <rFont val="Calibri"/>
        <family val="2"/>
        <scheme val="minor"/>
      </rPr>
      <t xml:space="preserve">2) </t>
    </r>
    <r>
      <rPr>
        <sz val="11"/>
        <color theme="1"/>
        <rFont val="Calibri"/>
        <family val="2"/>
        <scheme val="minor"/>
      </rPr>
      <t>Knocking down its expression in S16 cells increased cellular resistance to</t>
    </r>
    <r>
      <rPr>
        <b/>
        <sz val="11"/>
        <color theme="1"/>
        <rFont val="Calibri"/>
        <family val="2"/>
        <scheme val="minor"/>
      </rPr>
      <t xml:space="preserve"> CDDP</t>
    </r>
    <r>
      <rPr>
        <sz val="11"/>
        <color theme="1"/>
        <rFont val="Calibri"/>
        <family val="2"/>
        <scheme val="minor"/>
      </rPr>
      <t xml:space="preserve">. </t>
    </r>
    <r>
      <rPr>
        <b/>
        <sz val="11"/>
        <color theme="1"/>
        <rFont val="Calibri"/>
        <family val="2"/>
        <scheme val="minor"/>
      </rPr>
      <t>3) eIF3a</t>
    </r>
    <r>
      <rPr>
        <sz val="11"/>
        <color theme="1"/>
        <rFont val="Calibri"/>
        <family val="2"/>
        <scheme val="minor"/>
      </rPr>
      <t xml:space="preserve"> down-regulates translation of the NER proteins </t>
    </r>
    <r>
      <rPr>
        <b/>
        <sz val="11"/>
        <color theme="1"/>
        <rFont val="Calibri"/>
        <family val="2"/>
        <scheme val="minor"/>
      </rPr>
      <t>XPA, XPC, RAD23B</t>
    </r>
    <r>
      <rPr>
        <sz val="11"/>
        <color theme="1"/>
        <rFont val="Calibri"/>
        <family val="2"/>
        <scheme val="minor"/>
      </rPr>
      <t xml:space="preserve"> and </t>
    </r>
    <r>
      <rPr>
        <b/>
        <sz val="11"/>
        <color theme="1"/>
        <rFont val="Calibri"/>
        <family val="2"/>
        <scheme val="minor"/>
      </rPr>
      <t>RPA32</t>
    </r>
    <r>
      <rPr>
        <sz val="11"/>
        <color theme="1"/>
        <rFont val="Calibri"/>
        <family val="2"/>
        <scheme val="minor"/>
      </rPr>
      <t xml:space="preserve">. </t>
    </r>
    <r>
      <rPr>
        <b/>
        <sz val="11"/>
        <color theme="1"/>
        <rFont val="Calibri"/>
        <family val="2"/>
        <scheme val="minor"/>
      </rPr>
      <t xml:space="preserve">4) </t>
    </r>
    <r>
      <rPr>
        <sz val="11"/>
        <color theme="1"/>
        <rFont val="Calibri"/>
        <family val="2"/>
        <scheme val="minor"/>
      </rPr>
      <t xml:space="preserve">Overexpression and knockdown of </t>
    </r>
    <r>
      <rPr>
        <b/>
        <sz val="11"/>
        <color theme="1"/>
        <rFont val="Calibri"/>
        <family val="2"/>
        <scheme val="minor"/>
      </rPr>
      <t>eIF3a</t>
    </r>
    <r>
      <rPr>
        <sz val="11"/>
        <color theme="1"/>
        <rFont val="Calibri"/>
        <family val="2"/>
        <scheme val="minor"/>
      </rPr>
      <t xml:space="preserve"> increased and decreased the cellular response to cisplatin in </t>
    </r>
    <r>
      <rPr>
        <b/>
        <sz val="11"/>
        <color theme="1"/>
        <rFont val="Calibri"/>
        <family val="2"/>
        <scheme val="minor"/>
      </rPr>
      <t>ovarian</t>
    </r>
    <r>
      <rPr>
        <sz val="11"/>
        <color theme="1"/>
        <rFont val="Calibri"/>
        <family val="2"/>
        <scheme val="minor"/>
      </rPr>
      <t xml:space="preserve"> cancer A2780/DDP and A2780 cells, respectively. </t>
    </r>
    <r>
      <rPr>
        <b/>
        <sz val="11"/>
        <color theme="1"/>
        <rFont val="Calibri"/>
        <family val="2"/>
        <scheme val="minor"/>
      </rPr>
      <t>4) eIF3a</t>
    </r>
    <r>
      <rPr>
        <sz val="11"/>
        <color theme="1"/>
        <rFont val="Calibri"/>
        <family val="2"/>
        <scheme val="minor"/>
      </rPr>
      <t xml:space="preserve"> improves </t>
    </r>
    <r>
      <rPr>
        <b/>
        <sz val="11"/>
        <color theme="1"/>
        <rFont val="Calibri"/>
        <family val="2"/>
        <scheme val="minor"/>
      </rPr>
      <t>ovarian</t>
    </r>
    <r>
      <rPr>
        <sz val="11"/>
        <color theme="1"/>
        <rFont val="Calibri"/>
        <family val="2"/>
        <scheme val="minor"/>
      </rPr>
      <t xml:space="preserve"> cancer patients' response to </t>
    </r>
    <r>
      <rPr>
        <b/>
        <sz val="11"/>
        <color theme="1"/>
        <rFont val="Calibri"/>
        <family val="2"/>
        <scheme val="minor"/>
      </rPr>
      <t>DDP</t>
    </r>
    <r>
      <rPr>
        <sz val="11"/>
        <color theme="1"/>
        <rFont val="Calibri"/>
        <family val="2"/>
        <scheme val="minor"/>
      </rPr>
      <t xml:space="preserve">-based chemotherapy via down regulating XPC and p27(Kip1). </t>
    </r>
    <r>
      <rPr>
        <b/>
        <sz val="11"/>
        <color theme="1"/>
        <rFont val="Calibri"/>
        <family val="2"/>
        <scheme val="minor"/>
      </rPr>
      <t>5) eIF3a</t>
    </r>
    <r>
      <rPr>
        <sz val="11"/>
        <color theme="1"/>
        <rFont val="Calibri"/>
        <family val="2"/>
        <scheme val="minor"/>
      </rPr>
      <t xml:space="preserve"> expression associates with response of lung cancer patients to </t>
    </r>
    <r>
      <rPr>
        <b/>
        <sz val="11"/>
        <color theme="1"/>
        <rFont val="Calibri"/>
        <family val="2"/>
        <scheme val="minor"/>
      </rPr>
      <t>platinum</t>
    </r>
    <r>
      <rPr>
        <sz val="11"/>
        <color theme="1"/>
        <rFont val="Calibri"/>
        <family val="2"/>
        <scheme val="minor"/>
      </rPr>
      <t xml:space="preserve">-based chemotherapy. </t>
    </r>
    <r>
      <rPr>
        <b/>
        <sz val="11"/>
        <color theme="1"/>
        <rFont val="Calibri"/>
        <family val="2"/>
        <scheme val="minor"/>
      </rPr>
      <t>6) eIF3a</t>
    </r>
    <r>
      <rPr>
        <sz val="11"/>
        <color theme="1"/>
        <rFont val="Calibri"/>
        <family val="2"/>
        <scheme val="minor"/>
      </rPr>
      <t xml:space="preserve"> knockdown or overexpression, respectively, increased and decreased the cellular resistance to </t>
    </r>
    <r>
      <rPr>
        <b/>
        <sz val="11"/>
        <color theme="1"/>
        <rFont val="Calibri"/>
        <family val="2"/>
        <scheme val="minor"/>
      </rPr>
      <t>cisplatin</t>
    </r>
    <r>
      <rPr>
        <sz val="11"/>
        <color theme="1"/>
        <rFont val="Calibri"/>
        <family val="2"/>
        <scheme val="minor"/>
      </rPr>
      <t xml:space="preserve"> and anthrocycline anticancer drugs.</t>
    </r>
  </si>
  <si>
    <r>
      <rPr>
        <b/>
        <sz val="11"/>
        <color theme="1"/>
        <rFont val="Calibri"/>
        <family val="2"/>
        <scheme val="minor"/>
      </rPr>
      <t xml:space="preserve">1) </t>
    </r>
    <r>
      <rPr>
        <sz val="11"/>
        <color theme="1"/>
        <rFont val="Calibri"/>
        <family val="2"/>
        <scheme val="minor"/>
      </rPr>
      <t xml:space="preserve">The activation of caspases by </t>
    </r>
    <r>
      <rPr>
        <b/>
        <sz val="11"/>
        <color theme="1"/>
        <rFont val="Calibri"/>
        <family val="2"/>
        <scheme val="minor"/>
      </rPr>
      <t>cisplatin</t>
    </r>
    <r>
      <rPr>
        <sz val="11"/>
        <color theme="1"/>
        <rFont val="Calibri"/>
        <family val="2"/>
        <scheme val="minor"/>
      </rPr>
      <t xml:space="preserve"> in T24 cells induces the cleavage of eIF3g. </t>
    </r>
    <r>
      <rPr>
        <b/>
        <sz val="11"/>
        <color theme="1"/>
        <rFont val="Calibri"/>
        <family val="2"/>
        <scheme val="minor"/>
      </rPr>
      <t xml:space="preserve">2) </t>
    </r>
    <r>
      <rPr>
        <sz val="11"/>
        <color theme="1"/>
        <rFont val="Calibri"/>
        <family val="2"/>
        <scheme val="minor"/>
      </rPr>
      <t>The cleaved N-terminus was translocated to the nucleus, activating caspase-3, and that it also showed a strong DNase activity.</t>
    </r>
    <r>
      <rPr>
        <b/>
        <sz val="11"/>
        <color theme="1"/>
        <rFont val="Calibri"/>
        <family val="2"/>
        <scheme val="minor"/>
      </rPr>
      <t xml:space="preserve"> 3)</t>
    </r>
    <r>
      <rPr>
        <sz val="11"/>
        <color theme="1"/>
        <rFont val="Calibri"/>
        <family val="2"/>
        <scheme val="minor"/>
      </rPr>
      <t xml:space="preserve"> CDDP induce release of AIF from mitochondria. </t>
    </r>
    <r>
      <rPr>
        <b/>
        <sz val="11"/>
        <color theme="1"/>
        <rFont val="Calibri"/>
        <family val="2"/>
        <scheme val="minor"/>
      </rPr>
      <t xml:space="preserve">4) </t>
    </r>
    <r>
      <rPr>
        <sz val="11"/>
        <color theme="1"/>
        <rFont val="Calibri"/>
        <family val="2"/>
        <scheme val="minor"/>
      </rPr>
      <t xml:space="preserve">eIF3g is one of the cytosolic targets that interacts with mature AIF, </t>
    </r>
    <r>
      <rPr>
        <b/>
        <sz val="11"/>
        <color theme="1"/>
        <rFont val="Calibri"/>
        <family val="2"/>
        <scheme val="minor"/>
      </rPr>
      <t>5)</t>
    </r>
    <r>
      <rPr>
        <sz val="11"/>
        <color theme="1"/>
        <rFont val="Calibri"/>
        <family val="2"/>
        <scheme val="minor"/>
      </rPr>
      <t xml:space="preserve"> the AIF’s cellular functions of the inhibition of protein synthesis during apoptosis.</t>
    </r>
  </si>
  <si>
    <r>
      <rPr>
        <b/>
        <sz val="11"/>
        <color theme="1"/>
        <rFont val="Calibri"/>
        <family val="2"/>
        <scheme val="minor"/>
      </rPr>
      <t xml:space="preserve">1) </t>
    </r>
    <r>
      <rPr>
        <sz val="11"/>
        <color theme="1"/>
        <rFont val="Calibri"/>
        <family val="2"/>
        <scheme val="minor"/>
      </rPr>
      <t xml:space="preserve">Overexpression of </t>
    </r>
    <r>
      <rPr>
        <b/>
        <sz val="11"/>
        <color theme="1"/>
        <rFont val="Calibri"/>
        <family val="2"/>
        <scheme val="minor"/>
      </rPr>
      <t>eIF4E</t>
    </r>
    <r>
      <rPr>
        <sz val="11"/>
        <color theme="1"/>
        <rFont val="Calibri"/>
        <family val="2"/>
        <scheme val="minor"/>
      </rPr>
      <t xml:space="preserve"> decreased the efficacy of </t>
    </r>
    <r>
      <rPr>
        <b/>
        <sz val="11"/>
        <color theme="1"/>
        <rFont val="Calibri"/>
        <family val="2"/>
        <scheme val="minor"/>
      </rPr>
      <t>cisplatin</t>
    </r>
    <r>
      <rPr>
        <sz val="11"/>
        <color theme="1"/>
        <rFont val="Calibri"/>
        <family val="2"/>
        <scheme val="minor"/>
      </rPr>
      <t xml:space="preserve">-induced cell growth inhibition in </t>
    </r>
    <r>
      <rPr>
        <b/>
        <sz val="11"/>
        <color theme="1"/>
        <rFont val="Calibri"/>
        <family val="2"/>
        <scheme val="minor"/>
      </rPr>
      <t>ESCC</t>
    </r>
    <r>
      <rPr>
        <sz val="11"/>
        <color theme="1"/>
        <rFont val="Calibri"/>
        <family val="2"/>
        <scheme val="minor"/>
      </rPr>
      <t xml:space="preserve"> cell line and xenograft model. </t>
    </r>
    <r>
      <rPr>
        <b/>
        <sz val="11"/>
        <color theme="1"/>
        <rFont val="Calibri"/>
        <family val="2"/>
        <scheme val="minor"/>
      </rPr>
      <t xml:space="preserve">2) </t>
    </r>
    <r>
      <rPr>
        <sz val="11"/>
        <color theme="1"/>
        <rFont val="Calibri"/>
        <family val="2"/>
        <scheme val="minor"/>
      </rPr>
      <t>eIF4E knockdown by shRNA increased cisplatin-induced cytotoxicity in ESCC cell lines, and enhanced chemosensitivity to cisplatin in xenograft tumor models.</t>
    </r>
    <r>
      <rPr>
        <b/>
        <sz val="11"/>
        <color theme="1"/>
        <rFont val="Calibri"/>
        <family val="2"/>
        <scheme val="minor"/>
      </rPr>
      <t xml:space="preserve"> 3) eIF4E</t>
    </r>
    <r>
      <rPr>
        <sz val="11"/>
        <color theme="1"/>
        <rFont val="Calibri"/>
        <family val="2"/>
        <scheme val="minor"/>
      </rPr>
      <t xml:space="preserve"> expression was increased significantly in clinical ESCC tissues and and ESCC cell lines and its expression level was correlated with lymph node metastasis, TNM stage, as well as overall and disease-free survival of ESCC. </t>
    </r>
    <r>
      <rPr>
        <b/>
        <sz val="11"/>
        <color theme="1"/>
        <rFont val="Calibri"/>
        <family val="2"/>
        <scheme val="minor"/>
      </rPr>
      <t>4) AURKA</t>
    </r>
    <r>
      <rPr>
        <sz val="11"/>
        <color theme="1"/>
        <rFont val="Calibri"/>
        <family val="2"/>
        <scheme val="minor"/>
      </rPr>
      <t xml:space="preserve"> promotes acquired and de novo resistance to </t>
    </r>
    <r>
      <rPr>
        <b/>
        <sz val="11"/>
        <color theme="1"/>
        <rFont val="Calibri"/>
        <family val="2"/>
        <scheme val="minor"/>
      </rPr>
      <t>cisplatin</t>
    </r>
    <r>
      <rPr>
        <sz val="11"/>
        <color theme="1"/>
        <rFont val="Calibri"/>
        <family val="2"/>
        <scheme val="minor"/>
      </rPr>
      <t xml:space="preserve"> in in vitro and in vivo </t>
    </r>
    <r>
      <rPr>
        <b/>
        <sz val="11"/>
        <color theme="1"/>
        <rFont val="Calibri"/>
        <family val="2"/>
        <scheme val="minor"/>
      </rPr>
      <t>gastric</t>
    </r>
    <r>
      <rPr>
        <sz val="11"/>
        <color theme="1"/>
        <rFont val="Calibri"/>
        <family val="2"/>
        <scheme val="minor"/>
      </rPr>
      <t xml:space="preserve"> cancer cell models. </t>
    </r>
    <r>
      <rPr>
        <b/>
        <sz val="11"/>
        <color theme="1"/>
        <rFont val="Calibri"/>
        <family val="2"/>
        <scheme val="minor"/>
      </rPr>
      <t xml:space="preserve">5) </t>
    </r>
    <r>
      <rPr>
        <sz val="11"/>
        <color theme="1"/>
        <rFont val="Calibri"/>
        <family val="2"/>
        <scheme val="minor"/>
      </rPr>
      <t xml:space="preserve">AURKA mediates phosphorylation of </t>
    </r>
    <r>
      <rPr>
        <b/>
        <sz val="11"/>
        <color theme="1"/>
        <rFont val="Calibri"/>
        <family val="2"/>
        <scheme val="minor"/>
      </rPr>
      <t>eIF4E</t>
    </r>
    <r>
      <rPr>
        <sz val="11"/>
        <color theme="1"/>
        <rFont val="Calibri"/>
        <family val="2"/>
        <scheme val="minor"/>
      </rPr>
      <t xml:space="preserve"> to promote protein translation of pro-oncogenic downstream effectors such as </t>
    </r>
    <r>
      <rPr>
        <b/>
        <sz val="11"/>
        <color theme="1"/>
        <rFont val="Calibri"/>
        <family val="2"/>
        <scheme val="minor"/>
      </rPr>
      <t>c-MYC</t>
    </r>
    <r>
      <rPr>
        <sz val="11"/>
        <color theme="1"/>
        <rFont val="Calibri"/>
        <family val="2"/>
        <scheme val="minor"/>
      </rPr>
      <t xml:space="preserve"> and </t>
    </r>
    <r>
      <rPr>
        <b/>
        <sz val="11"/>
        <color theme="1"/>
        <rFont val="Calibri"/>
        <family val="2"/>
        <scheme val="minor"/>
      </rPr>
      <t>HDM2</t>
    </r>
    <r>
      <rPr>
        <sz val="11"/>
        <color theme="1"/>
        <rFont val="Calibri"/>
        <family val="2"/>
        <scheme val="minor"/>
      </rPr>
      <t>.</t>
    </r>
    <r>
      <rPr>
        <b/>
        <sz val="11"/>
        <color theme="1"/>
        <rFont val="Calibri"/>
        <family val="2"/>
        <scheme val="minor"/>
      </rPr>
      <t xml:space="preserve"> 6)</t>
    </r>
    <r>
      <rPr>
        <sz val="11"/>
        <color theme="1"/>
        <rFont val="Calibri"/>
        <family val="2"/>
        <scheme val="minor"/>
      </rPr>
      <t xml:space="preserve"> the positive correlative over-expression was seen between </t>
    </r>
    <r>
      <rPr>
        <b/>
        <sz val="11"/>
        <color theme="1"/>
        <rFont val="Calibri"/>
        <family val="2"/>
        <scheme val="minor"/>
      </rPr>
      <t>eIF4E</t>
    </r>
    <r>
      <rPr>
        <sz val="11"/>
        <color theme="1"/>
        <rFont val="Calibri"/>
        <family val="2"/>
        <scheme val="minor"/>
      </rPr>
      <t xml:space="preserve"> and </t>
    </r>
    <r>
      <rPr>
        <b/>
        <sz val="11"/>
        <color theme="1"/>
        <rFont val="Calibri"/>
        <family val="2"/>
        <scheme val="minor"/>
      </rPr>
      <t xml:space="preserve">Snail </t>
    </r>
    <r>
      <rPr>
        <sz val="11"/>
        <color theme="1"/>
        <rFont val="Calibri"/>
        <family val="2"/>
        <scheme val="minor"/>
      </rPr>
      <t xml:space="preserve">in NPC tissues. </t>
    </r>
    <r>
      <rPr>
        <b/>
        <sz val="11"/>
        <color theme="1"/>
        <rFont val="Calibri"/>
        <family val="2"/>
        <scheme val="minor"/>
      </rPr>
      <t>7)</t>
    </r>
    <r>
      <rPr>
        <sz val="11"/>
        <color theme="1"/>
        <rFont val="Calibri"/>
        <family val="2"/>
        <scheme val="minor"/>
      </rPr>
      <t xml:space="preserve"> In NPC cells, </t>
    </r>
    <r>
      <rPr>
        <b/>
        <sz val="11"/>
        <color theme="1"/>
        <rFont val="Calibri"/>
        <family val="2"/>
        <scheme val="minor"/>
      </rPr>
      <t>eIF4E</t>
    </r>
    <r>
      <rPr>
        <sz val="11"/>
        <color theme="1"/>
        <rFont val="Calibri"/>
        <family val="2"/>
        <scheme val="minor"/>
      </rPr>
      <t xml:space="preserve"> knockdown significantly reduced Snail mRNA and protein levels, attenuated the invasive ability of the cells, and sensitized the cells to </t>
    </r>
    <r>
      <rPr>
        <b/>
        <sz val="11"/>
        <color theme="1"/>
        <rFont val="Calibri"/>
        <family val="2"/>
        <scheme val="minor"/>
      </rPr>
      <t>cisplatin</t>
    </r>
    <r>
      <rPr>
        <sz val="11"/>
        <color theme="1"/>
        <rFont val="Calibri"/>
        <family val="2"/>
        <scheme val="minor"/>
      </rPr>
      <t xml:space="preserve">. </t>
    </r>
    <r>
      <rPr>
        <b/>
        <sz val="11"/>
        <color theme="1"/>
        <rFont val="Calibri"/>
        <family val="2"/>
        <scheme val="minor"/>
      </rPr>
      <t xml:space="preserve">8) </t>
    </r>
    <r>
      <rPr>
        <sz val="11"/>
        <color theme="1"/>
        <rFont val="Calibri"/>
        <family val="2"/>
        <scheme val="minor"/>
      </rPr>
      <t xml:space="preserve">enforced the expression of </t>
    </r>
    <r>
      <rPr>
        <b/>
        <sz val="11"/>
        <color theme="1"/>
        <rFont val="Calibri"/>
        <family val="2"/>
        <scheme val="minor"/>
      </rPr>
      <t>eIF4E</t>
    </r>
    <r>
      <rPr>
        <sz val="11"/>
        <color theme="1"/>
        <rFont val="Calibri"/>
        <family val="2"/>
        <scheme val="minor"/>
      </rPr>
      <t xml:space="preserve"> significantly increased </t>
    </r>
    <r>
      <rPr>
        <b/>
        <sz val="11"/>
        <color theme="1"/>
        <rFont val="Calibri"/>
        <family val="2"/>
        <scheme val="minor"/>
      </rPr>
      <t>Snail</t>
    </r>
    <r>
      <rPr>
        <sz val="11"/>
        <color theme="1"/>
        <rFont val="Calibri"/>
        <family val="2"/>
        <scheme val="minor"/>
      </rPr>
      <t xml:space="preserve"> mRNA and protein levels, and promoted the invasive ability in NPC cells. </t>
    </r>
    <r>
      <rPr>
        <b/>
        <sz val="11"/>
        <color theme="1"/>
        <rFont val="Calibri"/>
        <family val="2"/>
        <scheme val="minor"/>
      </rPr>
      <t xml:space="preserve">9) </t>
    </r>
    <r>
      <rPr>
        <sz val="11"/>
        <color theme="1"/>
        <rFont val="Calibri"/>
        <family val="2"/>
        <scheme val="minor"/>
      </rPr>
      <t xml:space="preserve">Under the condition of the high </t>
    </r>
    <r>
      <rPr>
        <b/>
        <sz val="11"/>
        <color theme="1"/>
        <rFont val="Calibri"/>
        <family val="2"/>
        <scheme val="minor"/>
      </rPr>
      <t>eIF4E</t>
    </r>
    <r>
      <rPr>
        <sz val="11"/>
        <color theme="1"/>
        <rFont val="Calibri"/>
        <family val="2"/>
        <scheme val="minor"/>
      </rPr>
      <t xml:space="preserve"> expression, </t>
    </r>
    <r>
      <rPr>
        <b/>
        <sz val="11"/>
        <color theme="1"/>
        <rFont val="Calibri"/>
        <family val="2"/>
        <scheme val="minor"/>
      </rPr>
      <t xml:space="preserve">Snail </t>
    </r>
    <r>
      <rPr>
        <sz val="11"/>
        <color theme="1"/>
        <rFont val="Calibri"/>
        <family val="2"/>
        <scheme val="minor"/>
      </rPr>
      <t xml:space="preserve">knockdown significantly increased E-cad mRNA level and weaken the invasive ability of NPC cells. </t>
    </r>
    <r>
      <rPr>
        <b/>
        <sz val="11"/>
        <color theme="1"/>
        <rFont val="Calibri"/>
        <family val="2"/>
        <scheme val="minor"/>
      </rPr>
      <t>10) eIF4E</t>
    </r>
    <r>
      <rPr>
        <sz val="11"/>
        <color theme="1"/>
        <rFont val="Calibri"/>
        <family val="2"/>
        <scheme val="minor"/>
      </rPr>
      <t xml:space="preserve"> directly bound </t>
    </r>
    <r>
      <rPr>
        <b/>
        <sz val="11"/>
        <color theme="1"/>
        <rFont val="Calibri"/>
        <family val="2"/>
        <scheme val="minor"/>
      </rPr>
      <t>Snail</t>
    </r>
    <r>
      <rPr>
        <sz val="11"/>
        <color theme="1"/>
        <rFont val="Calibri"/>
        <family val="2"/>
        <scheme val="minor"/>
      </rPr>
      <t xml:space="preserve"> mRNA for translation initiation displayed by the RIP assay. </t>
    </r>
  </si>
  <si>
    <r>
      <rPr>
        <b/>
        <sz val="11"/>
        <color theme="1"/>
        <rFont val="Calibri"/>
        <family val="2"/>
        <scheme val="minor"/>
      </rPr>
      <t xml:space="preserve">1) </t>
    </r>
    <r>
      <rPr>
        <sz val="11"/>
        <color theme="1"/>
        <rFont val="Calibri"/>
        <family val="2"/>
        <scheme val="minor"/>
      </rPr>
      <t xml:space="preserve">The levels of phosphorylated mTOR (p-mTOR), p70S6K, and 4E-BP1 were significantly increased in </t>
    </r>
    <r>
      <rPr>
        <b/>
        <sz val="11"/>
        <color theme="1"/>
        <rFont val="Calibri"/>
        <family val="2"/>
        <scheme val="minor"/>
      </rPr>
      <t>cisplatin</t>
    </r>
    <r>
      <rPr>
        <sz val="11"/>
        <color theme="1"/>
        <rFont val="Calibri"/>
        <family val="2"/>
        <scheme val="minor"/>
      </rPr>
      <t xml:space="preserve">-reistant A2780cis </t>
    </r>
    <r>
      <rPr>
        <b/>
        <sz val="11"/>
        <color theme="1"/>
        <rFont val="Calibri"/>
        <family val="2"/>
        <scheme val="minor"/>
      </rPr>
      <t>ovarian</t>
    </r>
    <r>
      <rPr>
        <sz val="11"/>
        <color theme="1"/>
        <rFont val="Calibri"/>
        <family val="2"/>
        <scheme val="minor"/>
      </rPr>
      <t xml:space="preserve"> cancer cells compared to A2780 cells.</t>
    </r>
    <r>
      <rPr>
        <b/>
        <sz val="11"/>
        <color theme="1"/>
        <rFont val="Calibri"/>
        <family val="2"/>
        <scheme val="minor"/>
      </rPr>
      <t xml:space="preserve"> 2)</t>
    </r>
    <r>
      <rPr>
        <sz val="11"/>
        <color theme="1"/>
        <rFont val="Calibri"/>
        <family val="2"/>
        <scheme val="minor"/>
      </rPr>
      <t xml:space="preserve"> Platinum-resistant OVCAR-3 ovarian cancer cells are resensitized to low levels of </t>
    </r>
    <r>
      <rPr>
        <b/>
        <sz val="11"/>
        <color theme="1"/>
        <rFont val="Calibri"/>
        <family val="2"/>
        <scheme val="minor"/>
      </rPr>
      <t>carboplatin</t>
    </r>
    <r>
      <rPr>
        <sz val="11"/>
        <color theme="1"/>
        <rFont val="Calibri"/>
        <family val="2"/>
        <scheme val="minor"/>
      </rPr>
      <t xml:space="preserve"> in culture by mTOR inhibition. </t>
    </r>
    <r>
      <rPr>
        <b/>
        <sz val="11"/>
        <color theme="1"/>
        <rFont val="Calibri"/>
        <family val="2"/>
        <scheme val="minor"/>
      </rPr>
      <t xml:space="preserve">3) </t>
    </r>
    <r>
      <rPr>
        <sz val="11"/>
        <color theme="1"/>
        <rFont val="Calibri"/>
        <family val="2"/>
        <scheme val="minor"/>
      </rPr>
      <t xml:space="preserve">Platinum resistance is shown to be associated with activating phosphorylation of AKT and CHK1, inactivating </t>
    </r>
    <r>
      <rPr>
        <b/>
        <sz val="11"/>
        <color theme="1"/>
        <rFont val="Calibri"/>
        <family val="2"/>
        <scheme val="minor"/>
      </rPr>
      <t>phosphorylation of 4E-BP1</t>
    </r>
    <r>
      <rPr>
        <sz val="11"/>
        <color theme="1"/>
        <rFont val="Calibri"/>
        <family val="2"/>
        <scheme val="minor"/>
      </rPr>
      <t xml:space="preserve">, the negative regulator of eIF4E, which promotes increased cap-dependent mRNA translation and increased levels of </t>
    </r>
    <r>
      <rPr>
        <b/>
        <sz val="11"/>
        <color theme="1"/>
        <rFont val="Calibri"/>
        <family val="2"/>
        <scheme val="minor"/>
      </rPr>
      <t>CHK1 and BRCA1</t>
    </r>
    <r>
      <rPr>
        <sz val="11"/>
        <color theme="1"/>
        <rFont val="Calibri"/>
        <family val="2"/>
        <scheme val="minor"/>
      </rPr>
      <t xml:space="preserve"> proteins.  </t>
    </r>
    <r>
      <rPr>
        <b/>
        <sz val="11"/>
        <color theme="1"/>
        <rFont val="Calibri"/>
        <family val="2"/>
        <scheme val="minor"/>
      </rPr>
      <t>4)</t>
    </r>
    <r>
      <rPr>
        <sz val="11"/>
        <color theme="1"/>
        <rFont val="Calibri"/>
        <family val="2"/>
        <scheme val="minor"/>
      </rPr>
      <t xml:space="preserve"> Animals with platinum-resistant OVCAR-3 tumors treated with carboplatin plus mTORC1/2 inhibition had significantly longer median survival and strikingly reduced metastasis compared with animals treated with carboplatin plus everolimus, which inhibits only mTORC1. </t>
    </r>
    <r>
      <rPr>
        <b/>
        <sz val="11"/>
        <color theme="1"/>
        <rFont val="Calibri"/>
        <family val="2"/>
        <scheme val="minor"/>
      </rPr>
      <t>5)</t>
    </r>
    <r>
      <rPr>
        <sz val="11"/>
        <color theme="1"/>
        <rFont val="Calibri"/>
        <family val="2"/>
        <scheme val="minor"/>
      </rPr>
      <t xml:space="preserve"> Reduced tumor growth, metastasis, and increased survival by mTORC1/2 inhibition with carboplatin treatment was associated with reduced AKT-activating phosphorylation and increased 4E-BP1 hypophosphorylation (activation). </t>
    </r>
    <r>
      <rPr>
        <b/>
        <sz val="11"/>
        <color theme="1"/>
        <rFont val="Calibri"/>
        <family val="2"/>
        <scheme val="minor"/>
      </rPr>
      <t xml:space="preserve">6) </t>
    </r>
    <r>
      <rPr>
        <sz val="11"/>
        <color theme="1"/>
        <rFont val="Calibri"/>
        <family val="2"/>
        <scheme val="minor"/>
      </rPr>
      <t xml:space="preserve">EIF4EBP1 protein is notably upregulated in 8 HCC tissues (randomly selected from the 40 HCCs) and is significantly increased in another 88 paraffin-embedded HCCs (53%, 47/88). </t>
    </r>
    <r>
      <rPr>
        <b/>
        <sz val="11"/>
        <color theme="1"/>
        <rFont val="Calibri"/>
        <family val="2"/>
        <scheme val="minor"/>
      </rPr>
      <t xml:space="preserve">7) </t>
    </r>
    <r>
      <rPr>
        <sz val="11"/>
        <color theme="1"/>
        <rFont val="Calibri"/>
        <family val="2"/>
        <scheme val="minor"/>
      </rPr>
      <t xml:space="preserve">EIF4EBP1 protein expression in HCC tissues is significantly correlated with serum AFP (P = 0.003) and marginally significantly associated with pathological grade (P = 0.085), tumor number (P = 0.084), tumor embolus (P = 0.084) and capsulation (P = 0.073). </t>
    </r>
    <r>
      <rPr>
        <b/>
        <sz val="11"/>
        <color theme="1"/>
        <rFont val="Calibri"/>
        <family val="2"/>
        <scheme val="minor"/>
      </rPr>
      <t xml:space="preserve">8) </t>
    </r>
    <r>
      <rPr>
        <sz val="11"/>
        <color theme="1"/>
        <rFont val="Calibri"/>
        <family val="2"/>
        <scheme val="minor"/>
      </rPr>
      <t xml:space="preserve">Patients with higher EIF4EBP1 protein expression have a much worse 5-year overall survival (40.3% vs 73.6%) and 5-year disease-free survival (33.0% vs 49.0%) than those with low expression. </t>
    </r>
  </si>
  <si>
    <r>
      <rPr>
        <b/>
        <sz val="11"/>
        <color theme="1"/>
        <rFont val="Calibri"/>
        <family val="2"/>
        <scheme val="minor"/>
      </rPr>
      <t>1) miR-379</t>
    </r>
    <r>
      <rPr>
        <sz val="11"/>
        <color theme="1"/>
        <rFont val="Calibri"/>
        <family val="2"/>
        <scheme val="minor"/>
      </rPr>
      <t xml:space="preserve"> expression is significantly downregulated in chemoresistant nonsmall cell </t>
    </r>
    <r>
      <rPr>
        <b/>
        <sz val="11"/>
        <color theme="1"/>
        <rFont val="Calibri"/>
        <family val="2"/>
        <scheme val="minor"/>
      </rPr>
      <t>lung</t>
    </r>
    <r>
      <rPr>
        <sz val="11"/>
        <color theme="1"/>
        <rFont val="Calibri"/>
        <family val="2"/>
        <scheme val="minor"/>
      </rPr>
      <t xml:space="preserve"> cancer (NSCLC) tissues and cells. </t>
    </r>
    <r>
      <rPr>
        <b/>
        <sz val="11"/>
        <color theme="1"/>
        <rFont val="Calibri"/>
        <family val="2"/>
        <scheme val="minor"/>
      </rPr>
      <t xml:space="preserve">2) </t>
    </r>
    <r>
      <rPr>
        <sz val="11"/>
        <color theme="1"/>
        <rFont val="Calibri"/>
        <family val="2"/>
        <scheme val="minor"/>
      </rPr>
      <t xml:space="preserve">Manipulation of miR-379 levels could alter the in vitro and in vivo </t>
    </r>
    <r>
      <rPr>
        <b/>
        <sz val="11"/>
        <color theme="1"/>
        <rFont val="Calibri"/>
        <family val="2"/>
        <scheme val="minor"/>
      </rPr>
      <t>cisplatin</t>
    </r>
    <r>
      <rPr>
        <sz val="11"/>
        <color theme="1"/>
        <rFont val="Calibri"/>
        <family val="2"/>
        <scheme val="minor"/>
      </rPr>
      <t xml:space="preserve"> (CDDP) resistance in lung cancer (LCa) cells. </t>
    </r>
    <r>
      <rPr>
        <b/>
        <sz val="11"/>
        <color theme="1"/>
        <rFont val="Calibri"/>
        <family val="2"/>
        <scheme val="minor"/>
      </rPr>
      <t>3) miR-379</t>
    </r>
    <r>
      <rPr>
        <sz val="11"/>
        <color theme="1"/>
        <rFont val="Calibri"/>
        <family val="2"/>
        <scheme val="minor"/>
      </rPr>
      <t xml:space="preserve"> potentiated LCa chemosensitivity via modulation of CDDP-induced apoptosis by directly targeting the </t>
    </r>
    <r>
      <rPr>
        <b/>
        <sz val="11"/>
        <color theme="1"/>
        <rFont val="Calibri"/>
        <family val="2"/>
        <scheme val="minor"/>
      </rPr>
      <t>EIF4G2</t>
    </r>
    <r>
      <rPr>
        <sz val="11"/>
        <color theme="1"/>
        <rFont val="Calibri"/>
        <family val="2"/>
        <scheme val="minor"/>
      </rPr>
      <t xml:space="preserve"> 3'UTR. </t>
    </r>
    <r>
      <rPr>
        <b/>
        <sz val="11"/>
        <color theme="1"/>
        <rFont val="Calibri"/>
        <family val="2"/>
        <scheme val="minor"/>
      </rPr>
      <t xml:space="preserve">4) </t>
    </r>
    <r>
      <rPr>
        <sz val="11"/>
        <color theme="1"/>
        <rFont val="Calibri"/>
        <family val="2"/>
        <scheme val="minor"/>
      </rPr>
      <t>we observed an inverse correlation between miR-379 and EIF4G2 expression in LCa tissues from patients with CDDP-based chemotherapy. </t>
    </r>
    <r>
      <rPr>
        <b/>
        <sz val="11"/>
        <color theme="1"/>
        <rFont val="Calibri"/>
        <family val="2"/>
        <scheme val="minor"/>
      </rPr>
      <t xml:space="preserve">5) </t>
    </r>
    <r>
      <rPr>
        <sz val="11"/>
        <color theme="1"/>
        <rFont val="Calibri"/>
        <family val="2"/>
        <scheme val="minor"/>
      </rPr>
      <t xml:space="preserve">Treatment of HeLa cells with the apoptosis inducers </t>
    </r>
    <r>
      <rPr>
        <b/>
        <sz val="11"/>
        <color theme="1"/>
        <rFont val="Calibri"/>
        <family val="2"/>
        <scheme val="minor"/>
      </rPr>
      <t>cisplatin</t>
    </r>
    <r>
      <rPr>
        <sz val="11"/>
        <color theme="1"/>
        <rFont val="Calibri"/>
        <family val="2"/>
        <scheme val="minor"/>
      </rPr>
      <t xml:space="preserve"> and etoposide resulted in cleavage of </t>
    </r>
    <r>
      <rPr>
        <b/>
        <sz val="11"/>
        <color theme="1"/>
        <rFont val="Calibri"/>
        <family val="2"/>
        <scheme val="minor"/>
      </rPr>
      <t>eIF4G</t>
    </r>
    <r>
      <rPr>
        <sz val="11"/>
        <color theme="1"/>
        <rFont val="Calibri"/>
        <family val="2"/>
        <scheme val="minor"/>
      </rPr>
      <t xml:space="preserve">, and the extent of its cleavage correlated with the onset and extent of observed inhibition of cellular translation. </t>
    </r>
    <r>
      <rPr>
        <b/>
        <sz val="11"/>
        <color theme="1"/>
        <rFont val="Calibri"/>
        <family val="2"/>
        <scheme val="minor"/>
      </rPr>
      <t>6)</t>
    </r>
    <r>
      <rPr>
        <sz val="11"/>
        <color theme="1"/>
        <rFont val="Calibri"/>
        <family val="2"/>
        <scheme val="minor"/>
      </rPr>
      <t xml:space="preserve"> In </t>
    </r>
    <r>
      <rPr>
        <b/>
        <sz val="11"/>
        <color theme="1"/>
        <rFont val="Calibri"/>
        <family val="2"/>
        <scheme val="minor"/>
      </rPr>
      <t>renal</t>
    </r>
    <r>
      <rPr>
        <sz val="11"/>
        <color theme="1"/>
        <rFont val="Calibri"/>
        <family val="2"/>
        <scheme val="minor"/>
      </rPr>
      <t xml:space="preserve"> tubular cells, overexpression of </t>
    </r>
    <r>
      <rPr>
        <b/>
        <sz val="11"/>
        <color theme="1"/>
        <rFont val="Calibri"/>
        <family val="2"/>
        <scheme val="minor"/>
      </rPr>
      <t>DAP5/p97</t>
    </r>
    <r>
      <rPr>
        <sz val="11"/>
        <color theme="1"/>
        <rFont val="Calibri"/>
        <family val="2"/>
        <scheme val="minor"/>
      </rPr>
      <t xml:space="preserve"> and </t>
    </r>
    <r>
      <rPr>
        <b/>
        <sz val="11"/>
        <color theme="1"/>
        <rFont val="Calibri"/>
        <family val="2"/>
        <scheme val="minor"/>
      </rPr>
      <t>DAP5/p86</t>
    </r>
    <r>
      <rPr>
        <sz val="11"/>
        <color theme="1"/>
        <rFont val="Calibri"/>
        <family val="2"/>
        <scheme val="minor"/>
      </rPr>
      <t xml:space="preserve"> increased the translation of </t>
    </r>
    <r>
      <rPr>
        <b/>
        <sz val="11"/>
        <color theme="1"/>
        <rFont val="Calibri"/>
        <family val="2"/>
        <scheme val="minor"/>
      </rPr>
      <t>Bcl-2</t>
    </r>
    <r>
      <rPr>
        <sz val="11"/>
        <color theme="1"/>
        <rFont val="Calibri"/>
        <family val="2"/>
        <scheme val="minor"/>
      </rPr>
      <t xml:space="preserve"> and reduced the extent of </t>
    </r>
    <r>
      <rPr>
        <b/>
        <sz val="11"/>
        <color theme="1"/>
        <rFont val="Calibri"/>
        <family val="2"/>
        <scheme val="minor"/>
      </rPr>
      <t>cisplatin</t>
    </r>
    <r>
      <rPr>
        <sz val="11"/>
        <color theme="1"/>
        <rFont val="Calibri"/>
        <family val="2"/>
        <scheme val="minor"/>
      </rPr>
      <t xml:space="preserve">-induced apoptosis. </t>
    </r>
    <r>
      <rPr>
        <b/>
        <sz val="11"/>
        <color theme="1"/>
        <rFont val="Calibri"/>
        <family val="2"/>
        <scheme val="minor"/>
      </rPr>
      <t>7)</t>
    </r>
    <r>
      <rPr>
        <sz val="11"/>
        <color theme="1"/>
        <rFont val="Calibri"/>
        <family val="2"/>
        <scheme val="minor"/>
      </rPr>
      <t xml:space="preserve"> siRNA knockdown of DAP5 decreased the translation of Bcl-2 and increased the degree of apoptosis. </t>
    </r>
    <r>
      <rPr>
        <b/>
        <sz val="11"/>
        <color theme="1"/>
        <rFont val="Calibri"/>
        <family val="2"/>
        <scheme val="minor"/>
      </rPr>
      <t xml:space="preserve">8) </t>
    </r>
    <r>
      <rPr>
        <sz val="11"/>
        <color theme="1"/>
        <rFont val="Calibri"/>
        <family val="2"/>
        <scheme val="minor"/>
      </rPr>
      <t>DAP5 expression was positively regulated by the PI3K/Akt/mTOR signaling pathway.</t>
    </r>
  </si>
  <si>
    <r>
      <rPr>
        <b/>
        <sz val="11"/>
        <color theme="1"/>
        <rFont val="Calibri"/>
        <family val="2"/>
        <scheme val="minor"/>
      </rPr>
      <t xml:space="preserve">1) </t>
    </r>
    <r>
      <rPr>
        <sz val="11"/>
        <color theme="1"/>
        <rFont val="Calibri"/>
        <family val="2"/>
        <scheme val="minor"/>
      </rPr>
      <t xml:space="preserve">Haploinsufficiency of </t>
    </r>
    <r>
      <rPr>
        <b/>
        <sz val="11"/>
        <color theme="1"/>
        <rFont val="Calibri"/>
        <family val="2"/>
        <scheme val="minor"/>
      </rPr>
      <t>Eme1</t>
    </r>
    <r>
      <rPr>
        <sz val="11"/>
        <color theme="1"/>
        <rFont val="Calibri"/>
        <family val="2"/>
        <scheme val="minor"/>
      </rPr>
      <t xml:space="preserve"> led to hypersensitivity to </t>
    </r>
    <r>
      <rPr>
        <b/>
        <sz val="11"/>
        <color theme="1"/>
        <rFont val="Calibri"/>
        <family val="2"/>
        <scheme val="minor"/>
      </rPr>
      <t>cisplatin</t>
    </r>
    <r>
      <rPr>
        <sz val="11"/>
        <color theme="1"/>
        <rFont val="Calibri"/>
        <family val="2"/>
        <scheme val="minor"/>
      </rPr>
      <t xml:space="preserve"> in the colon cancer cell line HCT116. </t>
    </r>
    <r>
      <rPr>
        <b/>
        <sz val="11"/>
        <color theme="1"/>
        <rFont val="Calibri"/>
        <family val="2"/>
        <scheme val="minor"/>
      </rPr>
      <t xml:space="preserve">2) </t>
    </r>
    <r>
      <rPr>
        <sz val="11"/>
        <color theme="1"/>
        <rFont val="Calibri"/>
        <family val="2"/>
        <scheme val="minor"/>
      </rPr>
      <t xml:space="preserve">Although ERCC1, Rad51 and Mus81 protein levels correlated with cisplatin sensitivity to some extent, the clearest correlation was observed with Eme1. </t>
    </r>
    <r>
      <rPr>
        <b/>
        <sz val="11"/>
        <color theme="1"/>
        <rFont val="Calibri"/>
        <family val="2"/>
        <scheme val="minor"/>
      </rPr>
      <t>3) Survivin</t>
    </r>
    <r>
      <rPr>
        <sz val="11"/>
        <color theme="1"/>
        <rFont val="Calibri"/>
        <family val="2"/>
        <scheme val="minor"/>
      </rPr>
      <t xml:space="preserve"> overexpression, frequently found in </t>
    </r>
    <r>
      <rPr>
        <b/>
        <sz val="11"/>
        <color theme="1"/>
        <rFont val="Calibri"/>
        <family val="2"/>
        <scheme val="minor"/>
      </rPr>
      <t>breast</t>
    </r>
    <r>
      <rPr>
        <sz val="11"/>
        <color theme="1"/>
        <rFont val="Calibri"/>
        <family val="2"/>
        <scheme val="minor"/>
      </rPr>
      <t xml:space="preserve"> cancers and others, is associated with poor prognosis. Clinically, </t>
    </r>
    <r>
      <rPr>
        <b/>
        <sz val="11"/>
        <color theme="1"/>
        <rFont val="Calibri"/>
        <family val="2"/>
        <scheme val="minor"/>
      </rPr>
      <t>EME1</t>
    </r>
    <r>
      <rPr>
        <sz val="11"/>
        <color theme="1"/>
        <rFont val="Calibri"/>
        <family val="2"/>
        <scheme val="minor"/>
      </rPr>
      <t xml:space="preserve">, RAD51, EXO1, BLM expressions correlate with that of </t>
    </r>
    <r>
      <rPr>
        <b/>
        <sz val="11"/>
        <color theme="1"/>
        <rFont val="Calibri"/>
        <family val="2"/>
        <scheme val="minor"/>
      </rPr>
      <t>BIRC5</t>
    </r>
    <r>
      <rPr>
        <sz val="11"/>
        <color theme="1"/>
        <rFont val="Calibri"/>
        <family val="2"/>
        <scheme val="minor"/>
      </rPr>
      <t xml:space="preserve"> (coding for Survivin) and are of prognostic value. </t>
    </r>
  </si>
  <si>
    <r>
      <rPr>
        <b/>
        <sz val="11"/>
        <color theme="1"/>
        <rFont val="Calibri"/>
        <family val="2"/>
        <scheme val="minor"/>
      </rPr>
      <t>1)</t>
    </r>
    <r>
      <rPr>
        <sz val="11"/>
        <color theme="1"/>
        <rFont val="Calibri"/>
        <family val="2"/>
        <scheme val="minor"/>
      </rPr>
      <t xml:space="preserve"> </t>
    </r>
    <r>
      <rPr>
        <b/>
        <sz val="11"/>
        <color theme="1"/>
        <rFont val="Calibri"/>
        <family val="2"/>
        <scheme val="minor"/>
      </rPr>
      <t>EMSY</t>
    </r>
    <r>
      <rPr>
        <sz val="11"/>
        <color theme="1"/>
        <rFont val="Calibri"/>
        <family val="2"/>
        <scheme val="minor"/>
      </rPr>
      <t xml:space="preserve"> is amplified and overexpressed in various sporadic cancers. </t>
    </r>
    <r>
      <rPr>
        <b/>
        <sz val="11"/>
        <color theme="1"/>
        <rFont val="Calibri"/>
        <family val="2"/>
        <scheme val="minor"/>
      </rPr>
      <t>2)</t>
    </r>
    <r>
      <rPr>
        <sz val="11"/>
        <color theme="1"/>
        <rFont val="Calibri"/>
        <family val="2"/>
        <scheme val="minor"/>
      </rPr>
      <t xml:space="preserve"> In 134 frozen </t>
    </r>
    <r>
      <rPr>
        <b/>
        <sz val="11"/>
        <color theme="1"/>
        <rFont val="Calibri"/>
        <family val="2"/>
        <scheme val="minor"/>
      </rPr>
      <t>OvCa</t>
    </r>
    <r>
      <rPr>
        <sz val="11"/>
        <color theme="1"/>
        <rFont val="Calibri"/>
        <family val="2"/>
        <scheme val="minor"/>
      </rPr>
      <t xml:space="preserve"> samples, clinical relevance of changes in EMSY mRNA expression and DNA sequence was evaluated in two subgroups treated with either taxane/</t>
    </r>
    <r>
      <rPr>
        <b/>
        <sz val="11"/>
        <color theme="1"/>
        <rFont val="Calibri"/>
        <family val="2"/>
        <scheme val="minor"/>
      </rPr>
      <t>platinum</t>
    </r>
    <r>
      <rPr>
        <sz val="11"/>
        <color theme="1"/>
        <rFont val="Calibri"/>
        <family val="2"/>
        <scheme val="minor"/>
      </rPr>
      <t xml:space="preserve"> (TP, n=102) or </t>
    </r>
    <r>
      <rPr>
        <b/>
        <sz val="11"/>
        <color theme="1"/>
        <rFont val="Calibri"/>
        <family val="2"/>
        <scheme val="minor"/>
      </rPr>
      <t>platinum</t>
    </r>
    <r>
      <rPr>
        <sz val="11"/>
        <color theme="1"/>
        <rFont val="Calibri"/>
        <family val="2"/>
        <scheme val="minor"/>
      </rPr>
      <t xml:space="preserve">/cyclophosphamide (PC, n=32). </t>
    </r>
    <r>
      <rPr>
        <b/>
        <sz val="11"/>
        <color theme="1"/>
        <rFont val="Calibri"/>
        <family val="2"/>
        <scheme val="minor"/>
      </rPr>
      <t xml:space="preserve">3) </t>
    </r>
    <r>
      <rPr>
        <sz val="11"/>
        <color theme="1"/>
        <rFont val="Calibri"/>
        <family val="2"/>
        <scheme val="minor"/>
      </rPr>
      <t>High EMSY expression negatively affected overall survival (OS), disease-free survival (DFS) and sensitivity to treatment (PS) in the TP-treated subgroup (p-values: 0.001, 0.002 and 0.010, respectively). </t>
    </r>
  </si>
  <si>
    <r>
      <rPr>
        <b/>
        <sz val="11"/>
        <color theme="1"/>
        <rFont val="Calibri"/>
        <family val="2"/>
        <scheme val="minor"/>
      </rPr>
      <t>1) EMX2</t>
    </r>
    <r>
      <rPr>
        <sz val="11"/>
        <color theme="1"/>
        <rFont val="Calibri"/>
        <family val="2"/>
        <scheme val="minor"/>
      </rPr>
      <t xml:space="preserve"> expression was down-regulated in</t>
    </r>
    <r>
      <rPr>
        <b/>
        <sz val="11"/>
        <color theme="1"/>
        <rFont val="Calibri"/>
        <family val="2"/>
        <scheme val="minor"/>
      </rPr>
      <t xml:space="preserve"> lung</t>
    </r>
    <r>
      <rPr>
        <sz val="11"/>
        <color theme="1"/>
        <rFont val="Calibri"/>
        <family val="2"/>
        <scheme val="minor"/>
      </rPr>
      <t xml:space="preserve"> SCC tissue samples compared to their matched adjacent normal tissues. </t>
    </r>
    <r>
      <rPr>
        <b/>
        <sz val="11"/>
        <color theme="1"/>
        <rFont val="Calibri"/>
        <family val="2"/>
        <scheme val="minor"/>
      </rPr>
      <t xml:space="preserve">2) </t>
    </r>
    <r>
      <rPr>
        <sz val="11"/>
        <color theme="1"/>
        <rFont val="Calibri"/>
        <family val="2"/>
        <scheme val="minor"/>
      </rPr>
      <t xml:space="preserve">Positive EMX2 expression was significantly associated with improved overall survival in stage I lung SCC patients, and in stage II/IIIA lung SCC patients receiving </t>
    </r>
    <r>
      <rPr>
        <b/>
        <sz val="11"/>
        <color theme="1"/>
        <rFont val="Calibri"/>
        <family val="2"/>
        <scheme val="minor"/>
      </rPr>
      <t>adjuvant chemotherapy</t>
    </r>
    <r>
      <rPr>
        <sz val="11"/>
        <color theme="1"/>
        <rFont val="Calibri"/>
        <family val="2"/>
        <scheme val="minor"/>
      </rPr>
      <t xml:space="preserve">. </t>
    </r>
    <r>
      <rPr>
        <b/>
        <sz val="11"/>
        <color theme="1"/>
        <rFont val="Calibri"/>
        <family val="2"/>
        <scheme val="minor"/>
      </rPr>
      <t>3)</t>
    </r>
    <r>
      <rPr>
        <sz val="11"/>
        <color theme="1"/>
        <rFont val="Calibri"/>
        <family val="2"/>
        <scheme val="minor"/>
      </rPr>
      <t xml:space="preserve"> EMX2 expression was also associated with expression of EMT markers in both lung SCC cell lines and tissue samples. </t>
    </r>
    <r>
      <rPr>
        <b/>
        <sz val="11"/>
        <color theme="1"/>
        <rFont val="Calibri"/>
        <family val="2"/>
        <scheme val="minor"/>
      </rPr>
      <t>4)</t>
    </r>
    <r>
      <rPr>
        <sz val="11"/>
        <color theme="1"/>
        <rFont val="Calibri"/>
        <family val="2"/>
        <scheme val="minor"/>
      </rPr>
      <t xml:space="preserve"> Knock-down of EMX2 expression in lung SCC cells promoted chemo-resistance and cell migration.</t>
    </r>
  </si>
  <si>
    <r>
      <rPr>
        <b/>
        <sz val="11"/>
        <color theme="1"/>
        <rFont val="Calibri"/>
        <family val="2"/>
        <scheme val="minor"/>
      </rPr>
      <t>1)</t>
    </r>
    <r>
      <rPr>
        <sz val="11"/>
        <color theme="1"/>
        <rFont val="Calibri"/>
        <family val="2"/>
        <scheme val="minor"/>
      </rPr>
      <t xml:space="preserve"> </t>
    </r>
    <r>
      <rPr>
        <b/>
        <sz val="11"/>
        <color theme="1"/>
        <rFont val="Calibri"/>
        <family val="2"/>
        <scheme val="minor"/>
      </rPr>
      <t>Endoglin</t>
    </r>
    <r>
      <rPr>
        <sz val="11"/>
        <color theme="1"/>
        <rFont val="Calibri"/>
        <family val="2"/>
        <scheme val="minor"/>
      </rPr>
      <t xml:space="preserve"> (CD105) is a membranous protein overexpressed in tumor-associated endothelial cells, chemoresistant populations of </t>
    </r>
    <r>
      <rPr>
        <b/>
        <sz val="11"/>
        <color theme="1"/>
        <rFont val="Calibri"/>
        <family val="2"/>
        <scheme val="minor"/>
      </rPr>
      <t>ovarian</t>
    </r>
    <r>
      <rPr>
        <sz val="11"/>
        <color theme="1"/>
        <rFont val="Calibri"/>
        <family val="2"/>
        <scheme val="minor"/>
      </rPr>
      <t xml:space="preserve"> cancer cells, and potentially stem cells. </t>
    </r>
    <r>
      <rPr>
        <b/>
        <sz val="11"/>
        <color theme="1"/>
        <rFont val="Calibri"/>
        <family val="2"/>
        <scheme val="minor"/>
      </rPr>
      <t xml:space="preserve">2) </t>
    </r>
    <r>
      <rPr>
        <sz val="11"/>
        <color theme="1"/>
        <rFont val="Calibri"/>
        <family val="2"/>
        <scheme val="minor"/>
      </rPr>
      <t xml:space="preserve">Endoglin inhibition increased apoptosis, increased </t>
    </r>
    <r>
      <rPr>
        <b/>
        <sz val="11"/>
        <color theme="1"/>
        <rFont val="Calibri"/>
        <family val="2"/>
        <scheme val="minor"/>
      </rPr>
      <t>cisplatin</t>
    </r>
    <r>
      <rPr>
        <sz val="11"/>
        <color theme="1"/>
        <rFont val="Calibri"/>
        <family val="2"/>
        <scheme val="minor"/>
      </rPr>
      <t xml:space="preserve"> sensitivity and downregulates expression of numerous DNA repair genes, including BARD1, H2AFX, NBN, NTHL1, and SIRT1. BARD1, </t>
    </r>
    <r>
      <rPr>
        <b/>
        <sz val="11"/>
        <color theme="1"/>
        <rFont val="Calibri"/>
        <family val="2"/>
        <scheme val="minor"/>
      </rPr>
      <t xml:space="preserve">3) </t>
    </r>
    <r>
      <rPr>
        <sz val="11"/>
        <color theme="1"/>
        <rFont val="Calibri"/>
        <family val="2"/>
        <scheme val="minor"/>
      </rPr>
      <t xml:space="preserve">Endoglin inhibition was induced by platinum exposure. </t>
    </r>
    <r>
      <rPr>
        <b/>
        <sz val="11"/>
        <color theme="1"/>
        <rFont val="Calibri"/>
        <family val="2"/>
        <scheme val="minor"/>
      </rPr>
      <t>4)</t>
    </r>
    <r>
      <rPr>
        <sz val="11"/>
        <color theme="1"/>
        <rFont val="Calibri"/>
        <family val="2"/>
        <scheme val="minor"/>
      </rPr>
      <t xml:space="preserve"> In vivo, anti-endoglin treatment decreased tumor weight in both ES2 and HeyA8MDR models when compared to control (35-41% reduction, p&lt;0.05). </t>
    </r>
    <r>
      <rPr>
        <b/>
        <sz val="11"/>
        <color theme="1"/>
        <rFont val="Calibri"/>
        <family val="2"/>
        <scheme val="minor"/>
      </rPr>
      <t xml:space="preserve">5) </t>
    </r>
    <r>
      <rPr>
        <sz val="11"/>
        <color theme="1"/>
        <rFont val="Calibri"/>
        <family val="2"/>
        <scheme val="minor"/>
      </rPr>
      <t xml:space="preserve">Endoglin inhibition with carboplatin was associated with even greater inhibitory effect when compared to control (58-62% reduction, p&lt;0.001). </t>
    </r>
    <r>
      <rPr>
        <b/>
        <sz val="11"/>
        <color theme="1"/>
        <rFont val="Calibri"/>
        <family val="2"/>
        <scheme val="minor"/>
      </rPr>
      <t>6)</t>
    </r>
    <r>
      <rPr>
        <sz val="11"/>
        <color theme="1"/>
        <rFont val="Calibri"/>
        <family val="2"/>
        <scheme val="minor"/>
      </rPr>
      <t xml:space="preserve"> The overall response rate to Neoadjuvant chemotherapy (NAC) of these 34 patients was 67.6%.  Increased expression of endoglin in primary </t>
    </r>
    <r>
      <rPr>
        <b/>
        <sz val="11"/>
        <color theme="1"/>
        <rFont val="Calibri"/>
        <family val="2"/>
        <scheme val="minor"/>
      </rPr>
      <t>breast</t>
    </r>
    <r>
      <rPr>
        <sz val="11"/>
        <color theme="1"/>
        <rFont val="Calibri"/>
        <family val="2"/>
        <scheme val="minor"/>
      </rPr>
      <t xml:space="preserve"> tumors prior to NAC correlated with improved response in primary tumors (P=0.019) or in primary tumors and regional lymph nodes (P=0.014). </t>
    </r>
  </si>
  <si>
    <r>
      <rPr>
        <b/>
        <sz val="11"/>
        <color theme="1"/>
        <rFont val="Calibri"/>
        <family val="2"/>
        <scheme val="minor"/>
      </rPr>
      <t>1)</t>
    </r>
    <r>
      <rPr>
        <sz val="11"/>
        <color theme="1"/>
        <rFont val="Calibri"/>
        <family val="2"/>
        <scheme val="minor"/>
      </rPr>
      <t xml:space="preserve"> </t>
    </r>
    <r>
      <rPr>
        <b/>
        <sz val="11"/>
        <color theme="1"/>
        <rFont val="Calibri"/>
        <family val="2"/>
        <scheme val="minor"/>
      </rPr>
      <t>ENO1</t>
    </r>
    <r>
      <rPr>
        <sz val="11"/>
        <color theme="1"/>
        <rFont val="Calibri"/>
        <family val="2"/>
        <scheme val="minor"/>
      </rPr>
      <t xml:space="preserve"> silencing significantly reduced cell </t>
    </r>
    <r>
      <rPr>
        <b/>
        <sz val="11"/>
        <color theme="1"/>
        <rFont val="Calibri"/>
        <family val="2"/>
        <scheme val="minor"/>
      </rPr>
      <t>glycolysis</t>
    </r>
    <r>
      <rPr>
        <sz val="11"/>
        <color theme="1"/>
        <rFont val="Calibri"/>
        <family val="2"/>
        <scheme val="minor"/>
      </rPr>
      <t xml:space="preserve">, proliferation, migration, and invasion and mediated inactivation of PI3K/AKT signaling. </t>
    </r>
    <r>
      <rPr>
        <b/>
        <sz val="11"/>
        <color theme="1"/>
        <rFont val="Calibri"/>
        <family val="2"/>
        <scheme val="minor"/>
      </rPr>
      <t xml:space="preserve">2) </t>
    </r>
    <r>
      <rPr>
        <sz val="11"/>
        <color theme="1"/>
        <rFont val="Calibri"/>
        <family val="2"/>
        <scheme val="minor"/>
      </rPr>
      <t xml:space="preserve">Knocking down </t>
    </r>
    <r>
      <rPr>
        <b/>
        <sz val="11"/>
        <color theme="1"/>
        <rFont val="Calibri"/>
        <family val="2"/>
        <scheme val="minor"/>
      </rPr>
      <t>ENO1</t>
    </r>
    <r>
      <rPr>
        <sz val="11"/>
        <color theme="1"/>
        <rFont val="Calibri"/>
        <family val="2"/>
        <scheme val="minor"/>
      </rPr>
      <t xml:space="preserve"> could significantly enhance the sensitivity of </t>
    </r>
    <r>
      <rPr>
        <b/>
        <sz val="11"/>
        <color theme="1"/>
        <rFont val="Calibri"/>
        <family val="2"/>
        <scheme val="minor"/>
      </rPr>
      <t>endometrial</t>
    </r>
    <r>
      <rPr>
        <sz val="11"/>
        <color theme="1"/>
        <rFont val="Calibri"/>
        <family val="2"/>
        <scheme val="minor"/>
      </rPr>
      <t xml:space="preserve"> carcinoma (</t>
    </r>
    <r>
      <rPr>
        <b/>
        <sz val="11"/>
        <color theme="1"/>
        <rFont val="Calibri"/>
        <family val="2"/>
        <scheme val="minor"/>
      </rPr>
      <t>EC</t>
    </r>
    <r>
      <rPr>
        <sz val="11"/>
        <color theme="1"/>
        <rFont val="Calibri"/>
        <family val="2"/>
        <scheme val="minor"/>
      </rPr>
      <t>) cells to </t>
    </r>
    <r>
      <rPr>
        <b/>
        <sz val="11"/>
        <color theme="1"/>
        <rFont val="Calibri"/>
        <family val="2"/>
        <scheme val="minor"/>
      </rPr>
      <t>cisplatin</t>
    </r>
    <r>
      <rPr>
        <sz val="11"/>
        <color theme="1"/>
        <rFont val="Calibri"/>
        <family val="2"/>
        <scheme val="minor"/>
      </rPr>
      <t xml:space="preserve"> (DDP) and markedly inhibited the growth of EC xenografts in vivo. </t>
    </r>
    <r>
      <rPr>
        <b/>
        <sz val="11"/>
        <color theme="1"/>
        <rFont val="Calibri"/>
        <family val="2"/>
        <scheme val="minor"/>
      </rPr>
      <t>3)</t>
    </r>
    <r>
      <rPr>
        <sz val="11"/>
        <color theme="1"/>
        <rFont val="Calibri"/>
        <family val="2"/>
        <scheme val="minor"/>
      </rPr>
      <t xml:space="preserve"> EC patients with higher </t>
    </r>
    <r>
      <rPr>
        <b/>
        <sz val="11"/>
        <color theme="1"/>
        <rFont val="Calibri"/>
        <family val="2"/>
        <scheme val="minor"/>
      </rPr>
      <t>ENO1</t>
    </r>
    <r>
      <rPr>
        <sz val="11"/>
        <color theme="1"/>
        <rFont val="Calibri"/>
        <family val="2"/>
        <scheme val="minor"/>
      </rPr>
      <t xml:space="preserve"> expression had a markedly shorter overall survival than patients with low ENO1 expression. </t>
    </r>
    <r>
      <rPr>
        <b/>
        <sz val="11"/>
        <color theme="1"/>
        <rFont val="Calibri"/>
        <family val="2"/>
        <scheme val="minor"/>
      </rPr>
      <t>4)</t>
    </r>
    <r>
      <rPr>
        <sz val="11"/>
        <color theme="1"/>
        <rFont val="Calibri"/>
        <family val="2"/>
        <scheme val="minor"/>
      </rPr>
      <t xml:space="preserve"> granulin A (GRN A), an anticancer peptide, is able to interact with </t>
    </r>
    <r>
      <rPr>
        <b/>
        <sz val="11"/>
        <color theme="1"/>
        <rFont val="Calibri"/>
        <family val="2"/>
        <scheme val="minor"/>
      </rPr>
      <t>ENO1</t>
    </r>
    <r>
      <rPr>
        <sz val="11"/>
        <color theme="1"/>
        <rFont val="Calibri"/>
        <family val="2"/>
        <scheme val="minor"/>
      </rPr>
      <t xml:space="preserve"> and inhibit the growth of </t>
    </r>
    <r>
      <rPr>
        <b/>
        <sz val="11"/>
        <color theme="1"/>
        <rFont val="Calibri"/>
        <family val="2"/>
        <scheme val="minor"/>
      </rPr>
      <t>HCC</t>
    </r>
    <r>
      <rPr>
        <sz val="11"/>
        <color theme="1"/>
        <rFont val="Calibri"/>
        <family val="2"/>
        <scheme val="minor"/>
      </rPr>
      <t xml:space="preserve"> in vitro. </t>
    </r>
    <r>
      <rPr>
        <b/>
        <sz val="11"/>
        <color theme="1"/>
        <rFont val="Calibri"/>
        <family val="2"/>
        <scheme val="minor"/>
      </rPr>
      <t xml:space="preserve">5) </t>
    </r>
    <r>
      <rPr>
        <sz val="11"/>
        <color theme="1"/>
        <rFont val="Calibri"/>
        <family val="2"/>
        <scheme val="minor"/>
      </rPr>
      <t xml:space="preserve">the combination of </t>
    </r>
    <r>
      <rPr>
        <b/>
        <sz val="11"/>
        <color theme="1"/>
        <rFont val="Calibri"/>
        <family val="2"/>
        <scheme val="minor"/>
      </rPr>
      <t>cisplatin</t>
    </r>
    <r>
      <rPr>
        <sz val="11"/>
        <color theme="1"/>
        <rFont val="Calibri"/>
        <family val="2"/>
        <scheme val="minor"/>
      </rPr>
      <t xml:space="preserve"> and GRN A displayed potent synergistic effect for the inhibitory effect on HCC. </t>
    </r>
    <r>
      <rPr>
        <b/>
        <sz val="11"/>
        <color theme="1"/>
        <rFont val="Calibri"/>
        <family val="2"/>
        <scheme val="minor"/>
      </rPr>
      <t>6)</t>
    </r>
    <r>
      <rPr>
        <sz val="11"/>
        <color theme="1"/>
        <rFont val="Calibri"/>
        <family val="2"/>
        <scheme val="minor"/>
      </rPr>
      <t xml:space="preserve"> Overexpression of </t>
    </r>
    <r>
      <rPr>
        <b/>
        <sz val="11"/>
        <color theme="1"/>
        <rFont val="Calibri"/>
        <family val="2"/>
        <scheme val="minor"/>
      </rPr>
      <t>ENO1</t>
    </r>
    <r>
      <rPr>
        <sz val="11"/>
        <color theme="1"/>
        <rFont val="Calibri"/>
        <family val="2"/>
        <scheme val="minor"/>
      </rPr>
      <t xml:space="preserve"> diminished the synergistic effect of GRN A and cisplatin in HCC cells. </t>
    </r>
    <r>
      <rPr>
        <b/>
        <sz val="11"/>
        <color theme="1"/>
        <rFont val="Calibri"/>
        <family val="2"/>
        <scheme val="minor"/>
      </rPr>
      <t>7)</t>
    </r>
    <r>
      <rPr>
        <sz val="11"/>
        <color theme="1"/>
        <rFont val="Calibri"/>
        <family val="2"/>
        <scheme val="minor"/>
      </rPr>
      <t xml:space="preserve"> An in vivo study confirmed that the combined use of the two drugs displayed more potent antitumor activity compared to mice treated with </t>
    </r>
    <r>
      <rPr>
        <b/>
        <sz val="11"/>
        <color theme="1"/>
        <rFont val="Calibri"/>
        <family val="2"/>
        <scheme val="minor"/>
      </rPr>
      <t>cisplatin</t>
    </r>
    <r>
      <rPr>
        <sz val="11"/>
        <color theme="1"/>
        <rFont val="Calibri"/>
        <family val="2"/>
        <scheme val="minor"/>
      </rPr>
      <t xml:space="preserve"> and GRN A alone. </t>
    </r>
    <r>
      <rPr>
        <b/>
        <sz val="11"/>
        <color theme="1"/>
        <rFont val="Calibri"/>
        <family val="2"/>
        <scheme val="minor"/>
      </rPr>
      <t xml:space="preserve">8) </t>
    </r>
    <r>
      <rPr>
        <sz val="11"/>
        <color theme="1"/>
        <rFont val="Calibri"/>
        <family val="2"/>
        <scheme val="minor"/>
      </rPr>
      <t xml:space="preserve">the increased expression of </t>
    </r>
    <r>
      <rPr>
        <b/>
        <sz val="11"/>
        <color theme="1"/>
        <rFont val="Calibri"/>
        <family val="2"/>
        <scheme val="minor"/>
      </rPr>
      <t>ENO1</t>
    </r>
    <r>
      <rPr>
        <sz val="11"/>
        <color theme="1"/>
        <rFont val="Calibri"/>
        <family val="2"/>
        <scheme val="minor"/>
      </rPr>
      <t xml:space="preserve"> in cisplatin-resistant </t>
    </r>
    <r>
      <rPr>
        <b/>
        <sz val="11"/>
        <color theme="1"/>
        <rFont val="Calibri"/>
        <family val="2"/>
        <scheme val="minor"/>
      </rPr>
      <t>gastric</t>
    </r>
    <r>
      <rPr>
        <sz val="11"/>
        <color theme="1"/>
        <rFont val="Calibri"/>
        <family val="2"/>
        <scheme val="minor"/>
      </rPr>
      <t xml:space="preserve"> cancer cells. </t>
    </r>
    <r>
      <rPr>
        <b/>
        <sz val="11"/>
        <color theme="1"/>
        <rFont val="Calibri"/>
        <family val="2"/>
        <scheme val="minor"/>
      </rPr>
      <t xml:space="preserve">9) </t>
    </r>
    <r>
      <rPr>
        <sz val="11"/>
        <color theme="1"/>
        <rFont val="Calibri"/>
        <family val="2"/>
        <scheme val="minor"/>
      </rPr>
      <t xml:space="preserve">Depletion of </t>
    </r>
    <r>
      <rPr>
        <b/>
        <sz val="11"/>
        <color theme="1"/>
        <rFont val="Calibri"/>
        <family val="2"/>
        <scheme val="minor"/>
      </rPr>
      <t>ENO1</t>
    </r>
    <r>
      <rPr>
        <sz val="11"/>
        <color theme="1"/>
        <rFont val="Calibri"/>
        <family val="2"/>
        <scheme val="minor"/>
      </rPr>
      <t xml:space="preserve"> by siRNA significantly reduced glycolysis and reversed drug resistance. </t>
    </r>
    <r>
      <rPr>
        <b/>
        <sz val="11"/>
        <color theme="1"/>
        <rFont val="Calibri"/>
        <family val="2"/>
        <scheme val="minor"/>
      </rPr>
      <t>10)</t>
    </r>
    <r>
      <rPr>
        <sz val="11"/>
        <color theme="1"/>
        <rFont val="Calibri"/>
        <family val="2"/>
        <scheme val="minor"/>
      </rPr>
      <t xml:space="preserve"> the elevated levels of </t>
    </r>
    <r>
      <rPr>
        <b/>
        <sz val="11"/>
        <color theme="1"/>
        <rFont val="Calibri"/>
        <family val="2"/>
        <scheme val="minor"/>
      </rPr>
      <t>ENO1</t>
    </r>
    <r>
      <rPr>
        <sz val="11"/>
        <color theme="1"/>
        <rFont val="Calibri"/>
        <family val="2"/>
        <scheme val="minor"/>
      </rPr>
      <t xml:space="preserve"> proteins were associated with the shorter overall survival of</t>
    </r>
    <r>
      <rPr>
        <b/>
        <sz val="11"/>
        <color theme="1"/>
        <rFont val="Calibri"/>
        <family val="2"/>
        <scheme val="minor"/>
      </rPr>
      <t xml:space="preserve"> gastric </t>
    </r>
    <r>
      <rPr>
        <sz val="11"/>
        <color theme="1"/>
        <rFont val="Calibri"/>
        <family val="2"/>
        <scheme val="minor"/>
      </rPr>
      <t xml:space="preserve">cancer patients. </t>
    </r>
    <r>
      <rPr>
        <b/>
        <sz val="11"/>
        <color theme="1"/>
        <rFont val="Calibri"/>
        <family val="2"/>
        <scheme val="minor"/>
      </rPr>
      <t>11)</t>
    </r>
    <r>
      <rPr>
        <sz val="11"/>
        <color theme="1"/>
        <rFont val="Calibri"/>
        <family val="2"/>
        <scheme val="minor"/>
      </rPr>
      <t xml:space="preserve"> the increased expression of </t>
    </r>
    <r>
      <rPr>
        <b/>
        <sz val="11"/>
        <color theme="1"/>
        <rFont val="Calibri"/>
        <family val="2"/>
        <scheme val="minor"/>
      </rPr>
      <t>ENO1</t>
    </r>
    <r>
      <rPr>
        <sz val="11"/>
        <color theme="1"/>
        <rFont val="Calibri"/>
        <family val="2"/>
        <scheme val="minor"/>
      </rPr>
      <t xml:space="preserve"> was found in </t>
    </r>
    <r>
      <rPr>
        <b/>
        <sz val="11"/>
        <color theme="1"/>
        <rFont val="Calibri"/>
        <family val="2"/>
        <scheme val="minor"/>
      </rPr>
      <t>cisplatin</t>
    </r>
    <r>
      <rPr>
        <sz val="11"/>
        <color theme="1"/>
        <rFont val="Calibri"/>
        <family val="2"/>
        <scheme val="minor"/>
      </rPr>
      <t xml:space="preserve">-resistant gastric cancer cells. </t>
    </r>
  </si>
  <si>
    <r>
      <rPr>
        <b/>
        <sz val="11"/>
        <color theme="1"/>
        <rFont val="Calibri"/>
        <family val="2"/>
        <scheme val="minor"/>
      </rPr>
      <t>1) ENPP2</t>
    </r>
    <r>
      <rPr>
        <sz val="11"/>
        <color theme="1"/>
        <rFont val="Calibri"/>
        <family val="2"/>
        <scheme val="minor"/>
      </rPr>
      <t xml:space="preserve"> was identified as a candidate gene causing drug resistance to </t>
    </r>
    <r>
      <rPr>
        <b/>
        <sz val="11"/>
        <color theme="1"/>
        <rFont val="Calibri"/>
        <family val="2"/>
        <scheme val="minor"/>
      </rPr>
      <t>carboplatin</t>
    </r>
    <r>
      <rPr>
        <sz val="11"/>
        <color theme="1"/>
        <rFont val="Calibri"/>
        <family val="2"/>
        <scheme val="minor"/>
      </rPr>
      <t xml:space="preserve"> or paclitaxel. </t>
    </r>
    <r>
      <rPr>
        <b/>
        <sz val="11"/>
        <color theme="1"/>
        <rFont val="Calibri"/>
        <family val="2"/>
        <scheme val="minor"/>
      </rPr>
      <t xml:space="preserve">2) </t>
    </r>
    <r>
      <rPr>
        <sz val="11"/>
        <color theme="1"/>
        <rFont val="Calibri"/>
        <family val="2"/>
        <scheme val="minor"/>
      </rPr>
      <t xml:space="preserve">siRNA directed to ENPP2 resulted in earlier apoptosis following treatment with carboplatin. 2-carbacyclic phosphatidic acid (ccPA 16:1), a small molecule inhibitor of </t>
    </r>
    <r>
      <rPr>
        <b/>
        <sz val="11"/>
        <color theme="1"/>
        <rFont val="Calibri"/>
        <family val="2"/>
        <scheme val="minor"/>
      </rPr>
      <t>autotaxin</t>
    </r>
    <r>
      <rPr>
        <sz val="11"/>
        <color theme="1"/>
        <rFont val="Calibri"/>
        <family val="2"/>
        <scheme val="minor"/>
      </rPr>
      <t xml:space="preserve">, also accelerated apoptosis induced by carboplatin. </t>
    </r>
    <r>
      <rPr>
        <b/>
        <sz val="11"/>
        <color theme="1"/>
        <rFont val="Calibri"/>
        <family val="2"/>
        <scheme val="minor"/>
      </rPr>
      <t xml:space="preserve">3) </t>
    </r>
    <r>
      <rPr>
        <sz val="11"/>
        <color theme="1"/>
        <rFont val="Calibri"/>
        <family val="2"/>
        <scheme val="minor"/>
      </rPr>
      <t xml:space="preserve">Stable ectopic expression of </t>
    </r>
    <r>
      <rPr>
        <b/>
        <sz val="11"/>
        <color theme="1"/>
        <rFont val="Calibri"/>
        <family val="2"/>
        <scheme val="minor"/>
      </rPr>
      <t>autotaxin</t>
    </r>
    <r>
      <rPr>
        <sz val="11"/>
        <color theme="1"/>
        <rFont val="Calibri"/>
        <family val="2"/>
        <scheme val="minor"/>
      </rPr>
      <t xml:space="preserve"> in OVCAR-3 cells led to a delay in apoptosis. </t>
    </r>
    <r>
      <rPr>
        <b/>
        <sz val="11"/>
        <color theme="1"/>
        <rFont val="Calibri"/>
        <family val="2"/>
        <scheme val="minor"/>
      </rPr>
      <t>4)</t>
    </r>
    <r>
      <rPr>
        <sz val="11"/>
        <color theme="1"/>
        <rFont val="Calibri"/>
        <family val="2"/>
        <scheme val="minor"/>
      </rPr>
      <t xml:space="preserve"> When serum was withdrawn to remove exogenous LPA, ccPA caused a pronounced potentiation of apoptosis induced by carboplatin in cells expressing autotaxin. </t>
    </r>
    <r>
      <rPr>
        <b/>
        <sz val="11"/>
        <color theme="1"/>
        <rFont val="Calibri"/>
        <family val="2"/>
        <scheme val="minor"/>
      </rPr>
      <t>5)</t>
    </r>
    <r>
      <rPr>
        <sz val="11"/>
        <color theme="1"/>
        <rFont val="Calibri"/>
        <family val="2"/>
        <scheme val="minor"/>
      </rPr>
      <t xml:space="preserve"> The mean expression level of </t>
    </r>
    <r>
      <rPr>
        <b/>
        <sz val="11"/>
        <color theme="1"/>
        <rFont val="Calibri"/>
        <family val="2"/>
        <scheme val="minor"/>
      </rPr>
      <t>ATX</t>
    </r>
    <r>
      <rPr>
        <sz val="11"/>
        <color theme="1"/>
        <rFont val="Calibri"/>
        <family val="2"/>
        <scheme val="minor"/>
      </rPr>
      <t xml:space="preserve"> gene in HCC samples was higher than that in normal liver tissues. </t>
    </r>
    <r>
      <rPr>
        <b/>
        <sz val="11"/>
        <color theme="1"/>
        <rFont val="Calibri"/>
        <family val="2"/>
        <scheme val="minor"/>
      </rPr>
      <t>6)</t>
    </r>
    <r>
      <rPr>
        <sz val="11"/>
        <color theme="1"/>
        <rFont val="Calibri"/>
        <family val="2"/>
        <scheme val="minor"/>
      </rPr>
      <t xml:space="preserve"> Intrahepatic metastasis, vascular invasion and poor differentiation were more frequently noted in HCC patients with high ATX expression than in patients with low ATX expression.</t>
    </r>
  </si>
  <si>
    <r>
      <rPr>
        <b/>
        <sz val="11"/>
        <color theme="1"/>
        <rFont val="Calibri"/>
        <family val="2"/>
        <scheme val="minor"/>
      </rPr>
      <t>1)</t>
    </r>
    <r>
      <rPr>
        <sz val="11"/>
        <color theme="1"/>
        <rFont val="Calibri"/>
        <family val="2"/>
        <scheme val="minor"/>
      </rPr>
      <t xml:space="preserve"> In bladder cancer cells, experimental downregulation of </t>
    </r>
    <r>
      <rPr>
        <b/>
        <sz val="11"/>
        <color theme="1"/>
        <rFont val="Calibri"/>
        <family val="2"/>
        <scheme val="minor"/>
      </rPr>
      <t>EP300</t>
    </r>
    <r>
      <rPr>
        <sz val="11"/>
        <color theme="1"/>
        <rFont val="Calibri"/>
        <family val="2"/>
        <scheme val="minor"/>
      </rPr>
      <t xml:space="preserve"> also leads to doxorubicin and </t>
    </r>
    <r>
      <rPr>
        <b/>
        <sz val="11"/>
        <color theme="1"/>
        <rFont val="Calibri"/>
        <family val="2"/>
        <scheme val="minor"/>
      </rPr>
      <t>cisplatin</t>
    </r>
    <r>
      <rPr>
        <sz val="11"/>
        <color theme="1"/>
        <rFont val="Calibri"/>
        <family val="2"/>
        <scheme val="minor"/>
      </rPr>
      <t xml:space="preserve"> resistance. </t>
    </r>
    <r>
      <rPr>
        <b/>
        <sz val="11"/>
        <color theme="1"/>
        <rFont val="Calibri"/>
        <family val="2"/>
        <scheme val="minor"/>
      </rPr>
      <t>2)</t>
    </r>
    <r>
      <rPr>
        <sz val="11"/>
        <color theme="1"/>
        <rFont val="Calibri"/>
        <family val="2"/>
        <scheme val="minor"/>
      </rPr>
      <t xml:space="preserve"> Knockdown of Foxo3a-associated acetyltransferase p300 promoted cancer-cell growth and cisplatin resistance. </t>
    </r>
    <r>
      <rPr>
        <b/>
        <sz val="11"/>
        <color theme="1"/>
        <rFont val="Calibri"/>
        <family val="2"/>
        <scheme val="minor"/>
      </rPr>
      <t>3)</t>
    </r>
    <r>
      <rPr>
        <sz val="11"/>
        <color theme="1"/>
        <rFont val="Calibri"/>
        <family val="2"/>
        <scheme val="minor"/>
      </rPr>
      <t xml:space="preserve"> Levels of the histone acetyltransferase (HAT), p300, were decreased due to a consistent cisplatin post-treatment. </t>
    </r>
    <r>
      <rPr>
        <b/>
        <sz val="11"/>
        <color theme="1"/>
        <rFont val="Calibri"/>
        <family val="2"/>
        <scheme val="minor"/>
      </rPr>
      <t>4)</t>
    </r>
    <r>
      <rPr>
        <sz val="11"/>
        <color theme="1"/>
        <rFont val="Calibri"/>
        <family val="2"/>
        <scheme val="minor"/>
      </rPr>
      <t xml:space="preserve"> Immuno histochemical analysis demonstrated that EP300 expression was low in metaplastic breast cancer, a rare, but aggressive form of the disease with poor prognosis that is characterized by morphological and physiological features of EMT.</t>
    </r>
  </si>
  <si>
    <r>
      <rPr>
        <b/>
        <sz val="11"/>
        <color theme="1"/>
        <rFont val="Calibri"/>
        <family val="2"/>
        <scheme val="minor"/>
      </rPr>
      <t>1)</t>
    </r>
    <r>
      <rPr>
        <sz val="11"/>
        <color theme="1"/>
        <rFont val="Calibri"/>
        <family val="2"/>
        <scheme val="minor"/>
      </rPr>
      <t xml:space="preserve"> 111 patients with </t>
    </r>
    <r>
      <rPr>
        <b/>
        <sz val="11"/>
        <color theme="1"/>
        <rFont val="Calibri"/>
        <family val="2"/>
        <scheme val="minor"/>
      </rPr>
      <t>ovarian</t>
    </r>
    <r>
      <rPr>
        <sz val="11"/>
        <color theme="1"/>
        <rFont val="Calibri"/>
        <family val="2"/>
        <scheme val="minor"/>
      </rPr>
      <t xml:space="preserve"> cancer treated with </t>
    </r>
    <r>
      <rPr>
        <b/>
        <sz val="11"/>
        <color theme="1"/>
        <rFont val="Calibri"/>
        <family val="2"/>
        <scheme val="minor"/>
      </rPr>
      <t>cisplatin</t>
    </r>
    <r>
      <rPr>
        <sz val="11"/>
        <color theme="1"/>
        <rFont val="Calibri"/>
        <family val="2"/>
        <scheme val="minor"/>
      </rPr>
      <t xml:space="preserve"> and paclitaxel: a role for polymorphism in the outcome of ovarian cancer patients - patients carrying the </t>
    </r>
    <r>
      <rPr>
        <u/>
        <sz val="11"/>
        <color theme="1"/>
        <rFont val="Calibri"/>
        <family val="2"/>
        <scheme val="minor"/>
      </rPr>
      <t>valine homozygotic genotype</t>
    </r>
    <r>
      <rPr>
        <sz val="11"/>
        <color theme="1"/>
        <rFont val="Calibri"/>
        <family val="2"/>
        <scheme val="minor"/>
      </rPr>
      <t xml:space="preserve"> present a lower overall survival - the G allele has been implicated in the formation of active </t>
    </r>
    <r>
      <rPr>
        <b/>
        <sz val="11"/>
        <color theme="1"/>
        <rFont val="Calibri"/>
        <family val="2"/>
        <scheme val="minor"/>
      </rPr>
      <t>HER2</t>
    </r>
    <r>
      <rPr>
        <sz val="11"/>
        <color theme="1"/>
        <rFont val="Calibri"/>
        <family val="2"/>
        <scheme val="minor"/>
      </rPr>
      <t xml:space="preserve"> receptors, with a more aggressive phenotype. </t>
    </r>
    <r>
      <rPr>
        <b/>
        <sz val="11"/>
        <color theme="1"/>
        <rFont val="Calibri"/>
        <family val="2"/>
        <scheme val="minor"/>
      </rPr>
      <t>2)</t>
    </r>
    <r>
      <rPr>
        <sz val="11"/>
        <color theme="1"/>
        <rFont val="Calibri"/>
        <family val="2"/>
        <scheme val="minor"/>
      </rPr>
      <t xml:space="preserve"> human </t>
    </r>
    <r>
      <rPr>
        <b/>
        <sz val="11"/>
        <color theme="1"/>
        <rFont val="Calibri"/>
        <family val="2"/>
        <scheme val="minor"/>
      </rPr>
      <t>ovarian</t>
    </r>
    <r>
      <rPr>
        <sz val="11"/>
        <color theme="1"/>
        <rFont val="Calibri"/>
        <family val="2"/>
        <scheme val="minor"/>
      </rPr>
      <t xml:space="preserve"> serous adenocarcinoma cells, TU-OS-4 overexpressing EGFR, and </t>
    </r>
    <r>
      <rPr>
        <b/>
        <sz val="11"/>
        <color theme="1"/>
        <rFont val="Calibri"/>
        <family val="2"/>
        <scheme val="minor"/>
      </rPr>
      <t>HER2</t>
    </r>
    <r>
      <rPr>
        <sz val="11"/>
        <color theme="1"/>
        <rFont val="Calibri"/>
        <family val="2"/>
        <scheme val="minor"/>
      </rPr>
      <t xml:space="preserve">, and phosphorylated HER2 protein is resistant to both </t>
    </r>
    <r>
      <rPr>
        <b/>
        <sz val="11"/>
        <color theme="1"/>
        <rFont val="Calibri"/>
        <family val="2"/>
        <scheme val="minor"/>
      </rPr>
      <t>cisplatin</t>
    </r>
    <r>
      <rPr>
        <sz val="11"/>
        <color theme="1"/>
        <rFont val="Calibri"/>
        <family val="2"/>
        <scheme val="minor"/>
      </rPr>
      <t xml:space="preserve"> and paclitaxel. </t>
    </r>
    <r>
      <rPr>
        <b/>
        <sz val="11"/>
        <color theme="1"/>
        <rFont val="Calibri"/>
        <family val="2"/>
        <scheme val="minor"/>
      </rPr>
      <t xml:space="preserve">3) </t>
    </r>
    <r>
      <rPr>
        <sz val="11"/>
        <color theme="1"/>
        <rFont val="Calibri"/>
        <family val="2"/>
        <scheme val="minor"/>
      </rPr>
      <t xml:space="preserve">Lapatinib, a dual tyrosine kinase inhibitor of EGFR and </t>
    </r>
    <r>
      <rPr>
        <b/>
        <sz val="11"/>
        <color theme="1"/>
        <rFont val="Calibri"/>
        <family val="2"/>
        <scheme val="minor"/>
      </rPr>
      <t>HER2</t>
    </r>
    <r>
      <rPr>
        <sz val="11"/>
        <color theme="1"/>
        <rFont val="Calibri"/>
        <family val="2"/>
        <scheme val="minor"/>
      </rPr>
      <t xml:space="preserve">, be effective in inhibiting growth of TU-OS-4 cells, additive to cisplatin. </t>
    </r>
    <r>
      <rPr>
        <b/>
        <sz val="11"/>
        <color theme="1"/>
        <rFont val="Calibri"/>
        <family val="2"/>
        <scheme val="minor"/>
      </rPr>
      <t xml:space="preserve">4) </t>
    </r>
    <r>
      <rPr>
        <sz val="11"/>
        <color theme="1"/>
        <rFont val="Calibri"/>
        <family val="2"/>
        <scheme val="minor"/>
      </rPr>
      <t xml:space="preserve">Lapatinib combined with carboplatin also significantly inhibits serous ovarian carcinoma growth compared with each drug alone in a xenograft mouse model. </t>
    </r>
    <r>
      <rPr>
        <b/>
        <sz val="11"/>
        <color theme="1"/>
        <rFont val="Calibri"/>
        <family val="2"/>
        <scheme val="minor"/>
      </rPr>
      <t xml:space="preserve">5) </t>
    </r>
    <r>
      <rPr>
        <sz val="11"/>
        <color theme="1"/>
        <rFont val="Calibri"/>
        <family val="2"/>
        <scheme val="minor"/>
      </rPr>
      <t xml:space="preserve">Only </t>
    </r>
    <r>
      <rPr>
        <b/>
        <sz val="11"/>
        <color theme="1"/>
        <rFont val="Calibri"/>
        <family val="2"/>
        <scheme val="minor"/>
      </rPr>
      <t>HER-2</t>
    </r>
    <r>
      <rPr>
        <sz val="11"/>
        <color theme="1"/>
        <rFont val="Calibri"/>
        <family val="2"/>
        <scheme val="minor"/>
      </rPr>
      <t xml:space="preserve"> overexpression in </t>
    </r>
    <r>
      <rPr>
        <b/>
        <sz val="11"/>
        <color theme="1"/>
        <rFont val="Calibri"/>
        <family val="2"/>
        <scheme val="minor"/>
      </rPr>
      <t>OC</t>
    </r>
    <r>
      <rPr>
        <sz val="11"/>
        <color theme="1"/>
        <rFont val="Calibri"/>
        <family val="2"/>
        <scheme val="minor"/>
      </rPr>
      <t xml:space="preserve"> patients was significantly associated with shorter progression-free survival and overall survival after </t>
    </r>
    <r>
      <rPr>
        <b/>
        <sz val="11"/>
        <color theme="1"/>
        <rFont val="Calibri"/>
        <family val="2"/>
        <scheme val="minor"/>
      </rPr>
      <t>platinum</t>
    </r>
    <r>
      <rPr>
        <sz val="11"/>
        <color theme="1"/>
        <rFont val="Calibri"/>
        <family val="2"/>
        <scheme val="minor"/>
      </rPr>
      <t xml:space="preserve"> based chemotherapy. </t>
    </r>
    <r>
      <rPr>
        <b/>
        <sz val="11"/>
        <color theme="1"/>
        <rFont val="Calibri"/>
        <family val="2"/>
        <scheme val="minor"/>
      </rPr>
      <t xml:space="preserve">6) </t>
    </r>
    <r>
      <rPr>
        <sz val="11"/>
        <color theme="1"/>
        <rFont val="Calibri"/>
        <family val="2"/>
        <scheme val="minor"/>
      </rPr>
      <t xml:space="preserve">Non-small cell </t>
    </r>
    <r>
      <rPr>
        <b/>
        <sz val="11"/>
        <color theme="1"/>
        <rFont val="Calibri"/>
        <family val="2"/>
        <scheme val="minor"/>
      </rPr>
      <t>lung</t>
    </r>
    <r>
      <rPr>
        <sz val="11"/>
        <color theme="1"/>
        <rFont val="Calibri"/>
        <family val="2"/>
        <scheme val="minor"/>
      </rPr>
      <t xml:space="preserve"> cancer patients with high expression of </t>
    </r>
    <r>
      <rPr>
        <b/>
        <sz val="11"/>
        <color theme="1"/>
        <rFont val="Calibri"/>
        <family val="2"/>
        <scheme val="minor"/>
      </rPr>
      <t>HER2</t>
    </r>
    <r>
      <rPr>
        <sz val="11"/>
        <color theme="1"/>
        <rFont val="Calibri"/>
        <family val="2"/>
        <scheme val="minor"/>
      </rPr>
      <t xml:space="preserve"> exhibited resistance to cisplatin-based chemotherapies that are the standard treatment for this disease. </t>
    </r>
    <r>
      <rPr>
        <b/>
        <sz val="11"/>
        <color theme="1"/>
        <rFont val="Calibri"/>
        <family val="2"/>
        <scheme val="minor"/>
      </rPr>
      <t>7)</t>
    </r>
    <r>
      <rPr>
        <sz val="11"/>
        <color theme="1"/>
        <rFont val="Calibri"/>
        <family val="2"/>
        <scheme val="minor"/>
      </rPr>
      <t xml:space="preserve"> </t>
    </r>
    <r>
      <rPr>
        <b/>
        <sz val="11"/>
        <color theme="1"/>
        <rFont val="Calibri"/>
        <family val="2"/>
        <scheme val="minor"/>
      </rPr>
      <t>HER-2</t>
    </r>
    <r>
      <rPr>
        <sz val="11"/>
        <color theme="1"/>
        <rFont val="Calibri"/>
        <family val="2"/>
        <scheme val="minor"/>
      </rPr>
      <t xml:space="preserve"> expression was significantly associated with </t>
    </r>
    <r>
      <rPr>
        <b/>
        <sz val="11"/>
        <color theme="1"/>
        <rFont val="Calibri"/>
        <family val="2"/>
        <scheme val="minor"/>
      </rPr>
      <t>cisplatin</t>
    </r>
    <r>
      <rPr>
        <sz val="11"/>
        <color theme="1"/>
        <rFont val="Calibri"/>
        <family val="2"/>
        <scheme val="minor"/>
      </rPr>
      <t xml:space="preserve"> sensitivity (p = 0.0089) in </t>
    </r>
    <r>
      <rPr>
        <b/>
        <sz val="11"/>
        <color theme="1"/>
        <rFont val="Calibri"/>
        <family val="2"/>
        <scheme val="minor"/>
      </rPr>
      <t>head and neck</t>
    </r>
    <r>
      <rPr>
        <sz val="11"/>
        <color theme="1"/>
        <rFont val="Calibri"/>
        <family val="2"/>
        <scheme val="minor"/>
      </rPr>
      <t xml:space="preserve"> squamous cell carcinoma (HNSCC). </t>
    </r>
  </si>
  <si>
    <r>
      <rPr>
        <b/>
        <sz val="11"/>
        <color theme="1"/>
        <rFont val="Calibri"/>
        <family val="2"/>
        <scheme val="minor"/>
      </rPr>
      <t>1)</t>
    </r>
    <r>
      <rPr>
        <sz val="11"/>
        <color theme="1"/>
        <rFont val="Calibri"/>
        <family val="2"/>
        <scheme val="minor"/>
      </rPr>
      <t xml:space="preserve"> Sensitivity to gefitinib correlated with overexpression and constitutive </t>
    </r>
    <r>
      <rPr>
        <b/>
        <sz val="11"/>
        <color theme="1"/>
        <rFont val="Calibri"/>
        <family val="2"/>
        <scheme val="minor"/>
      </rPr>
      <t>phosphorylation</t>
    </r>
    <r>
      <rPr>
        <sz val="11"/>
        <color theme="1"/>
        <rFont val="Calibri"/>
        <family val="2"/>
        <scheme val="minor"/>
      </rPr>
      <t xml:space="preserve"> of HER2 and </t>
    </r>
    <r>
      <rPr>
        <b/>
        <sz val="11"/>
        <color theme="1"/>
        <rFont val="Calibri"/>
        <family val="2"/>
        <scheme val="minor"/>
      </rPr>
      <t>HER3</t>
    </r>
    <r>
      <rPr>
        <sz val="11"/>
        <color theme="1"/>
        <rFont val="Calibri"/>
        <family val="2"/>
        <scheme val="minor"/>
      </rPr>
      <t xml:space="preserve"> in chemoresistant </t>
    </r>
    <r>
      <rPr>
        <b/>
        <sz val="11"/>
        <color theme="1"/>
        <rFont val="Calibri"/>
        <family val="2"/>
        <scheme val="minor"/>
      </rPr>
      <t xml:space="preserve">glioma </t>
    </r>
    <r>
      <rPr>
        <sz val="11"/>
        <color theme="1"/>
        <rFont val="Calibri"/>
        <family val="2"/>
        <scheme val="minor"/>
      </rPr>
      <t xml:space="preserve">and </t>
    </r>
    <r>
      <rPr>
        <b/>
        <sz val="11"/>
        <color theme="1"/>
        <rFont val="Calibri"/>
        <family val="2"/>
        <scheme val="minor"/>
      </rPr>
      <t>ovarian</t>
    </r>
    <r>
      <rPr>
        <sz val="11"/>
        <color theme="1"/>
        <rFont val="Calibri"/>
        <family val="2"/>
        <scheme val="minor"/>
      </rPr>
      <t xml:space="preserve"> cancer  cell lines. </t>
    </r>
    <r>
      <rPr>
        <b/>
        <sz val="11"/>
        <color theme="1"/>
        <rFont val="Calibri"/>
        <family val="2"/>
        <scheme val="minor"/>
      </rPr>
      <t xml:space="preserve">2) </t>
    </r>
    <r>
      <rPr>
        <sz val="11"/>
        <color theme="1"/>
        <rFont val="Calibri"/>
        <family val="2"/>
        <scheme val="minor"/>
      </rPr>
      <t xml:space="preserve">treatment of cells with </t>
    </r>
    <r>
      <rPr>
        <b/>
        <sz val="11"/>
        <color theme="1"/>
        <rFont val="Calibri"/>
        <family val="2"/>
        <scheme val="minor"/>
      </rPr>
      <t>cisplatin</t>
    </r>
    <r>
      <rPr>
        <sz val="11"/>
        <color theme="1"/>
        <rFont val="Calibri"/>
        <family val="2"/>
        <scheme val="minor"/>
      </rPr>
      <t xml:space="preserve"> resulted in activation of the HER3 receptor. </t>
    </r>
    <r>
      <rPr>
        <b/>
        <sz val="11"/>
        <color theme="1"/>
        <rFont val="Calibri"/>
        <family val="2"/>
        <scheme val="minor"/>
      </rPr>
      <t>3)</t>
    </r>
    <r>
      <rPr>
        <sz val="11"/>
        <color theme="1"/>
        <rFont val="Calibri"/>
        <family val="2"/>
        <scheme val="minor"/>
      </rPr>
      <t xml:space="preserve"> The increase in HER3 </t>
    </r>
    <r>
      <rPr>
        <b/>
        <sz val="11"/>
        <color theme="1"/>
        <rFont val="Calibri"/>
        <family val="2"/>
        <scheme val="minor"/>
      </rPr>
      <t>phosphorylation</t>
    </r>
    <r>
      <rPr>
        <sz val="11"/>
        <color theme="1"/>
        <rFont val="Calibri"/>
        <family val="2"/>
        <scheme val="minor"/>
      </rPr>
      <t xml:space="preserve"> was detected in well-established ovarian cancer cell lines which originate from patients previously treated with these chemotherapeutic drugs. </t>
    </r>
    <r>
      <rPr>
        <b/>
        <sz val="11"/>
        <color theme="1"/>
        <rFont val="Calibri"/>
        <family val="2"/>
        <scheme val="minor"/>
      </rPr>
      <t>4) ErbB1</t>
    </r>
    <r>
      <rPr>
        <sz val="11"/>
        <color theme="1"/>
        <rFont val="Calibri"/>
        <family val="2"/>
        <scheme val="minor"/>
      </rPr>
      <t xml:space="preserve"> and </t>
    </r>
    <r>
      <rPr>
        <b/>
        <sz val="11"/>
        <color theme="1"/>
        <rFont val="Calibri"/>
        <family val="2"/>
        <scheme val="minor"/>
      </rPr>
      <t>ErbB3</t>
    </r>
    <r>
      <rPr>
        <sz val="11"/>
        <color theme="1"/>
        <rFont val="Calibri"/>
        <family val="2"/>
        <scheme val="minor"/>
      </rPr>
      <t xml:space="preserve"> co-overexpression is accompanied with the poor prognosis and can be used efficiently in targeted therapy of </t>
    </r>
    <r>
      <rPr>
        <b/>
        <sz val="11"/>
        <color theme="1"/>
        <rFont val="Calibri"/>
        <family val="2"/>
        <scheme val="minor"/>
      </rPr>
      <t>gastric</t>
    </r>
    <r>
      <rPr>
        <sz val="11"/>
        <color theme="1"/>
        <rFont val="Calibri"/>
        <family val="2"/>
        <scheme val="minor"/>
      </rPr>
      <t xml:space="preserve"> cancer patients.</t>
    </r>
  </si>
  <si>
    <r>
      <rPr>
        <b/>
        <sz val="11"/>
        <color theme="1"/>
        <rFont val="Calibri"/>
        <family val="2"/>
        <scheme val="minor"/>
      </rPr>
      <t xml:space="preserve">1) </t>
    </r>
    <r>
      <rPr>
        <sz val="11"/>
        <color theme="1"/>
        <rFont val="Calibri"/>
        <family val="2"/>
        <scheme val="minor"/>
      </rPr>
      <t xml:space="preserve">High-level ERBB4 expression was observed at a significantly higher frequency in </t>
    </r>
    <r>
      <rPr>
        <b/>
        <sz val="11"/>
        <color theme="1"/>
        <rFont val="Calibri"/>
        <family val="2"/>
        <scheme val="minor"/>
      </rPr>
      <t>ovarian</t>
    </r>
    <r>
      <rPr>
        <sz val="11"/>
        <color theme="1"/>
        <rFont val="Calibri"/>
        <family val="2"/>
        <scheme val="minor"/>
      </rPr>
      <t xml:space="preserve"> serous carcinoma compared with normal control tissue. </t>
    </r>
    <r>
      <rPr>
        <b/>
        <sz val="11"/>
        <color theme="1"/>
        <rFont val="Calibri"/>
        <family val="2"/>
        <scheme val="minor"/>
      </rPr>
      <t xml:space="preserve">2) </t>
    </r>
    <r>
      <rPr>
        <sz val="11"/>
        <color theme="1"/>
        <rFont val="Calibri"/>
        <family val="2"/>
        <scheme val="minor"/>
      </rPr>
      <t xml:space="preserve">Among tumor specimens, ERBB4 expression was significantly higher for those with incomplete response (IR) to </t>
    </r>
    <r>
      <rPr>
        <b/>
        <sz val="11"/>
        <color theme="1"/>
        <rFont val="Calibri"/>
        <family val="2"/>
        <scheme val="minor"/>
      </rPr>
      <t>platinum</t>
    </r>
    <r>
      <rPr>
        <sz val="11"/>
        <color theme="1"/>
        <rFont val="Calibri"/>
        <family val="2"/>
        <scheme val="minor"/>
      </rPr>
      <t xml:space="preserve"> based </t>
    </r>
    <r>
      <rPr>
        <b/>
        <sz val="11"/>
        <color theme="1"/>
        <rFont val="Calibri"/>
        <family val="2"/>
        <scheme val="minor"/>
      </rPr>
      <t xml:space="preserve">chemotherapy </t>
    </r>
    <r>
      <rPr>
        <sz val="11"/>
        <color theme="1"/>
        <rFont val="Calibri"/>
        <family val="2"/>
        <scheme val="minor"/>
      </rPr>
      <t xml:space="preserve">compared with complete response (CR) (P = .033). </t>
    </r>
    <r>
      <rPr>
        <b/>
        <sz val="11"/>
        <color theme="1"/>
        <rFont val="Calibri"/>
        <family val="2"/>
        <scheme val="minor"/>
      </rPr>
      <t xml:space="preserve">3) </t>
    </r>
    <r>
      <rPr>
        <sz val="11"/>
        <color theme="1"/>
        <rFont val="Calibri"/>
        <family val="2"/>
        <scheme val="minor"/>
      </rPr>
      <t xml:space="preserve">OS was inversely correlated with ERBB4 expression levels. Median rates of OS were 18, 22, and 58 months among high-, intermediate-, and low-expression tumors, respectively. </t>
    </r>
    <r>
      <rPr>
        <b/>
        <sz val="11"/>
        <color theme="1"/>
        <rFont val="Calibri"/>
        <family val="2"/>
        <scheme val="minor"/>
      </rPr>
      <t>4)</t>
    </r>
    <r>
      <rPr>
        <sz val="11"/>
        <color theme="1"/>
        <rFont val="Calibri"/>
        <family val="2"/>
        <scheme val="minor"/>
      </rPr>
      <t xml:space="preserve"> ERBB4 expression by IHC may correlate with chemotherapy-resistant ovarian serous carcinoma and shortened OS. </t>
    </r>
    <r>
      <rPr>
        <b/>
        <sz val="11"/>
        <color theme="1"/>
        <rFont val="Calibri"/>
        <family val="2"/>
        <scheme val="minor"/>
      </rPr>
      <t xml:space="preserve">5) </t>
    </r>
    <r>
      <rPr>
        <sz val="11"/>
        <color theme="1"/>
        <rFont val="Calibri"/>
        <family val="2"/>
        <scheme val="minor"/>
      </rPr>
      <t xml:space="preserve">cell lines (PE04 and PE06), resistant to cisplatin possessed markedly higher levels of erbB4 than in the initial cell line (PE01). </t>
    </r>
  </si>
  <si>
    <r>
      <rPr>
        <b/>
        <sz val="11"/>
        <color theme="1"/>
        <rFont val="Calibri"/>
        <family val="2"/>
        <scheme val="minor"/>
      </rPr>
      <t xml:space="preserve">1) </t>
    </r>
    <r>
      <rPr>
        <sz val="11"/>
        <color theme="1"/>
        <rFont val="Calibri"/>
        <family val="2"/>
        <scheme val="minor"/>
      </rPr>
      <t xml:space="preserve">Of 1,065 gastric carcinoma samples, higher expression of </t>
    </r>
    <r>
      <rPr>
        <b/>
        <sz val="11"/>
        <color theme="1"/>
        <rFont val="Calibri"/>
        <family val="2"/>
        <scheme val="minor"/>
      </rPr>
      <t>ERCC1</t>
    </r>
    <r>
      <rPr>
        <sz val="11"/>
        <color theme="1"/>
        <rFont val="Calibri"/>
        <family val="2"/>
        <scheme val="minor"/>
      </rPr>
      <t xml:space="preserve"> (HR = 1.36, p = 0.0012) were predictive for poor OS. </t>
    </r>
    <r>
      <rPr>
        <b/>
        <sz val="11"/>
        <color theme="1"/>
        <rFont val="Calibri"/>
        <family val="2"/>
        <scheme val="minor"/>
      </rPr>
      <t xml:space="preserve">2) </t>
    </r>
    <r>
      <rPr>
        <sz val="11"/>
        <color theme="1"/>
        <rFont val="Calibri"/>
        <family val="2"/>
        <scheme val="minor"/>
      </rPr>
      <t xml:space="preserve">overexpression of </t>
    </r>
    <r>
      <rPr>
        <b/>
        <sz val="11"/>
        <color theme="1"/>
        <rFont val="Calibri"/>
        <family val="2"/>
        <scheme val="minor"/>
      </rPr>
      <t>ERCC1</t>
    </r>
    <r>
      <rPr>
        <sz val="11"/>
        <color theme="1"/>
        <rFont val="Calibri"/>
        <family val="2"/>
        <scheme val="minor"/>
      </rPr>
      <t xml:space="preserve"> and other NER enzymes during </t>
    </r>
    <r>
      <rPr>
        <b/>
        <sz val="11"/>
        <color theme="1"/>
        <rFont val="Calibri"/>
        <family val="2"/>
        <scheme val="minor"/>
      </rPr>
      <t>ovarian</t>
    </r>
    <r>
      <rPr>
        <sz val="11"/>
        <color theme="1"/>
        <rFont val="Calibri"/>
        <family val="2"/>
        <scheme val="minor"/>
      </rPr>
      <t xml:space="preserve"> cancer chemotherapy with </t>
    </r>
    <r>
      <rPr>
        <b/>
        <sz val="11"/>
        <color theme="1"/>
        <rFont val="Calibri"/>
        <family val="2"/>
        <scheme val="minor"/>
      </rPr>
      <t>cisplatin</t>
    </r>
    <r>
      <rPr>
        <sz val="11"/>
        <color theme="1"/>
        <rFont val="Calibri"/>
        <family val="2"/>
        <scheme val="minor"/>
      </rPr>
      <t xml:space="preserve"> appears to be implicated in the formation of cellular and clinical drug resistance.</t>
    </r>
    <r>
      <rPr>
        <b/>
        <sz val="11"/>
        <color theme="1"/>
        <rFont val="Calibri"/>
        <family val="2"/>
        <scheme val="minor"/>
      </rPr>
      <t xml:space="preserve"> 3) </t>
    </r>
    <r>
      <rPr>
        <sz val="11"/>
        <color theme="1"/>
        <rFont val="Calibri"/>
        <family val="2"/>
        <scheme val="minor"/>
      </rPr>
      <t xml:space="preserve">baseline </t>
    </r>
    <r>
      <rPr>
        <b/>
        <sz val="11"/>
        <color theme="1"/>
        <rFont val="Calibri"/>
        <family val="2"/>
        <scheme val="minor"/>
      </rPr>
      <t>ERCC1</t>
    </r>
    <r>
      <rPr>
        <sz val="11"/>
        <color theme="1"/>
        <rFont val="Calibri"/>
        <family val="2"/>
        <scheme val="minor"/>
      </rPr>
      <t xml:space="preserve"> mRNA overexpression has been related to poor response and survival in cisplatin-treated </t>
    </r>
    <r>
      <rPr>
        <b/>
        <sz val="11"/>
        <color theme="1"/>
        <rFont val="Calibri"/>
        <family val="2"/>
        <scheme val="minor"/>
      </rPr>
      <t>NSCLC</t>
    </r>
    <r>
      <rPr>
        <sz val="11"/>
        <color theme="1"/>
        <rFont val="Calibri"/>
        <family val="2"/>
        <scheme val="minor"/>
      </rPr>
      <t xml:space="preserve"> patients. </t>
    </r>
    <r>
      <rPr>
        <b/>
        <sz val="11"/>
        <color theme="1"/>
        <rFont val="Calibri"/>
        <family val="2"/>
        <scheme val="minor"/>
      </rPr>
      <t>4)</t>
    </r>
    <r>
      <rPr>
        <sz val="11"/>
        <color theme="1"/>
        <rFont val="Calibri"/>
        <family val="2"/>
        <scheme val="minor"/>
      </rPr>
      <t xml:space="preserve"> Lentivirus-Mediated RNAi silencing targeting </t>
    </r>
    <r>
      <rPr>
        <b/>
        <sz val="11"/>
        <color theme="1"/>
        <rFont val="Calibri"/>
        <family val="2"/>
        <scheme val="minor"/>
      </rPr>
      <t>ERCC1</t>
    </r>
    <r>
      <rPr>
        <sz val="11"/>
        <color theme="1"/>
        <rFont val="Calibri"/>
        <family val="2"/>
        <scheme val="minor"/>
      </rPr>
      <t xml:space="preserve"> reverses </t>
    </r>
    <r>
      <rPr>
        <b/>
        <sz val="11"/>
        <color theme="1"/>
        <rFont val="Calibri"/>
        <family val="2"/>
        <scheme val="minor"/>
      </rPr>
      <t>cisplatin</t>
    </r>
    <r>
      <rPr>
        <sz val="11"/>
        <color theme="1"/>
        <rFont val="Calibri"/>
        <family val="2"/>
        <scheme val="minor"/>
      </rPr>
      <t xml:space="preserve"> resistance in cisplatin-resistant ovarian carcinoma cell line. </t>
    </r>
  </si>
  <si>
    <r>
      <rPr>
        <b/>
        <sz val="11"/>
        <color theme="1"/>
        <rFont val="Calibri"/>
        <family val="2"/>
        <scheme val="minor"/>
      </rPr>
      <t>1)</t>
    </r>
    <r>
      <rPr>
        <sz val="11"/>
        <color theme="1"/>
        <rFont val="Calibri"/>
        <family val="2"/>
        <scheme val="minor"/>
      </rPr>
      <t xml:space="preserve"> ER stress-mediated apoptosis occurred in sphere-forming cells by the </t>
    </r>
    <r>
      <rPr>
        <b/>
        <sz val="11"/>
        <color theme="1"/>
        <rFont val="Calibri"/>
        <family val="2"/>
        <scheme val="minor"/>
      </rPr>
      <t>cisplatin</t>
    </r>
    <r>
      <rPr>
        <sz val="11"/>
        <color theme="1"/>
        <rFont val="Calibri"/>
        <family val="2"/>
        <scheme val="minor"/>
      </rPr>
      <t xml:space="preserve">+IRE1α inhibitor (IRE1i) treatment. </t>
    </r>
    <r>
      <rPr>
        <b/>
        <sz val="11"/>
        <color theme="1"/>
        <rFont val="Calibri"/>
        <family val="2"/>
        <scheme val="minor"/>
      </rPr>
      <t xml:space="preserve">2) </t>
    </r>
    <r>
      <rPr>
        <sz val="11"/>
        <color theme="1"/>
        <rFont val="Calibri"/>
        <family val="2"/>
        <scheme val="minor"/>
      </rPr>
      <t xml:space="preserve">IRE1i, synergistic with cisplatin, up-regulated elF2α phosphorylation, </t>
    </r>
    <r>
      <rPr>
        <b/>
        <sz val="11"/>
        <color theme="1"/>
        <rFont val="Calibri"/>
        <family val="2"/>
        <scheme val="minor"/>
      </rPr>
      <t xml:space="preserve">3) </t>
    </r>
    <r>
      <rPr>
        <sz val="11"/>
        <color theme="1"/>
        <rFont val="Calibri"/>
        <family val="2"/>
        <scheme val="minor"/>
      </rPr>
      <t>this was followed by the induction of CHOP in sphere-forming cells. </t>
    </r>
    <r>
      <rPr>
        <b/>
        <sz val="11"/>
        <color theme="1"/>
        <rFont val="Calibri"/>
        <family val="2"/>
        <scheme val="minor"/>
      </rPr>
      <t xml:space="preserve">4) </t>
    </r>
    <r>
      <rPr>
        <sz val="11"/>
        <color theme="1"/>
        <rFont val="Calibri"/>
        <family val="2"/>
        <scheme val="minor"/>
      </rPr>
      <t>In breast cancer, UPR signalling promotes a malignant phenotype and can confer tumours with resistance to widely used therapies.</t>
    </r>
  </si>
  <si>
    <r>
      <rPr>
        <b/>
        <sz val="11"/>
        <color theme="1"/>
        <rFont val="Calibri"/>
        <family val="2"/>
        <scheme val="minor"/>
      </rPr>
      <t xml:space="preserve">1) </t>
    </r>
    <r>
      <rPr>
        <sz val="11"/>
        <color theme="1"/>
        <rFont val="Calibri"/>
        <family val="2"/>
        <scheme val="minor"/>
      </rPr>
      <t xml:space="preserve">FOXM1 facilitates DNA repair through regulating direct transcriptional target </t>
    </r>
    <r>
      <rPr>
        <b/>
        <sz val="11"/>
        <color theme="1"/>
        <rFont val="Calibri"/>
        <family val="2"/>
        <scheme val="minor"/>
      </rPr>
      <t>EXO1</t>
    </r>
    <r>
      <rPr>
        <sz val="11"/>
        <color theme="1"/>
        <rFont val="Calibri"/>
        <family val="2"/>
        <scheme val="minor"/>
      </rPr>
      <t xml:space="preserve"> to protect </t>
    </r>
    <r>
      <rPr>
        <b/>
        <sz val="11"/>
        <color theme="1"/>
        <rFont val="Calibri"/>
        <family val="2"/>
        <scheme val="minor"/>
      </rPr>
      <t>ovarian</t>
    </r>
    <r>
      <rPr>
        <sz val="11"/>
        <color theme="1"/>
        <rFont val="Calibri"/>
        <family val="2"/>
        <scheme val="minor"/>
      </rPr>
      <t xml:space="preserve"> cancer cells from cisplatin-mediated apoptosis. </t>
    </r>
    <r>
      <rPr>
        <b/>
        <sz val="11"/>
        <color theme="1"/>
        <rFont val="Calibri"/>
        <family val="2"/>
        <scheme val="minor"/>
      </rPr>
      <t xml:space="preserve">2) </t>
    </r>
    <r>
      <rPr>
        <sz val="11"/>
        <color theme="1"/>
        <rFont val="Calibri"/>
        <family val="2"/>
        <scheme val="minor"/>
      </rPr>
      <t xml:space="preserve">Attenuating FOXM1 and EXO1 expression by siRNA, augments the chemotherapy efficacy against ovarian cancer. </t>
    </r>
    <r>
      <rPr>
        <b/>
        <sz val="11"/>
        <color theme="1"/>
        <rFont val="Calibri"/>
        <family val="2"/>
        <scheme val="minor"/>
      </rPr>
      <t xml:space="preserve">3) </t>
    </r>
    <r>
      <rPr>
        <sz val="11"/>
        <color theme="1"/>
        <rFont val="Calibri"/>
        <family val="2"/>
        <scheme val="minor"/>
      </rPr>
      <t xml:space="preserve">1635 </t>
    </r>
    <r>
      <rPr>
        <b/>
        <sz val="11"/>
        <color theme="1"/>
        <rFont val="Calibri"/>
        <family val="2"/>
        <scheme val="minor"/>
      </rPr>
      <t>breast</t>
    </r>
    <r>
      <rPr>
        <sz val="11"/>
        <color theme="1"/>
        <rFont val="Calibri"/>
        <family val="2"/>
        <scheme val="minor"/>
      </rPr>
      <t xml:space="preserve"> tumor samples were analyzed for gene expression. Seven candidate genes in chromosome 1q including </t>
    </r>
    <r>
      <rPr>
        <b/>
        <sz val="11"/>
        <color theme="1"/>
        <rFont val="Calibri"/>
        <family val="2"/>
        <scheme val="minor"/>
      </rPr>
      <t xml:space="preserve">EXO1 </t>
    </r>
    <r>
      <rPr>
        <sz val="11"/>
        <color theme="1"/>
        <rFont val="Calibri"/>
        <family val="2"/>
        <scheme val="minor"/>
      </rPr>
      <t>are consistently over expressed in breast tumors, specifically in high grade and aggressive</t>
    </r>
    <r>
      <rPr>
        <b/>
        <sz val="11"/>
        <color theme="1"/>
        <rFont val="Calibri"/>
        <family val="2"/>
        <scheme val="minor"/>
      </rPr>
      <t xml:space="preserve"> breast</t>
    </r>
    <r>
      <rPr>
        <sz val="11"/>
        <color theme="1"/>
        <rFont val="Calibri"/>
        <family val="2"/>
        <scheme val="minor"/>
      </rPr>
      <t xml:space="preserve"> tumors with poor clinical outcome. </t>
    </r>
  </si>
  <si>
    <r>
      <rPr>
        <b/>
        <sz val="11"/>
        <color theme="1"/>
        <rFont val="Calibri"/>
        <family val="2"/>
        <scheme val="minor"/>
      </rPr>
      <t>1)</t>
    </r>
    <r>
      <rPr>
        <sz val="11"/>
        <color theme="1"/>
        <rFont val="Calibri"/>
        <family val="2"/>
        <scheme val="minor"/>
      </rPr>
      <t xml:space="preserve"> </t>
    </r>
    <r>
      <rPr>
        <b/>
        <sz val="11"/>
        <color theme="1"/>
        <rFont val="Calibri"/>
        <family val="2"/>
        <scheme val="minor"/>
      </rPr>
      <t>EZH2</t>
    </r>
    <r>
      <rPr>
        <sz val="11"/>
        <color theme="1"/>
        <rFont val="Calibri"/>
        <family val="2"/>
        <scheme val="minor"/>
      </rPr>
      <t xml:space="preserve"> was overexpressed in </t>
    </r>
    <r>
      <rPr>
        <b/>
        <sz val="11"/>
        <color theme="1"/>
        <rFont val="Calibri"/>
        <family val="2"/>
        <scheme val="minor"/>
      </rPr>
      <t>cisplatin</t>
    </r>
    <r>
      <rPr>
        <sz val="11"/>
        <color theme="1"/>
        <rFont val="Calibri"/>
        <family val="2"/>
        <scheme val="minor"/>
      </rPr>
      <t xml:space="preserve">-resistant </t>
    </r>
    <r>
      <rPr>
        <b/>
        <sz val="11"/>
        <color theme="1"/>
        <rFont val="Calibri"/>
        <family val="2"/>
        <scheme val="minor"/>
      </rPr>
      <t>ovarian</t>
    </r>
    <r>
      <rPr>
        <sz val="11"/>
        <color theme="1"/>
        <rFont val="Calibri"/>
        <family val="2"/>
        <scheme val="minor"/>
      </rPr>
      <t xml:space="preserve"> cancer cells compared with cisplatin-sensitive cells </t>
    </r>
    <r>
      <rPr>
        <b/>
        <sz val="11"/>
        <color theme="1"/>
        <rFont val="Calibri"/>
        <family val="2"/>
        <scheme val="minor"/>
      </rPr>
      <t>2)</t>
    </r>
    <r>
      <rPr>
        <sz val="11"/>
        <color theme="1"/>
        <rFont val="Calibri"/>
        <family val="2"/>
        <scheme val="minor"/>
      </rPr>
      <t xml:space="preserve"> interfering with EZH2 expression can inhibit SKOV3/DDP cell autophagy and reverse resistance to cisplatin. </t>
    </r>
    <r>
      <rPr>
        <b/>
        <sz val="11"/>
        <color theme="1"/>
        <rFont val="Calibri"/>
        <family val="2"/>
        <scheme val="minor"/>
      </rPr>
      <t>3)</t>
    </r>
    <r>
      <rPr>
        <sz val="11"/>
        <color theme="1"/>
        <rFont val="Calibri"/>
        <family val="2"/>
        <scheme val="minor"/>
      </rPr>
      <t xml:space="preserve"> EZH2 expression showed significant prognostic impact in </t>
    </r>
    <r>
      <rPr>
        <b/>
        <sz val="11"/>
        <color theme="1"/>
        <rFont val="Calibri"/>
        <family val="2"/>
        <scheme val="minor"/>
      </rPr>
      <t xml:space="preserve">melanoma, prostate, and endometrial </t>
    </r>
    <r>
      <rPr>
        <sz val="11"/>
        <color theme="1"/>
        <rFont val="Calibri"/>
        <family val="2"/>
        <scheme val="minor"/>
      </rPr>
      <t xml:space="preserve">carcinoma in univariate survival analyses. </t>
    </r>
    <r>
      <rPr>
        <b/>
        <sz val="11"/>
        <color theme="1"/>
        <rFont val="Calibri"/>
        <family val="2"/>
        <scheme val="minor"/>
      </rPr>
      <t xml:space="preserve">4) </t>
    </r>
    <r>
      <rPr>
        <sz val="11"/>
        <color theme="1"/>
        <rFont val="Calibri"/>
        <family val="2"/>
        <scheme val="minor"/>
      </rPr>
      <t>seven pairs of samples from</t>
    </r>
    <r>
      <rPr>
        <b/>
        <sz val="11"/>
        <color theme="1"/>
        <rFont val="Calibri"/>
        <family val="2"/>
        <scheme val="minor"/>
      </rPr>
      <t xml:space="preserve"> ovarian</t>
    </r>
    <r>
      <rPr>
        <sz val="11"/>
        <color theme="1"/>
        <rFont val="Calibri"/>
        <family val="2"/>
        <scheme val="minor"/>
      </rPr>
      <t xml:space="preserve"> cancer patients who were given </t>
    </r>
    <r>
      <rPr>
        <b/>
        <sz val="11"/>
        <color theme="1"/>
        <rFont val="Calibri"/>
        <family val="2"/>
        <scheme val="minor"/>
      </rPr>
      <t>platinum</t>
    </r>
    <r>
      <rPr>
        <sz val="11"/>
        <color theme="1"/>
        <rFont val="Calibri"/>
        <family val="2"/>
        <scheme val="minor"/>
      </rPr>
      <t xml:space="preserve">-based chemotherapy with recurrent tumor, 71.43% (5 out of 7) and 83.33% (6 out of 7) patients have elevated c-Myc and </t>
    </r>
    <r>
      <rPr>
        <b/>
        <sz val="11"/>
        <color theme="1"/>
        <rFont val="Calibri"/>
        <family val="2"/>
        <scheme val="minor"/>
      </rPr>
      <t>EZH2</t>
    </r>
    <r>
      <rPr>
        <sz val="11"/>
        <color theme="1"/>
        <rFont val="Calibri"/>
        <family val="2"/>
        <scheme val="minor"/>
      </rPr>
      <t xml:space="preserve"> expression levels after tumor recurrence. </t>
    </r>
    <r>
      <rPr>
        <b/>
        <sz val="11"/>
        <color theme="1"/>
        <rFont val="Calibri"/>
        <family val="2"/>
        <scheme val="minor"/>
      </rPr>
      <t>5)</t>
    </r>
    <r>
      <rPr>
        <sz val="11"/>
        <color theme="1"/>
        <rFont val="Calibri"/>
        <family val="2"/>
        <scheme val="minor"/>
      </rPr>
      <t xml:space="preserve"> Measurements of EZH2 in 84 </t>
    </r>
    <r>
      <rPr>
        <b/>
        <sz val="11"/>
        <color theme="1"/>
        <rFont val="Calibri"/>
        <family val="2"/>
        <scheme val="minor"/>
      </rPr>
      <t>ovarian</t>
    </r>
    <r>
      <rPr>
        <sz val="11"/>
        <color theme="1"/>
        <rFont val="Calibri"/>
        <family val="2"/>
        <scheme val="minor"/>
      </rPr>
      <t xml:space="preserve"> cancer patients suggested that patients with high EZH2 levels tend to have poor responses to cisplatin. </t>
    </r>
    <r>
      <rPr>
        <b/>
        <sz val="11"/>
        <color theme="1"/>
        <rFont val="Calibri"/>
        <family val="2"/>
        <scheme val="minor"/>
      </rPr>
      <t>6)</t>
    </r>
    <r>
      <rPr>
        <sz val="11"/>
        <color theme="1"/>
        <rFont val="Calibri"/>
        <family val="2"/>
        <scheme val="minor"/>
      </rPr>
      <t xml:space="preserve"> The EZH2 level progressively increased in cells receiving repeated cisplatin exposure. </t>
    </r>
    <r>
      <rPr>
        <b/>
        <sz val="11"/>
        <color theme="1"/>
        <rFont val="Calibri"/>
        <family val="2"/>
        <scheme val="minor"/>
      </rPr>
      <t>7)</t>
    </r>
    <r>
      <rPr>
        <sz val="11"/>
        <color theme="1"/>
        <rFont val="Calibri"/>
        <family val="2"/>
        <scheme val="minor"/>
      </rPr>
      <t xml:space="preserve"> Downregulation of EZH2 not only sensitized cellular reactions to cisplatin and increased cellular platinum accumulation when cells were exposed to both cisplatin and BODIPY‐Pt (a fluorescent cisplatin complex) but also protected </t>
    </r>
    <r>
      <rPr>
        <b/>
        <sz val="11"/>
        <color theme="1"/>
        <rFont val="Calibri"/>
        <family val="2"/>
        <scheme val="minor"/>
      </rPr>
      <t>copper transporter 1</t>
    </r>
    <r>
      <rPr>
        <sz val="11"/>
        <color theme="1"/>
        <rFont val="Calibri"/>
        <family val="2"/>
        <scheme val="minor"/>
      </rPr>
      <t xml:space="preserve">, a high‐affinity copper transporter closely related to cisplatin resistance, from cisplatin‐induced proteasomal degradation. </t>
    </r>
  </si>
  <si>
    <r>
      <rPr>
        <b/>
        <sz val="11"/>
        <color theme="1"/>
        <rFont val="Calibri"/>
        <family val="2"/>
        <scheme val="minor"/>
      </rPr>
      <t xml:space="preserve">1) </t>
    </r>
    <r>
      <rPr>
        <sz val="11"/>
        <color theme="1"/>
        <rFont val="Calibri"/>
        <family val="2"/>
        <scheme val="minor"/>
      </rPr>
      <t xml:space="preserve">the protein expression levels in PAK5 and </t>
    </r>
    <r>
      <rPr>
        <b/>
        <sz val="11"/>
        <color theme="1"/>
        <rFont val="Calibri"/>
        <family val="2"/>
        <scheme val="minor"/>
      </rPr>
      <t>Ezrin</t>
    </r>
    <r>
      <rPr>
        <sz val="11"/>
        <color theme="1"/>
        <rFont val="Calibri"/>
        <family val="2"/>
        <scheme val="minor"/>
      </rPr>
      <t xml:space="preserve"> in SOSP-9607/</t>
    </r>
    <r>
      <rPr>
        <b/>
        <sz val="11"/>
        <color theme="1"/>
        <rFont val="Calibri"/>
        <family val="2"/>
        <scheme val="minor"/>
      </rPr>
      <t>CDDP</t>
    </r>
    <r>
      <rPr>
        <sz val="11"/>
        <color theme="1"/>
        <rFont val="Calibri"/>
        <family val="2"/>
        <scheme val="minor"/>
      </rPr>
      <t xml:space="preserve"> were significantly higher than those in SOSP-9607 (P&lt;0.01). </t>
    </r>
    <r>
      <rPr>
        <b/>
        <sz val="11"/>
        <color theme="1"/>
        <rFont val="Calibri"/>
        <family val="2"/>
        <scheme val="minor"/>
      </rPr>
      <t xml:space="preserve">2) </t>
    </r>
    <r>
      <rPr>
        <sz val="11"/>
        <color theme="1"/>
        <rFont val="Calibri"/>
        <family val="2"/>
        <scheme val="minor"/>
      </rPr>
      <t xml:space="preserve">The results of immunohistochemistry showed that the expression quantities of PAK5 and Ezrin in </t>
    </r>
    <r>
      <rPr>
        <b/>
        <sz val="11"/>
        <color theme="1"/>
        <rFont val="Calibri"/>
        <family val="2"/>
        <scheme val="minor"/>
      </rPr>
      <t>osteosarcoma</t>
    </r>
    <r>
      <rPr>
        <sz val="11"/>
        <color theme="1"/>
        <rFont val="Calibri"/>
        <family val="2"/>
        <scheme val="minor"/>
      </rPr>
      <t xml:space="preserve"> tissues were significantly higher than those in para-tumor tissues (P&lt;0.01). </t>
    </r>
    <r>
      <rPr>
        <b/>
        <sz val="11"/>
        <color theme="1"/>
        <rFont val="Calibri"/>
        <family val="2"/>
        <scheme val="minor"/>
      </rPr>
      <t xml:space="preserve">3) </t>
    </r>
    <r>
      <rPr>
        <sz val="11"/>
        <color theme="1"/>
        <rFont val="Calibri"/>
        <family val="2"/>
        <scheme val="minor"/>
      </rPr>
      <t xml:space="preserve">Pearson's correlation analysis showed that expression of PAK5 and Ezrin was positively correlated (r=0.197, P=0.023). </t>
    </r>
    <r>
      <rPr>
        <b/>
        <sz val="11"/>
        <color theme="1"/>
        <rFont val="Calibri"/>
        <family val="2"/>
        <scheme val="minor"/>
      </rPr>
      <t xml:space="preserve">4) </t>
    </r>
    <r>
      <rPr>
        <sz val="11"/>
        <color theme="1"/>
        <rFont val="Calibri"/>
        <family val="2"/>
        <scheme val="minor"/>
      </rPr>
      <t xml:space="preserve">The osteosarcoma </t>
    </r>
    <r>
      <rPr>
        <b/>
        <sz val="11"/>
        <color theme="1"/>
        <rFont val="Calibri"/>
        <family val="2"/>
        <scheme val="minor"/>
      </rPr>
      <t>resistance</t>
    </r>
    <r>
      <rPr>
        <sz val="11"/>
        <color theme="1"/>
        <rFont val="Calibri"/>
        <family val="2"/>
        <scheme val="minor"/>
      </rPr>
      <t xml:space="preserve"> is closely related to the expression levels of PAK5 and Ezrin genes. </t>
    </r>
  </si>
  <si>
    <r>
      <rPr>
        <b/>
        <sz val="11"/>
        <color theme="1"/>
        <rFont val="Calibri"/>
        <family val="2"/>
        <scheme val="minor"/>
      </rPr>
      <t>1)</t>
    </r>
    <r>
      <rPr>
        <sz val="11"/>
        <color theme="1"/>
        <rFont val="Calibri"/>
        <family val="2"/>
        <scheme val="minor"/>
      </rPr>
      <t xml:space="preserve"> </t>
    </r>
    <r>
      <rPr>
        <b/>
        <sz val="11"/>
        <color theme="1"/>
        <rFont val="Calibri"/>
        <family val="2"/>
        <scheme val="minor"/>
      </rPr>
      <t>Ovarian</t>
    </r>
    <r>
      <rPr>
        <sz val="11"/>
        <color theme="1"/>
        <rFont val="Calibri"/>
        <family val="2"/>
        <scheme val="minor"/>
      </rPr>
      <t xml:space="preserve"> cancer cell line A2780 cells demonstrated increased </t>
    </r>
    <r>
      <rPr>
        <b/>
        <sz val="11"/>
        <color theme="1"/>
        <rFont val="Calibri"/>
        <family val="2"/>
        <scheme val="minor"/>
      </rPr>
      <t>FADD</t>
    </r>
    <r>
      <rPr>
        <sz val="11"/>
        <color theme="1"/>
        <rFont val="Calibri"/>
        <family val="2"/>
        <scheme val="minor"/>
      </rPr>
      <t xml:space="preserve"> expression in response to </t>
    </r>
    <r>
      <rPr>
        <b/>
        <sz val="11"/>
        <color theme="1"/>
        <rFont val="Calibri"/>
        <family val="2"/>
        <scheme val="minor"/>
      </rPr>
      <t>cisplatin</t>
    </r>
    <r>
      <rPr>
        <sz val="11"/>
        <color theme="1"/>
        <rFont val="Calibri"/>
        <family val="2"/>
        <scheme val="minor"/>
      </rPr>
      <t xml:space="preserve"> treatment. </t>
    </r>
    <r>
      <rPr>
        <b/>
        <sz val="11"/>
        <color theme="1"/>
        <rFont val="Calibri"/>
        <family val="2"/>
        <scheme val="minor"/>
      </rPr>
      <t xml:space="preserve">2) </t>
    </r>
    <r>
      <rPr>
        <sz val="11"/>
        <color theme="1"/>
        <rFont val="Calibri"/>
        <family val="2"/>
        <scheme val="minor"/>
      </rPr>
      <t>the basal level of FADD expression is greater in the A2780 cells compared to both CDDP-resistant CP70 and C30 cells.</t>
    </r>
    <r>
      <rPr>
        <b/>
        <sz val="11"/>
        <color theme="1"/>
        <rFont val="Calibri"/>
        <family val="2"/>
        <scheme val="minor"/>
      </rPr>
      <t xml:space="preserve"> 3) </t>
    </r>
    <r>
      <rPr>
        <sz val="11"/>
        <color theme="1"/>
        <rFont val="Calibri"/>
        <family val="2"/>
        <scheme val="minor"/>
      </rPr>
      <t xml:space="preserve">a decrease in FADD expression was observed in the CP70 and C30 cells following CDDP treatment. </t>
    </r>
    <r>
      <rPr>
        <b/>
        <sz val="11"/>
        <color theme="1"/>
        <rFont val="Calibri"/>
        <family val="2"/>
        <scheme val="minor"/>
      </rPr>
      <t xml:space="preserve">4) </t>
    </r>
    <r>
      <rPr>
        <sz val="11"/>
        <color theme="1"/>
        <rFont val="Calibri"/>
        <family val="2"/>
        <scheme val="minor"/>
      </rPr>
      <t xml:space="preserve">Analysis of 167 </t>
    </r>
    <r>
      <rPr>
        <b/>
        <sz val="11"/>
        <color theme="1"/>
        <rFont val="Calibri"/>
        <family val="2"/>
        <scheme val="minor"/>
      </rPr>
      <t>laryngeal</t>
    </r>
    <r>
      <rPr>
        <sz val="11"/>
        <color theme="1"/>
        <rFont val="Calibri"/>
        <family val="2"/>
        <scheme val="minor"/>
      </rPr>
      <t xml:space="preserve"> carcinomas showed that increased expression of FADD (P = 0.007) and Ser194 phosphorylated FADD (P = 0.011) were associated with a worse disease-specific survival. </t>
    </r>
    <r>
      <rPr>
        <b/>
        <sz val="11"/>
        <color theme="1"/>
        <rFont val="Calibri"/>
        <family val="2"/>
        <scheme val="minor"/>
      </rPr>
      <t xml:space="preserve">5) </t>
    </r>
    <r>
      <rPr>
        <sz val="11"/>
        <color theme="1"/>
        <rFont val="Calibri"/>
        <family val="2"/>
        <scheme val="minor"/>
      </rPr>
      <t xml:space="preserve">FADD was recently reported to be involved in cell cycle regulation. </t>
    </r>
    <r>
      <rPr>
        <b/>
        <sz val="11"/>
        <color theme="1"/>
        <rFont val="Calibri"/>
        <family val="2"/>
        <scheme val="minor"/>
      </rPr>
      <t>6)</t>
    </r>
    <r>
      <rPr>
        <sz val="11"/>
        <color theme="1"/>
        <rFont val="Calibri"/>
        <family val="2"/>
        <scheme val="minor"/>
      </rPr>
      <t xml:space="preserve"> cell culture studies demonstrated that overexpression of p-FADD leads to an increase in NF-κB activity. </t>
    </r>
    <r>
      <rPr>
        <b/>
        <sz val="11"/>
        <color theme="1"/>
        <rFont val="Calibri"/>
        <family val="2"/>
        <scheme val="minor"/>
      </rPr>
      <t xml:space="preserve">7) </t>
    </r>
    <r>
      <rPr>
        <sz val="11"/>
        <color theme="1"/>
        <rFont val="Calibri"/>
        <family val="2"/>
        <scheme val="minor"/>
      </rPr>
      <t xml:space="preserve">increased levels of FADD transcripts were significantly correlated with overexpression of cyclins D1 (P &lt; 0.01) and B1 (P &lt; 0.01). </t>
    </r>
  </si>
  <si>
    <r>
      <rPr>
        <b/>
        <sz val="11"/>
        <color theme="1"/>
        <rFont val="Calibri"/>
        <family val="2"/>
        <scheme val="minor"/>
      </rPr>
      <t>1) TCRP1</t>
    </r>
    <r>
      <rPr>
        <sz val="11"/>
        <color theme="1"/>
        <rFont val="Calibri"/>
        <family val="2"/>
        <scheme val="minor"/>
      </rPr>
      <t xml:space="preserve"> expression is associated with resistance to DDP in lung and </t>
    </r>
    <r>
      <rPr>
        <b/>
        <sz val="11"/>
        <color theme="1"/>
        <rFont val="Calibri"/>
        <family val="2"/>
        <scheme val="minor"/>
      </rPr>
      <t>ovarian</t>
    </r>
    <r>
      <rPr>
        <sz val="11"/>
        <color theme="1"/>
        <rFont val="Calibri"/>
        <family val="2"/>
        <scheme val="minor"/>
      </rPr>
      <t xml:space="preserve"> cancer cells with acquired platinum resistance.  </t>
    </r>
    <r>
      <rPr>
        <b/>
        <sz val="11"/>
        <color theme="1"/>
        <rFont val="Calibri"/>
        <family val="2"/>
        <scheme val="minor"/>
      </rPr>
      <t>2)</t>
    </r>
    <r>
      <rPr>
        <sz val="11"/>
        <color theme="1"/>
        <rFont val="Calibri"/>
        <family val="2"/>
        <scheme val="minor"/>
      </rPr>
      <t xml:space="preserve"> Knockdown of TCRP1 resensitized the cells to the </t>
    </r>
    <r>
      <rPr>
        <b/>
        <sz val="11"/>
        <color theme="1"/>
        <rFont val="Calibri"/>
        <family val="2"/>
        <scheme val="minor"/>
      </rPr>
      <t>platinum</t>
    </r>
    <r>
      <rPr>
        <sz val="11"/>
        <color theme="1"/>
        <rFont val="Calibri"/>
        <family val="2"/>
        <scheme val="minor"/>
      </rPr>
      <t xml:space="preserve">-based agents. </t>
    </r>
    <r>
      <rPr>
        <b/>
        <sz val="11"/>
        <color theme="1"/>
        <rFont val="Calibri"/>
        <family val="2"/>
        <scheme val="minor"/>
      </rPr>
      <t xml:space="preserve">3) </t>
    </r>
    <r>
      <rPr>
        <sz val="11"/>
        <color theme="1"/>
        <rFont val="Calibri"/>
        <family val="2"/>
        <scheme val="minor"/>
      </rPr>
      <t xml:space="preserve">A positive correlation exists between TCRP1 expression and primary resistance to platinum in lung cancer cells. </t>
    </r>
    <r>
      <rPr>
        <b/>
        <sz val="11"/>
        <color theme="1"/>
        <rFont val="Calibri"/>
        <family val="2"/>
        <scheme val="minor"/>
      </rPr>
      <t xml:space="preserve">4) </t>
    </r>
    <r>
      <rPr>
        <sz val="11"/>
        <color theme="1"/>
        <rFont val="Calibri"/>
        <family val="2"/>
        <scheme val="minor"/>
      </rPr>
      <t xml:space="preserve">miR-493 is silenced in resistant lung cancer cell due to the aberrant DNA methylation. </t>
    </r>
    <r>
      <rPr>
        <b/>
        <sz val="11"/>
        <color theme="1"/>
        <rFont val="Calibri"/>
        <family val="2"/>
        <scheme val="minor"/>
      </rPr>
      <t xml:space="preserve">5) </t>
    </r>
    <r>
      <rPr>
        <sz val="11"/>
        <color theme="1"/>
        <rFont val="Calibri"/>
        <family val="2"/>
        <scheme val="minor"/>
      </rPr>
      <t xml:space="preserve">Enforced expression of miR-493 in lung cancer cells promotes chemotherapy sensitivity to cisplatin through impairing the DNA damage repair and increasing the cells apoptosis in vitro and in vivo. </t>
    </r>
    <r>
      <rPr>
        <b/>
        <sz val="11"/>
        <color theme="1"/>
        <rFont val="Calibri"/>
        <family val="2"/>
        <scheme val="minor"/>
      </rPr>
      <t xml:space="preserve">6) </t>
    </r>
    <r>
      <rPr>
        <sz val="11"/>
        <color theme="1"/>
        <rFont val="Calibri"/>
        <family val="2"/>
        <scheme val="minor"/>
      </rPr>
      <t xml:space="preserve">TCRP1 is a direct functional target of miR-493. </t>
    </r>
    <r>
      <rPr>
        <b/>
        <sz val="11"/>
        <color theme="1"/>
        <rFont val="Calibri"/>
        <family val="2"/>
        <scheme val="minor"/>
      </rPr>
      <t xml:space="preserve">7) </t>
    </r>
    <r>
      <rPr>
        <sz val="11"/>
        <color theme="1"/>
        <rFont val="Calibri"/>
        <family val="2"/>
        <scheme val="minor"/>
      </rPr>
      <t xml:space="preserve">Ectopic expression of TCRP1 attenuated increased apoptosis in miR-493-overexpressing lung cancer cells upon cisplatin treatment. </t>
    </r>
    <r>
      <rPr>
        <b/>
        <sz val="11"/>
        <color theme="1"/>
        <rFont val="Calibri"/>
        <family val="2"/>
        <scheme val="minor"/>
      </rPr>
      <t xml:space="preserve">8) </t>
    </r>
    <r>
      <rPr>
        <sz val="11"/>
        <color theme="1"/>
        <rFont val="Calibri"/>
        <family val="2"/>
        <scheme val="minor"/>
      </rPr>
      <t xml:space="preserve">miR-493 level is negatively correlated with TCRP1 expression in lung cancer patients. </t>
    </r>
    <r>
      <rPr>
        <b/>
        <sz val="11"/>
        <color theme="1"/>
        <rFont val="Calibri"/>
        <family val="2"/>
        <scheme val="minor"/>
      </rPr>
      <t xml:space="preserve">9) </t>
    </r>
    <r>
      <rPr>
        <sz val="11"/>
        <color theme="1"/>
        <rFont val="Calibri"/>
        <family val="2"/>
        <scheme val="minor"/>
      </rPr>
      <t>TCRP1 expression were correlated with poor survival.</t>
    </r>
  </si>
  <si>
    <r>
      <rPr>
        <b/>
        <sz val="11"/>
        <color theme="1"/>
        <rFont val="Calibri"/>
        <family val="2"/>
        <scheme val="minor"/>
      </rPr>
      <t>1) ovarian</t>
    </r>
    <r>
      <rPr>
        <sz val="11"/>
        <color theme="1"/>
        <rFont val="Calibri"/>
        <family val="2"/>
        <scheme val="minor"/>
      </rPr>
      <t xml:space="preserve"> cancer patients with low </t>
    </r>
    <r>
      <rPr>
        <b/>
        <sz val="11"/>
        <color theme="1"/>
        <rFont val="Calibri"/>
        <family val="2"/>
        <scheme val="minor"/>
      </rPr>
      <t>FAM83B</t>
    </r>
    <r>
      <rPr>
        <sz val="11"/>
        <color theme="1"/>
        <rFont val="Calibri"/>
        <family val="2"/>
        <scheme val="minor"/>
      </rPr>
      <t xml:space="preserve"> levels had shorter survival time, tissues with </t>
    </r>
    <r>
      <rPr>
        <b/>
        <sz val="11"/>
        <color theme="1"/>
        <rFont val="Calibri"/>
        <family val="2"/>
        <scheme val="minor"/>
      </rPr>
      <t>cisplatin</t>
    </r>
    <r>
      <rPr>
        <sz val="11"/>
        <color theme="1"/>
        <rFont val="Calibri"/>
        <family val="2"/>
        <scheme val="minor"/>
      </rPr>
      <t xml:space="preserve"> resistance also had low </t>
    </r>
    <r>
      <rPr>
        <b/>
        <sz val="11"/>
        <color theme="1"/>
        <rFont val="Calibri"/>
        <family val="2"/>
        <scheme val="minor"/>
      </rPr>
      <t>FAM83B</t>
    </r>
    <r>
      <rPr>
        <sz val="11"/>
        <color theme="1"/>
        <rFont val="Calibri"/>
        <family val="2"/>
        <scheme val="minor"/>
      </rPr>
      <t xml:space="preserve"> levels. </t>
    </r>
    <r>
      <rPr>
        <b/>
        <sz val="11"/>
        <color theme="1"/>
        <rFont val="Calibri"/>
        <family val="2"/>
        <scheme val="minor"/>
      </rPr>
      <t>2) FAM83B</t>
    </r>
    <r>
      <rPr>
        <sz val="11"/>
        <color theme="1"/>
        <rFont val="Calibri"/>
        <family val="2"/>
        <scheme val="minor"/>
      </rPr>
      <t xml:space="preserve"> overexpression inhibits </t>
    </r>
    <r>
      <rPr>
        <b/>
        <sz val="11"/>
        <color theme="1"/>
        <rFont val="Calibri"/>
        <family val="2"/>
        <scheme val="minor"/>
      </rPr>
      <t>cisplatin</t>
    </r>
    <r>
      <rPr>
        <sz val="11"/>
        <color theme="1"/>
        <rFont val="Calibri"/>
        <family val="2"/>
        <scheme val="minor"/>
      </rPr>
      <t xml:space="preserve"> resistance showed in increased ovarian cancer cell proliferation and growth rate, and reduced apoptosis rate, while </t>
    </r>
    <r>
      <rPr>
        <b/>
        <sz val="11"/>
        <color theme="1"/>
        <rFont val="Calibri"/>
        <family val="2"/>
        <scheme val="minor"/>
      </rPr>
      <t>FAM83B</t>
    </r>
    <r>
      <rPr>
        <sz val="11"/>
        <color theme="1"/>
        <rFont val="Calibri"/>
        <family val="2"/>
        <scheme val="minor"/>
      </rPr>
      <t xml:space="preserve"> knockdown promotes cisplatin resistance. </t>
    </r>
    <r>
      <rPr>
        <b/>
        <sz val="11"/>
        <color theme="1"/>
        <rFont val="Calibri"/>
        <family val="2"/>
        <scheme val="minor"/>
      </rPr>
      <t>3)</t>
    </r>
    <r>
      <rPr>
        <sz val="11"/>
        <color theme="1"/>
        <rFont val="Calibri"/>
        <family val="2"/>
        <scheme val="minor"/>
      </rPr>
      <t xml:space="preserve"> </t>
    </r>
    <r>
      <rPr>
        <b/>
        <sz val="11"/>
        <color theme="1"/>
        <rFont val="Calibri"/>
        <family val="2"/>
        <scheme val="minor"/>
      </rPr>
      <t>FAM83B</t>
    </r>
    <r>
      <rPr>
        <sz val="11"/>
        <color theme="1"/>
        <rFont val="Calibri"/>
        <family val="2"/>
        <scheme val="minor"/>
      </rPr>
      <t xml:space="preserve"> interacted with </t>
    </r>
    <r>
      <rPr>
        <b/>
        <sz val="11"/>
        <color theme="1"/>
        <rFont val="Calibri"/>
        <family val="2"/>
        <scheme val="minor"/>
      </rPr>
      <t>APC</t>
    </r>
    <r>
      <rPr>
        <sz val="11"/>
        <color theme="1"/>
        <rFont val="Calibri"/>
        <family val="2"/>
        <scheme val="minor"/>
      </rPr>
      <t xml:space="preserve"> to inhibit Wnt pathway activity, causing ovarian cancer cisplatin resistance. </t>
    </r>
    <r>
      <rPr>
        <b/>
        <sz val="11"/>
        <color theme="1"/>
        <rFont val="Calibri"/>
        <family val="2"/>
        <scheme val="minor"/>
      </rPr>
      <t>4)</t>
    </r>
    <r>
      <rPr>
        <sz val="11"/>
        <color theme="1"/>
        <rFont val="Calibri"/>
        <family val="2"/>
        <scheme val="minor"/>
      </rPr>
      <t xml:space="preserve"> FAM83B levels were negative with Wnt pathway activity in clinic samples, confirming FAM83B inhibited Wnt pathway activity. </t>
    </r>
  </si>
  <si>
    <r>
      <rPr>
        <b/>
        <sz val="11"/>
        <color theme="1"/>
        <rFont val="Calibri"/>
        <family val="2"/>
        <scheme val="minor"/>
      </rPr>
      <t>1)</t>
    </r>
    <r>
      <rPr>
        <sz val="11"/>
        <color theme="1"/>
        <rFont val="Calibri"/>
        <family val="2"/>
        <scheme val="minor"/>
      </rPr>
      <t xml:space="preserve"> the depletion of FANCD2/FANCI-associated nuclease, KIAA1018/</t>
    </r>
    <r>
      <rPr>
        <b/>
        <sz val="11"/>
        <color theme="1"/>
        <rFont val="Calibri"/>
        <family val="2"/>
        <scheme val="minor"/>
      </rPr>
      <t>FAN1</t>
    </r>
    <r>
      <rPr>
        <sz val="11"/>
        <color theme="1"/>
        <rFont val="Calibri"/>
        <family val="2"/>
        <scheme val="minor"/>
      </rPr>
      <t xml:space="preserve">,  sensitizes human cells to MMC and </t>
    </r>
    <r>
      <rPr>
        <b/>
        <sz val="11"/>
        <color theme="1"/>
        <rFont val="Calibri"/>
        <family val="2"/>
        <scheme val="minor"/>
      </rPr>
      <t>cisplatin</t>
    </r>
    <r>
      <rPr>
        <sz val="11"/>
        <color theme="1"/>
        <rFont val="Calibri"/>
        <family val="2"/>
        <scheme val="minor"/>
      </rPr>
      <t>. </t>
    </r>
    <r>
      <rPr>
        <b/>
        <sz val="11"/>
        <color theme="1"/>
        <rFont val="Calibri"/>
        <family val="2"/>
        <scheme val="minor"/>
      </rPr>
      <t xml:space="preserve">2) </t>
    </r>
    <r>
      <rPr>
        <sz val="11"/>
        <color theme="1"/>
        <rFont val="Calibri"/>
        <family val="2"/>
        <scheme val="minor"/>
      </rPr>
      <t xml:space="preserve">chicken DT40 B cells, in which the </t>
    </r>
    <r>
      <rPr>
        <b/>
        <sz val="11"/>
        <color theme="1"/>
        <rFont val="Calibri"/>
        <family val="2"/>
        <scheme val="minor"/>
      </rPr>
      <t>FAN1</t>
    </r>
    <r>
      <rPr>
        <sz val="11"/>
        <color theme="1"/>
        <rFont val="Calibri"/>
        <family val="2"/>
        <scheme val="minor"/>
      </rPr>
      <t xml:space="preserve"> locus was disrupted by gene targeting. FAN1-null cells are highly sensitive to</t>
    </r>
    <r>
      <rPr>
        <b/>
        <sz val="11"/>
        <color theme="1"/>
        <rFont val="Calibri"/>
        <family val="2"/>
        <scheme val="minor"/>
      </rPr>
      <t xml:space="preserve"> cisplatin</t>
    </r>
    <r>
      <rPr>
        <sz val="11"/>
        <color theme="1"/>
        <rFont val="Calibri"/>
        <family val="2"/>
        <scheme val="minor"/>
      </rPr>
      <t xml:space="preserve"> and MMC, but not to ionizing or UV radiation, methyl methanesulfonate, or camptothecin. </t>
    </r>
  </si>
  <si>
    <r>
      <rPr>
        <b/>
        <sz val="11"/>
        <color theme="1"/>
        <rFont val="Calibri"/>
        <family val="2"/>
        <scheme val="minor"/>
      </rPr>
      <t xml:space="preserve">1) </t>
    </r>
    <r>
      <rPr>
        <sz val="11"/>
        <color theme="1"/>
        <rFont val="Calibri"/>
        <family val="2"/>
        <scheme val="minor"/>
      </rPr>
      <t>The germline S1088F </t>
    </r>
    <r>
      <rPr>
        <b/>
        <sz val="11"/>
        <color theme="1"/>
        <rFont val="Calibri"/>
        <family val="2"/>
        <scheme val="minor"/>
      </rPr>
      <t>FANCA</t>
    </r>
    <r>
      <rPr>
        <sz val="11"/>
        <color theme="1"/>
        <rFont val="Calibri"/>
        <family val="2"/>
        <scheme val="minor"/>
      </rPr>
      <t> variant in combination with </t>
    </r>
    <r>
      <rPr>
        <b/>
        <sz val="11"/>
        <color theme="1"/>
        <rFont val="Calibri"/>
        <family val="2"/>
        <scheme val="minor"/>
      </rPr>
      <t>FANCA</t>
    </r>
    <r>
      <rPr>
        <sz val="11"/>
        <color theme="1"/>
        <rFont val="Calibri"/>
        <family val="2"/>
        <scheme val="minor"/>
      </rPr>
      <t> LOH was deleterious for FANCA function and contributed to the patient's exceptional response to </t>
    </r>
    <r>
      <rPr>
        <b/>
        <sz val="11"/>
        <color theme="1"/>
        <rFont val="Calibri"/>
        <family val="2"/>
        <scheme val="minor"/>
      </rPr>
      <t>cisplatin</t>
    </r>
    <r>
      <rPr>
        <sz val="11"/>
        <color theme="1"/>
        <rFont val="Calibri"/>
        <family val="2"/>
        <scheme val="minor"/>
      </rPr>
      <t>.</t>
    </r>
    <r>
      <rPr>
        <b/>
        <sz val="11"/>
        <color theme="1"/>
        <rFont val="Calibri"/>
        <family val="2"/>
        <scheme val="minor"/>
      </rPr>
      <t xml:space="preserve"> 2) </t>
    </r>
    <r>
      <rPr>
        <sz val="11"/>
        <color theme="1"/>
        <rFont val="Calibri"/>
        <family val="2"/>
        <scheme val="minor"/>
      </rPr>
      <t>miR-503 regulates cell apoptosis, and thus modulates the resistance of non-small cell lung cancer cells (NSCLC) to</t>
    </r>
    <r>
      <rPr>
        <b/>
        <sz val="11"/>
        <color theme="1"/>
        <rFont val="Calibri"/>
        <family val="2"/>
        <scheme val="minor"/>
      </rPr>
      <t xml:space="preserve"> cisplatin. 3)</t>
    </r>
    <r>
      <rPr>
        <sz val="11"/>
        <color theme="1"/>
        <rFont val="Calibri"/>
        <family val="2"/>
        <scheme val="minor"/>
      </rPr>
      <t xml:space="preserve"> the expression of miR-503 was significantly decreased in </t>
    </r>
    <r>
      <rPr>
        <b/>
        <sz val="11"/>
        <color theme="1"/>
        <rFont val="Calibri"/>
        <family val="2"/>
        <scheme val="minor"/>
      </rPr>
      <t>NSCLC</t>
    </r>
    <r>
      <rPr>
        <sz val="11"/>
        <color theme="1"/>
        <rFont val="Calibri"/>
        <family val="2"/>
        <scheme val="minor"/>
      </rPr>
      <t xml:space="preserve"> tissues due to increased methylated promoter;</t>
    </r>
    <r>
      <rPr>
        <b/>
        <sz val="11"/>
        <color theme="1"/>
        <rFont val="Calibri"/>
        <family val="2"/>
        <scheme val="minor"/>
      </rPr>
      <t xml:space="preserve"> </t>
    </r>
    <r>
      <rPr>
        <sz val="11"/>
        <color theme="1"/>
        <rFont val="Calibri"/>
        <family val="2"/>
        <scheme val="minor"/>
      </rPr>
      <t xml:space="preserve">miR-503 targets </t>
    </r>
    <r>
      <rPr>
        <b/>
        <sz val="11"/>
        <color theme="1"/>
        <rFont val="Calibri"/>
        <family val="2"/>
        <scheme val="minor"/>
      </rPr>
      <t>FANCA</t>
    </r>
    <r>
      <rPr>
        <sz val="11"/>
        <color theme="1"/>
        <rFont val="Calibri"/>
        <family val="2"/>
        <scheme val="minor"/>
      </rPr>
      <t xml:space="preserve"> and represses its expression at the transcriptional level. </t>
    </r>
    <r>
      <rPr>
        <b/>
        <sz val="11"/>
        <color theme="1"/>
        <rFont val="Calibri"/>
        <family val="2"/>
        <scheme val="minor"/>
      </rPr>
      <t xml:space="preserve">4) </t>
    </r>
    <r>
      <rPr>
        <sz val="11"/>
        <color theme="1"/>
        <rFont val="Calibri"/>
        <family val="2"/>
        <scheme val="minor"/>
      </rPr>
      <t xml:space="preserve">Up-regulation of </t>
    </r>
    <r>
      <rPr>
        <b/>
        <sz val="11"/>
        <color theme="1"/>
        <rFont val="Calibri"/>
        <family val="2"/>
        <scheme val="minor"/>
      </rPr>
      <t>FANCA</t>
    </r>
    <r>
      <rPr>
        <sz val="11"/>
        <color theme="1"/>
        <rFont val="Calibri"/>
        <family val="2"/>
        <scheme val="minor"/>
      </rPr>
      <t xml:space="preserve"> was inversely associated with the hypermethylation of miR-503 in NSCLC tissues (P = 0.009). </t>
    </r>
    <r>
      <rPr>
        <b/>
        <sz val="11"/>
        <color theme="1"/>
        <rFont val="Calibri"/>
        <family val="2"/>
        <scheme val="minor"/>
      </rPr>
      <t xml:space="preserve">5) </t>
    </r>
    <r>
      <rPr>
        <sz val="11"/>
        <color theme="1"/>
        <rFont val="Calibri"/>
        <family val="2"/>
        <scheme val="minor"/>
      </rPr>
      <t xml:space="preserve">the expression of miR-503 was decreased in the </t>
    </r>
    <r>
      <rPr>
        <b/>
        <sz val="11"/>
        <color theme="1"/>
        <rFont val="Calibri"/>
        <family val="2"/>
        <scheme val="minor"/>
      </rPr>
      <t>cisplatin</t>
    </r>
    <r>
      <rPr>
        <sz val="11"/>
        <color theme="1"/>
        <rFont val="Calibri"/>
        <family val="2"/>
        <scheme val="minor"/>
      </rPr>
      <t>-resistant non-small cell lung cancer cells, A549/cis, compared with the parental A549 cells.</t>
    </r>
    <r>
      <rPr>
        <b/>
        <sz val="11"/>
        <color theme="1"/>
        <rFont val="Calibri"/>
        <family val="2"/>
        <scheme val="minor"/>
      </rPr>
      <t xml:space="preserve"> 6) </t>
    </r>
    <r>
      <rPr>
        <sz val="11"/>
        <color theme="1"/>
        <rFont val="Calibri"/>
        <family val="2"/>
        <scheme val="minor"/>
      </rPr>
      <t xml:space="preserve">Long-term </t>
    </r>
    <r>
      <rPr>
        <b/>
        <sz val="11"/>
        <color theme="1"/>
        <rFont val="Calibri"/>
        <family val="2"/>
        <scheme val="minor"/>
      </rPr>
      <t>cisplatin</t>
    </r>
    <r>
      <rPr>
        <sz val="11"/>
        <color theme="1"/>
        <rFont val="Calibri"/>
        <family val="2"/>
        <scheme val="minor"/>
      </rPr>
      <t xml:space="preserve"> exposure promotes methylation of miR-503 gene in human NSCLC Cells. </t>
    </r>
  </si>
  <si>
    <r>
      <rPr>
        <b/>
        <sz val="11"/>
        <color theme="1"/>
        <rFont val="Calibri"/>
        <family val="2"/>
        <scheme val="minor"/>
      </rPr>
      <t xml:space="preserve">1) </t>
    </r>
    <r>
      <rPr>
        <sz val="11"/>
        <color theme="1"/>
        <rFont val="Calibri"/>
        <family val="2"/>
        <scheme val="minor"/>
      </rPr>
      <t>Altogether, 25 genes were significantly differentially expressed between tumors exhibiting Pathologic complete response (pCR) and non-pCR, and these genes were downregulated in the pCR group compared to the non-pCR group. A difference in expression level greater than 1.5-fold was detected for nine genes: MGMT, ERCC4, </t>
    </r>
    <r>
      <rPr>
        <b/>
        <sz val="11"/>
        <color theme="1"/>
        <rFont val="Calibri"/>
        <family val="2"/>
        <scheme val="minor"/>
      </rPr>
      <t>FANCB</t>
    </r>
    <r>
      <rPr>
        <sz val="11"/>
        <color theme="1"/>
        <rFont val="Calibri"/>
        <family val="2"/>
        <scheme val="minor"/>
      </rPr>
      <t>, UBA1, XRCC5, XPA, XPC, PARP3, and RPA1. </t>
    </r>
  </si>
  <si>
    <r>
      <rPr>
        <b/>
        <sz val="11"/>
        <color theme="1"/>
        <rFont val="Calibri"/>
        <family val="2"/>
        <scheme val="minor"/>
      </rPr>
      <t xml:space="preserve">1) </t>
    </r>
    <r>
      <rPr>
        <sz val="11"/>
        <color theme="1"/>
        <rFont val="Calibri"/>
        <family val="2"/>
        <scheme val="minor"/>
      </rPr>
      <t xml:space="preserve">Cells transformed by JAK2 V617F mutant exhibited resistance to anti-cancer drugs such as </t>
    </r>
    <r>
      <rPr>
        <b/>
        <sz val="11"/>
        <color theme="1"/>
        <rFont val="Calibri"/>
        <family val="2"/>
        <scheme val="minor"/>
      </rPr>
      <t>cisplatin</t>
    </r>
    <r>
      <rPr>
        <sz val="11"/>
        <color theme="1"/>
        <rFont val="Calibri"/>
        <family val="2"/>
        <scheme val="minor"/>
      </rPr>
      <t xml:space="preserve"> (CDDP), mitomycin C (MMC) and bleomycin (BLM). </t>
    </r>
    <r>
      <rPr>
        <b/>
        <sz val="11"/>
        <color theme="1"/>
        <rFont val="Calibri"/>
        <family val="2"/>
        <scheme val="minor"/>
      </rPr>
      <t xml:space="preserve">2) </t>
    </r>
    <r>
      <rPr>
        <sz val="11"/>
        <color theme="1"/>
        <rFont val="Calibri"/>
        <family val="2"/>
        <scheme val="minor"/>
      </rPr>
      <t xml:space="preserve">the expression of </t>
    </r>
    <r>
      <rPr>
        <b/>
        <sz val="11"/>
        <color theme="1"/>
        <rFont val="Calibri"/>
        <family val="2"/>
        <scheme val="minor"/>
      </rPr>
      <t xml:space="preserve">FANCC </t>
    </r>
    <r>
      <rPr>
        <sz val="11"/>
        <color theme="1"/>
        <rFont val="Calibri"/>
        <family val="2"/>
        <scheme val="minor"/>
      </rPr>
      <t xml:space="preserve">was significantly induced by JAK2 V617F mutant through activation of STAT5. </t>
    </r>
  </si>
  <si>
    <r>
      <rPr>
        <b/>
        <sz val="11"/>
        <color theme="1"/>
        <rFont val="Calibri"/>
        <family val="2"/>
        <scheme val="minor"/>
      </rPr>
      <t xml:space="preserve">1) </t>
    </r>
    <r>
      <rPr>
        <sz val="11"/>
        <color theme="1"/>
        <rFont val="Calibri"/>
        <family val="2"/>
        <scheme val="minor"/>
      </rPr>
      <t xml:space="preserve">Using siRNA knockdown of FANCF, FANCL, or </t>
    </r>
    <r>
      <rPr>
        <b/>
        <sz val="11"/>
        <color theme="1"/>
        <rFont val="Calibri"/>
        <family val="2"/>
        <scheme val="minor"/>
      </rPr>
      <t>FANCD2</t>
    </r>
    <r>
      <rPr>
        <sz val="11"/>
        <color theme="1"/>
        <rFont val="Calibri"/>
        <family val="2"/>
        <scheme val="minor"/>
      </rPr>
      <t xml:space="preserve"> inhibited function of the FA/BRCA pathway in A549, A549/DDP and SK-MES-1 cells, and potentiated sensitivity of the three cells to </t>
    </r>
    <r>
      <rPr>
        <b/>
        <sz val="11"/>
        <color theme="1"/>
        <rFont val="Calibri"/>
        <family val="2"/>
        <scheme val="minor"/>
      </rPr>
      <t>cisplatin</t>
    </r>
    <r>
      <rPr>
        <sz val="11"/>
        <color theme="1"/>
        <rFont val="Calibri"/>
        <family val="2"/>
        <scheme val="minor"/>
      </rPr>
      <t xml:space="preserve">. </t>
    </r>
    <r>
      <rPr>
        <b/>
        <sz val="11"/>
        <color theme="1"/>
        <rFont val="Calibri"/>
        <family val="2"/>
        <scheme val="minor"/>
      </rPr>
      <t>2)</t>
    </r>
    <r>
      <rPr>
        <sz val="11"/>
        <color theme="1"/>
        <rFont val="Calibri"/>
        <family val="2"/>
        <scheme val="minor"/>
      </rPr>
      <t xml:space="preserve"> curcumin, a compound that is generally regarded as safe, inhibits the monoubiquitination of the FANCD2 protein as predicted by the screen and consequently sensitizes ovarian and breast tumor cell lines to cisplatin through apoptotic cell death. </t>
    </r>
    <r>
      <rPr>
        <b/>
        <sz val="11"/>
        <color theme="1"/>
        <rFont val="Calibri"/>
        <family val="2"/>
        <scheme val="minor"/>
      </rPr>
      <t>3) Ovarian</t>
    </r>
    <r>
      <rPr>
        <sz val="11"/>
        <color theme="1"/>
        <rFont val="Calibri"/>
        <family val="2"/>
        <scheme val="minor"/>
      </rPr>
      <t xml:space="preserve"> cancer patients with concomitantly high levels of PARP, </t>
    </r>
    <r>
      <rPr>
        <b/>
        <sz val="11"/>
        <color theme="1"/>
        <rFont val="Calibri"/>
        <family val="2"/>
        <scheme val="minor"/>
      </rPr>
      <t>FANCD2</t>
    </r>
    <r>
      <rPr>
        <sz val="11"/>
        <color theme="1"/>
        <rFont val="Calibri"/>
        <family val="2"/>
        <scheme val="minor"/>
      </rPr>
      <t xml:space="preserve"> and P53 protein expression are at increased risk of early ovarian cancer recurrence and </t>
    </r>
    <r>
      <rPr>
        <b/>
        <sz val="11"/>
        <color theme="1"/>
        <rFont val="Calibri"/>
        <family val="2"/>
        <scheme val="minor"/>
      </rPr>
      <t>platinum</t>
    </r>
    <r>
      <rPr>
        <sz val="11"/>
        <color theme="1"/>
        <rFont val="Calibri"/>
        <family val="2"/>
        <scheme val="minor"/>
      </rPr>
      <t xml:space="preserve"> resistance.</t>
    </r>
  </si>
  <si>
    <r>
      <t xml:space="preserve">The </t>
    </r>
    <r>
      <rPr>
        <b/>
        <sz val="11"/>
        <color theme="1"/>
        <rFont val="Calibri"/>
        <family val="2"/>
        <scheme val="minor"/>
      </rPr>
      <t>FANCE</t>
    </r>
    <r>
      <rPr>
        <sz val="11"/>
        <color theme="1"/>
        <rFont val="Calibri"/>
        <family val="2"/>
        <scheme val="minor"/>
      </rPr>
      <t xml:space="preserve"> mutant that specifically disrupts the FANCE-FANCD2 interaction conferred cellular sensitivity to a similar degree as FANCE null cells, suggesting the significance of the FANCE-FANCD2 interaction in promoting </t>
    </r>
    <r>
      <rPr>
        <b/>
        <sz val="11"/>
        <color theme="1"/>
        <rFont val="Calibri"/>
        <family val="2"/>
        <scheme val="minor"/>
      </rPr>
      <t>cisplatin</t>
    </r>
    <r>
      <rPr>
        <sz val="11"/>
        <color theme="1"/>
        <rFont val="Calibri"/>
        <family val="2"/>
        <scheme val="minor"/>
      </rPr>
      <t xml:space="preserve"> resistance. </t>
    </r>
  </si>
  <si>
    <r>
      <rPr>
        <b/>
        <sz val="11"/>
        <color theme="1"/>
        <rFont val="Calibri"/>
        <family val="2"/>
        <scheme val="minor"/>
      </rPr>
      <t xml:space="preserve">1) </t>
    </r>
    <r>
      <rPr>
        <sz val="11"/>
        <color theme="1"/>
        <rFont val="Calibri"/>
        <family val="2"/>
        <scheme val="minor"/>
      </rPr>
      <t xml:space="preserve">Using siRNA knockdown of </t>
    </r>
    <r>
      <rPr>
        <b/>
        <sz val="11"/>
        <color theme="1"/>
        <rFont val="Calibri"/>
        <family val="2"/>
        <scheme val="minor"/>
      </rPr>
      <t>FANCF</t>
    </r>
    <r>
      <rPr>
        <sz val="11"/>
        <color theme="1"/>
        <rFont val="Calibri"/>
        <family val="2"/>
        <scheme val="minor"/>
      </rPr>
      <t xml:space="preserve">, FANCL, or FANCD2 inhibited function of the FA/BRCA pathway in A549, A549/DDP and SK-MES-1 cells, and potentiated sensitivity of the three cells to </t>
    </r>
    <r>
      <rPr>
        <b/>
        <sz val="11"/>
        <color theme="1"/>
        <rFont val="Calibri"/>
        <family val="2"/>
        <scheme val="minor"/>
      </rPr>
      <t>cisplatin</t>
    </r>
    <r>
      <rPr>
        <sz val="11"/>
        <color theme="1"/>
        <rFont val="Calibri"/>
        <family val="2"/>
        <scheme val="minor"/>
      </rPr>
      <t xml:space="preserve">. </t>
    </r>
    <r>
      <rPr>
        <b/>
        <sz val="11"/>
        <color theme="1"/>
        <rFont val="Calibri"/>
        <family val="2"/>
        <scheme val="minor"/>
      </rPr>
      <t>2)</t>
    </r>
    <r>
      <rPr>
        <sz val="11"/>
        <color theme="1"/>
        <rFont val="Calibri"/>
        <family val="2"/>
        <scheme val="minor"/>
      </rPr>
      <t xml:space="preserve"> FANCF inactivation in </t>
    </r>
    <r>
      <rPr>
        <b/>
        <sz val="11"/>
        <color theme="1"/>
        <rFont val="Calibri"/>
        <family val="2"/>
        <scheme val="minor"/>
      </rPr>
      <t>ovarian</t>
    </r>
    <r>
      <rPr>
        <sz val="11"/>
        <color theme="1"/>
        <rFont val="Calibri"/>
        <family val="2"/>
        <scheme val="minor"/>
      </rPr>
      <t xml:space="preserve"> tumors resulted from methylation of its CpG island, and acquired cisplatin resistance (C13 cells) correlated with demethylation of FANCF. </t>
    </r>
  </si>
  <si>
    <r>
      <rPr>
        <b/>
        <sz val="11"/>
        <color theme="1"/>
        <rFont val="Calibri"/>
        <family val="2"/>
        <scheme val="minor"/>
      </rPr>
      <t xml:space="preserve">1) </t>
    </r>
    <r>
      <rPr>
        <sz val="11"/>
        <color theme="1"/>
        <rFont val="Calibri"/>
        <family val="2"/>
        <scheme val="minor"/>
      </rPr>
      <t xml:space="preserve">FANCG-deficient DT40 cells resemble mammalian fancg mutants in that they are sensitive to killing by cisplatin and mitomycin C (MMC). </t>
    </r>
  </si>
  <si>
    <r>
      <rPr>
        <b/>
        <sz val="11"/>
        <color theme="1"/>
        <rFont val="Calibri"/>
        <family val="2"/>
        <scheme val="minor"/>
      </rPr>
      <t xml:space="preserve">1) </t>
    </r>
    <r>
      <rPr>
        <sz val="11"/>
        <color theme="1"/>
        <rFont val="Calibri"/>
        <family val="2"/>
        <scheme val="minor"/>
      </rPr>
      <t>The average expression levels of BLM and </t>
    </r>
    <r>
      <rPr>
        <b/>
        <sz val="11"/>
        <color theme="1"/>
        <rFont val="Calibri"/>
        <family val="2"/>
        <scheme val="minor"/>
      </rPr>
      <t>FANCI</t>
    </r>
    <r>
      <rPr>
        <sz val="11"/>
        <color theme="1"/>
        <rFont val="Calibri"/>
        <family val="2"/>
        <scheme val="minor"/>
      </rPr>
      <t xml:space="preserve"> were significantly higher in the </t>
    </r>
    <r>
      <rPr>
        <b/>
        <sz val="11"/>
        <color theme="1"/>
        <rFont val="Calibri"/>
        <family val="2"/>
        <scheme val="minor"/>
      </rPr>
      <t>carboplatin</t>
    </r>
    <r>
      <rPr>
        <sz val="11"/>
        <color theme="1"/>
        <rFont val="Calibri"/>
        <family val="2"/>
        <scheme val="minor"/>
      </rPr>
      <t xml:space="preserve">-sensitive ovarian cancers. </t>
    </r>
    <r>
      <rPr>
        <b/>
        <sz val="11"/>
        <color theme="1"/>
        <rFont val="Calibri"/>
        <family val="2"/>
        <scheme val="minor"/>
      </rPr>
      <t xml:space="preserve">2) </t>
    </r>
    <r>
      <rPr>
        <sz val="11"/>
        <color theme="1"/>
        <rFont val="Calibri"/>
        <family val="2"/>
        <scheme val="minor"/>
      </rPr>
      <t xml:space="preserve">The knockdown of either BLM or </t>
    </r>
    <r>
      <rPr>
        <b/>
        <sz val="11"/>
        <color theme="1"/>
        <rFont val="Calibri"/>
        <family val="2"/>
        <scheme val="minor"/>
      </rPr>
      <t>FANCI</t>
    </r>
    <r>
      <rPr>
        <sz val="11"/>
        <color theme="1"/>
        <rFont val="Calibri"/>
        <family val="2"/>
        <scheme val="minor"/>
      </rPr>
      <t xml:space="preserve"> by siRNA resulted in </t>
    </r>
    <r>
      <rPr>
        <b/>
        <sz val="11"/>
        <color theme="1"/>
        <rFont val="Calibri"/>
        <family val="2"/>
        <scheme val="minor"/>
      </rPr>
      <t>greater resistance to cisplatin</t>
    </r>
    <r>
      <rPr>
        <sz val="11"/>
        <color theme="1"/>
        <rFont val="Calibri"/>
        <family val="2"/>
        <scheme val="minor"/>
      </rPr>
      <t xml:space="preserve"> but no significant effect on sensitivity to paclitaxel. </t>
    </r>
  </si>
  <si>
    <r>
      <rPr>
        <b/>
        <sz val="11"/>
        <color theme="1"/>
        <rFont val="Calibri"/>
        <family val="2"/>
        <scheme val="minor"/>
      </rPr>
      <t xml:space="preserve">1) </t>
    </r>
    <r>
      <rPr>
        <sz val="11"/>
        <color theme="1"/>
        <rFont val="Calibri"/>
        <family val="2"/>
        <scheme val="minor"/>
      </rPr>
      <t xml:space="preserve">Using siRNA knockdown of FANCF, </t>
    </r>
    <r>
      <rPr>
        <b/>
        <sz val="11"/>
        <color theme="1"/>
        <rFont val="Calibri"/>
        <family val="2"/>
        <scheme val="minor"/>
      </rPr>
      <t>FANCL</t>
    </r>
    <r>
      <rPr>
        <sz val="11"/>
        <color theme="1"/>
        <rFont val="Calibri"/>
        <family val="2"/>
        <scheme val="minor"/>
      </rPr>
      <t xml:space="preserve">, or FANCD2 inhibited function of the FA/BRCA pathway in A549, A549/DDP and SK-MES-1 cells, and potentiated sensitivity of the three cells to </t>
    </r>
    <r>
      <rPr>
        <b/>
        <sz val="11"/>
        <color theme="1"/>
        <rFont val="Calibri"/>
        <family val="2"/>
        <scheme val="minor"/>
      </rPr>
      <t>cisplatin</t>
    </r>
    <r>
      <rPr>
        <sz val="11"/>
        <color theme="1"/>
        <rFont val="Calibri"/>
        <family val="2"/>
        <scheme val="minor"/>
      </rPr>
      <t xml:space="preserve">. </t>
    </r>
    <r>
      <rPr>
        <b/>
        <sz val="11"/>
        <color theme="1"/>
        <rFont val="Calibri"/>
        <family val="2"/>
        <scheme val="minor"/>
      </rPr>
      <t>2)</t>
    </r>
    <r>
      <rPr>
        <sz val="11"/>
        <color theme="1"/>
        <rFont val="Calibri"/>
        <family val="2"/>
        <scheme val="minor"/>
      </rPr>
      <t xml:space="preserve"> the Calu-6 lung cancer cell line carries a defective FA-BRCA pathway and detected substantially reduced expression of FANCL.  </t>
    </r>
  </si>
  <si>
    <r>
      <rPr>
        <b/>
        <sz val="11"/>
        <color theme="1"/>
        <rFont val="Calibri"/>
        <family val="2"/>
        <scheme val="minor"/>
      </rPr>
      <t>1)</t>
    </r>
    <r>
      <rPr>
        <sz val="11"/>
        <color theme="1"/>
        <rFont val="Calibri"/>
        <family val="2"/>
        <scheme val="minor"/>
      </rPr>
      <t xml:space="preserve"> Of 338 </t>
    </r>
    <r>
      <rPr>
        <b/>
        <sz val="11"/>
        <color theme="1"/>
        <rFont val="Calibri"/>
        <family val="2"/>
        <scheme val="minor"/>
      </rPr>
      <t>EOC</t>
    </r>
    <r>
      <rPr>
        <sz val="11"/>
        <color theme="1"/>
        <rFont val="Calibri"/>
        <family val="2"/>
        <scheme val="minor"/>
      </rPr>
      <t xml:space="preserve"> tissues, </t>
    </r>
    <r>
      <rPr>
        <b/>
        <sz val="11"/>
        <color theme="1"/>
        <rFont val="Calibri"/>
        <family val="2"/>
        <scheme val="minor"/>
      </rPr>
      <t>FAP</t>
    </r>
    <r>
      <rPr>
        <sz val="11"/>
        <color theme="1"/>
        <rFont val="Calibri"/>
        <family val="2"/>
        <scheme val="minor"/>
      </rPr>
      <t xml:space="preserve"> immunoexpression by tumor stroma was a significant predictive factor for </t>
    </r>
    <r>
      <rPr>
        <b/>
        <sz val="11"/>
        <color theme="1"/>
        <rFont val="Calibri"/>
        <family val="2"/>
        <scheme val="minor"/>
      </rPr>
      <t>platinum</t>
    </r>
    <r>
      <rPr>
        <sz val="11"/>
        <color theme="1"/>
        <rFont val="Calibri"/>
        <family val="2"/>
        <scheme val="minor"/>
      </rPr>
      <t xml:space="preserve"> resistance (p = 0.0154). </t>
    </r>
    <r>
      <rPr>
        <b/>
        <sz val="11"/>
        <color theme="1"/>
        <rFont val="Calibri"/>
        <family val="2"/>
        <scheme val="minor"/>
      </rPr>
      <t xml:space="preserve">2) </t>
    </r>
    <r>
      <rPr>
        <sz val="11"/>
        <color theme="1"/>
        <rFont val="Calibri"/>
        <family val="2"/>
        <scheme val="minor"/>
      </rPr>
      <t xml:space="preserve">In survival analysis of days to recurrence, FAP stoma (+) was associated with shorter recurrence than those with FAP (-) stroma (p = 0.0247). </t>
    </r>
    <r>
      <rPr>
        <b/>
        <sz val="11"/>
        <color theme="1"/>
        <rFont val="Calibri"/>
        <family val="2"/>
        <scheme val="minor"/>
      </rPr>
      <t xml:space="preserve">3) </t>
    </r>
    <r>
      <rPr>
        <sz val="11"/>
        <color theme="1"/>
        <rFont val="Calibri"/>
        <family val="2"/>
        <scheme val="minor"/>
      </rPr>
      <t xml:space="preserve">In 21.8 % of tumors, FAP protein was expressed by the tumor epithelium, and FAP mRNA was more highly expressed in tumors (n = 489) than in normal tissues (n = 8) (p = 3.88 × 10(-4)). </t>
    </r>
    <r>
      <rPr>
        <b/>
        <sz val="11"/>
        <color theme="1"/>
        <rFont val="Calibri"/>
        <family val="2"/>
        <scheme val="minor"/>
      </rPr>
      <t xml:space="preserve">4) </t>
    </r>
    <r>
      <rPr>
        <sz val="11"/>
        <color theme="1"/>
        <rFont val="Calibri"/>
        <family val="2"/>
        <scheme val="minor"/>
      </rPr>
      <t xml:space="preserve">In vitro, addition of FAP to EOC cells induced a 10-12 % increase in cell viability both in the presence and absence of cisplatin. </t>
    </r>
    <r>
      <rPr>
        <b/>
        <sz val="11"/>
        <color theme="1"/>
        <rFont val="Calibri"/>
        <family val="2"/>
        <scheme val="minor"/>
      </rPr>
      <t xml:space="preserve">5) </t>
    </r>
    <r>
      <rPr>
        <sz val="11"/>
        <color theme="1"/>
        <rFont val="Calibri"/>
        <family val="2"/>
        <scheme val="minor"/>
      </rPr>
      <t xml:space="preserve">siRNA silencing of FAP resulted in ~10 % reduction in EOC cell proliferation. </t>
    </r>
    <r>
      <rPr>
        <b/>
        <sz val="11"/>
        <color theme="1"/>
        <rFont val="Calibri"/>
        <family val="2"/>
        <scheme val="minor"/>
      </rPr>
      <t>6)</t>
    </r>
    <r>
      <rPr>
        <sz val="11"/>
        <color theme="1"/>
        <rFont val="Calibri"/>
        <family val="2"/>
        <scheme val="minor"/>
      </rPr>
      <t xml:space="preserve"> FAP expression in EOC is associated with poorer clinical outcomes.</t>
    </r>
  </si>
  <si>
    <r>
      <rPr>
        <b/>
        <sz val="11"/>
        <color theme="1"/>
        <rFont val="Calibri"/>
        <family val="2"/>
        <scheme val="minor"/>
      </rPr>
      <t xml:space="preserve">1) </t>
    </r>
    <r>
      <rPr>
        <sz val="11"/>
        <color theme="1"/>
        <rFont val="Calibri"/>
        <family val="2"/>
        <scheme val="minor"/>
      </rPr>
      <t xml:space="preserve">pretreatment of </t>
    </r>
    <r>
      <rPr>
        <b/>
        <sz val="11"/>
        <color theme="1"/>
        <rFont val="Calibri"/>
        <family val="2"/>
        <scheme val="minor"/>
      </rPr>
      <t>ovarian</t>
    </r>
    <r>
      <rPr>
        <sz val="11"/>
        <color theme="1"/>
        <rFont val="Calibri"/>
        <family val="2"/>
        <scheme val="minor"/>
      </rPr>
      <t xml:space="preserve"> cancer OVCAR3 cells with clinically relevant </t>
    </r>
    <r>
      <rPr>
        <b/>
        <sz val="11"/>
        <color theme="1"/>
        <rFont val="Calibri"/>
        <family val="2"/>
        <scheme val="minor"/>
      </rPr>
      <t>cisplatin</t>
    </r>
    <r>
      <rPr>
        <sz val="11"/>
        <color theme="1"/>
        <rFont val="Calibri"/>
        <family val="2"/>
        <scheme val="minor"/>
      </rPr>
      <t xml:space="preserve"> concentrations significantly improved receptor-dependent apoptotic signaling by up-modulating </t>
    </r>
    <r>
      <rPr>
        <b/>
        <sz val="11"/>
        <color theme="1"/>
        <rFont val="Calibri"/>
        <family val="2"/>
        <scheme val="minor"/>
      </rPr>
      <t>CD95 (FAS)</t>
    </r>
    <r>
      <rPr>
        <sz val="11"/>
        <color theme="1"/>
        <rFont val="Calibri"/>
        <family val="2"/>
        <scheme val="minor"/>
      </rPr>
      <t xml:space="preserve"> receptor expression and increasing death-inducing signaling complex formation efficiency. </t>
    </r>
    <r>
      <rPr>
        <b/>
        <sz val="11"/>
        <color theme="1"/>
        <rFont val="Calibri"/>
        <family val="2"/>
        <scheme val="minor"/>
      </rPr>
      <t xml:space="preserve">2) </t>
    </r>
    <r>
      <rPr>
        <sz val="11"/>
        <color theme="1"/>
        <rFont val="Calibri"/>
        <family val="2"/>
        <scheme val="minor"/>
      </rPr>
      <t xml:space="preserve">The synergy of cisplatin pretreatment and CD95 triggering in inducing cell death was also shown in p53mu tumor cells derived from ascitic fluid of advanced-stage </t>
    </r>
    <r>
      <rPr>
        <b/>
        <sz val="11"/>
        <color theme="1"/>
        <rFont val="Calibri"/>
        <family val="2"/>
        <scheme val="minor"/>
      </rPr>
      <t>EOC patients</t>
    </r>
    <r>
      <rPr>
        <sz val="11"/>
        <color theme="1"/>
        <rFont val="Calibri"/>
        <family val="2"/>
        <scheme val="minor"/>
      </rPr>
      <t xml:space="preserve">. </t>
    </r>
    <r>
      <rPr>
        <b/>
        <sz val="11"/>
        <color theme="1"/>
        <rFont val="Calibri"/>
        <family val="2"/>
        <scheme val="minor"/>
      </rPr>
      <t xml:space="preserve">3) </t>
    </r>
    <r>
      <rPr>
        <sz val="11"/>
        <color theme="1"/>
        <rFont val="Calibri"/>
        <family val="2"/>
        <scheme val="minor"/>
      </rPr>
      <t xml:space="preserve">Of 123 </t>
    </r>
    <r>
      <rPr>
        <b/>
        <sz val="11"/>
        <color theme="1"/>
        <rFont val="Calibri"/>
        <family val="2"/>
        <scheme val="minor"/>
      </rPr>
      <t>urothelial</t>
    </r>
    <r>
      <rPr>
        <sz val="11"/>
        <color theme="1"/>
        <rFont val="Calibri"/>
        <family val="2"/>
        <scheme val="minor"/>
      </rPr>
      <t xml:space="preserve"> cancer (UC), less frequent Fas expression was significantly associated with a higher pathological grade, a more advanced stage and poorer prognosis (P=0.010). </t>
    </r>
    <r>
      <rPr>
        <b/>
        <sz val="11"/>
        <color theme="1"/>
        <rFont val="Calibri"/>
        <family val="2"/>
        <scheme val="minor"/>
      </rPr>
      <t>4)</t>
    </r>
    <r>
      <rPr>
        <sz val="11"/>
        <color theme="1"/>
        <rFont val="Calibri"/>
        <family val="2"/>
        <scheme val="minor"/>
      </rPr>
      <t xml:space="preserve"> Baseline sFas increased with the number of previous chemotherapy lines (p =0.008). </t>
    </r>
    <r>
      <rPr>
        <b/>
        <sz val="11"/>
        <color theme="1"/>
        <rFont val="Calibri"/>
        <family val="2"/>
        <scheme val="minor"/>
      </rPr>
      <t xml:space="preserve">5) </t>
    </r>
    <r>
      <rPr>
        <sz val="11"/>
        <color theme="1"/>
        <rFont val="Calibri"/>
        <family val="2"/>
        <scheme val="minor"/>
      </rPr>
      <t xml:space="preserve">During pharmacokinetics, the median </t>
    </r>
    <r>
      <rPr>
        <b/>
        <sz val="11"/>
        <color theme="1"/>
        <rFont val="Calibri"/>
        <family val="2"/>
        <scheme val="minor"/>
      </rPr>
      <t>sFas</t>
    </r>
    <r>
      <rPr>
        <sz val="11"/>
        <color theme="1"/>
        <rFont val="Calibri"/>
        <family val="2"/>
        <scheme val="minor"/>
      </rPr>
      <t xml:space="preserve"> response was correlated to 5-Fluorouracil or </t>
    </r>
    <r>
      <rPr>
        <b/>
        <sz val="11"/>
        <color theme="1"/>
        <rFont val="Calibri"/>
        <family val="2"/>
        <scheme val="minor"/>
      </rPr>
      <t>cisplatin</t>
    </r>
    <r>
      <rPr>
        <sz val="11"/>
        <color theme="1"/>
        <rFont val="Calibri"/>
        <family val="2"/>
        <scheme val="minor"/>
      </rPr>
      <t xml:space="preserve"> concentrations. </t>
    </r>
    <r>
      <rPr>
        <b/>
        <sz val="11"/>
        <color theme="1"/>
        <rFont val="Calibri"/>
        <family val="2"/>
        <scheme val="minor"/>
      </rPr>
      <t>6)</t>
    </r>
    <r>
      <rPr>
        <sz val="11"/>
        <color theme="1"/>
        <rFont val="Calibri"/>
        <family val="2"/>
        <scheme val="minor"/>
      </rPr>
      <t xml:space="preserve"> inherited abnormalities in apoptosis pathway, related to </t>
    </r>
    <r>
      <rPr>
        <b/>
        <sz val="11"/>
        <color theme="1"/>
        <rFont val="Calibri"/>
        <family val="2"/>
        <scheme val="minor"/>
      </rPr>
      <t>FAS</t>
    </r>
    <r>
      <rPr>
        <sz val="11"/>
        <color theme="1"/>
        <rFont val="Calibri"/>
        <family val="2"/>
        <scheme val="minor"/>
      </rPr>
      <t xml:space="preserve"> c.-671A &gt; G and FASL c.-844 C &gt; T single nucleotide variants, can alter toxicity and survival of tobacco- and alcohol-related</t>
    </r>
    <r>
      <rPr>
        <b/>
        <sz val="11"/>
        <color theme="1"/>
        <rFont val="Calibri"/>
        <family val="2"/>
        <scheme val="minor"/>
      </rPr>
      <t xml:space="preserve"> head and neck</t>
    </r>
    <r>
      <rPr>
        <sz val="11"/>
        <color theme="1"/>
        <rFont val="Calibri"/>
        <family val="2"/>
        <scheme val="minor"/>
      </rPr>
      <t xml:space="preserve"> squamous cell carcinoma patients homogeneously treated with </t>
    </r>
    <r>
      <rPr>
        <b/>
        <sz val="11"/>
        <color theme="1"/>
        <rFont val="Calibri"/>
        <family val="2"/>
        <scheme val="minor"/>
      </rPr>
      <t>cisplatin</t>
    </r>
    <r>
      <rPr>
        <sz val="11"/>
        <color theme="1"/>
        <rFont val="Calibri"/>
        <family val="2"/>
        <scheme val="minor"/>
      </rPr>
      <t xml:space="preserve"> chemoradiation.</t>
    </r>
  </si>
  <si>
    <r>
      <rPr>
        <b/>
        <sz val="11"/>
        <color theme="1"/>
        <rFont val="Calibri"/>
        <family val="2"/>
        <scheme val="minor"/>
      </rPr>
      <t>1)</t>
    </r>
    <r>
      <rPr>
        <sz val="11"/>
        <color theme="1"/>
        <rFont val="Calibri"/>
        <family val="2"/>
        <scheme val="minor"/>
      </rPr>
      <t xml:space="preserve"> </t>
    </r>
    <r>
      <rPr>
        <b/>
        <sz val="11"/>
        <color theme="1"/>
        <rFont val="Calibri"/>
        <family val="2"/>
        <scheme val="minor"/>
      </rPr>
      <t>miR-21-5p</t>
    </r>
    <r>
      <rPr>
        <sz val="11"/>
        <color theme="1"/>
        <rFont val="Calibri"/>
        <family val="2"/>
        <scheme val="minor"/>
      </rPr>
      <t xml:space="preserve"> targeted </t>
    </r>
    <r>
      <rPr>
        <b/>
        <sz val="11"/>
        <color theme="1"/>
        <rFont val="Calibri"/>
        <family val="2"/>
        <scheme val="minor"/>
      </rPr>
      <t>FASLG</t>
    </r>
    <r>
      <rPr>
        <sz val="11"/>
        <color theme="1"/>
        <rFont val="Calibri"/>
        <family val="2"/>
        <scheme val="minor"/>
      </rPr>
      <t xml:space="preserve"> and suppressed the sensitivity of </t>
    </r>
    <r>
      <rPr>
        <b/>
        <sz val="11"/>
        <color theme="1"/>
        <rFont val="Calibri"/>
        <family val="2"/>
        <scheme val="minor"/>
      </rPr>
      <t>HCC</t>
    </r>
    <r>
      <rPr>
        <sz val="11"/>
        <color theme="1"/>
        <rFont val="Calibri"/>
        <family val="2"/>
        <scheme val="minor"/>
      </rPr>
      <t xml:space="preserve"> cells to </t>
    </r>
    <r>
      <rPr>
        <b/>
        <sz val="11"/>
        <color theme="1"/>
        <rFont val="Calibri"/>
        <family val="2"/>
        <scheme val="minor"/>
      </rPr>
      <t>DDP</t>
    </r>
    <r>
      <rPr>
        <sz val="11"/>
        <color theme="1"/>
        <rFont val="Calibri"/>
        <family val="2"/>
        <scheme val="minor"/>
      </rPr>
      <t xml:space="preserve"> treatment.</t>
    </r>
    <r>
      <rPr>
        <b/>
        <sz val="11"/>
        <color theme="1"/>
        <rFont val="Calibri"/>
        <family val="2"/>
        <scheme val="minor"/>
      </rPr>
      <t xml:space="preserve"> 2)</t>
    </r>
    <r>
      <rPr>
        <sz val="11"/>
        <color theme="1"/>
        <rFont val="Calibri"/>
        <family val="2"/>
        <scheme val="minor"/>
      </rPr>
      <t xml:space="preserve"> </t>
    </r>
    <r>
      <rPr>
        <b/>
        <sz val="11"/>
        <color theme="1"/>
        <rFont val="Calibri"/>
        <family val="2"/>
        <scheme val="minor"/>
      </rPr>
      <t>cisplatin</t>
    </r>
    <r>
      <rPr>
        <sz val="11"/>
        <color theme="1"/>
        <rFont val="Calibri"/>
        <family val="2"/>
        <scheme val="minor"/>
      </rPr>
      <t xml:space="preserve"> sensitivity of </t>
    </r>
    <r>
      <rPr>
        <b/>
        <sz val="11"/>
        <color theme="1"/>
        <rFont val="Calibri"/>
        <family val="2"/>
        <scheme val="minor"/>
      </rPr>
      <t>testicular</t>
    </r>
    <r>
      <rPr>
        <sz val="11"/>
        <color theme="1"/>
        <rFont val="Calibri"/>
        <family val="2"/>
        <scheme val="minor"/>
      </rPr>
      <t xml:space="preserve"> germ cell tumor cells is dependent on the activation of the </t>
    </r>
    <r>
      <rPr>
        <b/>
        <sz val="11"/>
        <color theme="1"/>
        <rFont val="Calibri"/>
        <family val="2"/>
        <scheme val="minor"/>
      </rPr>
      <t>CD95</t>
    </r>
    <r>
      <rPr>
        <sz val="11"/>
        <color theme="1"/>
        <rFont val="Calibri"/>
        <family val="2"/>
        <scheme val="minor"/>
      </rPr>
      <t xml:space="preserve"> death pathway. </t>
    </r>
    <r>
      <rPr>
        <b/>
        <sz val="11"/>
        <color theme="1"/>
        <rFont val="Calibri"/>
        <family val="2"/>
        <scheme val="minor"/>
      </rPr>
      <t>3)</t>
    </r>
    <r>
      <rPr>
        <sz val="11"/>
        <color theme="1"/>
        <rFont val="Calibri"/>
        <family val="2"/>
        <scheme val="minor"/>
      </rPr>
      <t xml:space="preserve"> loss of cisplatin-induced activation of this </t>
    </r>
    <r>
      <rPr>
        <b/>
        <sz val="11"/>
        <color theme="1"/>
        <rFont val="Calibri"/>
        <family val="2"/>
        <scheme val="minor"/>
      </rPr>
      <t>CD95</t>
    </r>
    <r>
      <rPr>
        <sz val="11"/>
        <color theme="1"/>
        <rFont val="Calibri"/>
        <family val="2"/>
        <scheme val="minor"/>
      </rPr>
      <t xml:space="preserve"> signaling pathway may result in resistance to cisplatin. </t>
    </r>
    <r>
      <rPr>
        <b/>
        <sz val="11"/>
        <color theme="1"/>
        <rFont val="Calibri"/>
        <family val="2"/>
        <scheme val="minor"/>
      </rPr>
      <t xml:space="preserve">4) </t>
    </r>
    <r>
      <rPr>
        <sz val="11"/>
        <color theme="1"/>
        <rFont val="Calibri"/>
        <family val="2"/>
        <scheme val="minor"/>
      </rPr>
      <t>The expression of Fas ligand (</t>
    </r>
    <r>
      <rPr>
        <b/>
        <sz val="11"/>
        <color theme="1"/>
        <rFont val="Calibri"/>
        <family val="2"/>
        <scheme val="minor"/>
      </rPr>
      <t>FasL</t>
    </r>
    <r>
      <rPr>
        <sz val="11"/>
        <color theme="1"/>
        <rFont val="Calibri"/>
        <family val="2"/>
        <scheme val="minor"/>
      </rPr>
      <t xml:space="preserve">) was lower in </t>
    </r>
    <r>
      <rPr>
        <b/>
        <sz val="11"/>
        <color theme="1"/>
        <rFont val="Calibri"/>
        <family val="2"/>
        <scheme val="minor"/>
      </rPr>
      <t>cisplatin</t>
    </r>
    <r>
      <rPr>
        <sz val="11"/>
        <color theme="1"/>
        <rFont val="Calibri"/>
        <family val="2"/>
        <scheme val="minor"/>
      </rPr>
      <t>-resistant LC cells than that in NC cells.</t>
    </r>
    <r>
      <rPr>
        <b/>
        <sz val="11"/>
        <color theme="1"/>
        <rFont val="Calibri"/>
        <family val="2"/>
        <scheme val="minor"/>
      </rPr>
      <t xml:space="preserve"> 5) </t>
    </r>
    <r>
      <rPr>
        <sz val="11"/>
        <color theme="1"/>
        <rFont val="Calibri"/>
        <family val="2"/>
        <scheme val="minor"/>
      </rPr>
      <t xml:space="preserve">inherited abnormalities in apoptosis pathway, related to FAS c.-671A &gt; G and FASL c.-844 C &gt; T single nucleotide variants, can alter toxicity and survival of tobacco- and alcohol-related </t>
    </r>
    <r>
      <rPr>
        <b/>
        <sz val="11"/>
        <color theme="1"/>
        <rFont val="Calibri"/>
        <family val="2"/>
        <scheme val="minor"/>
      </rPr>
      <t>head and neck</t>
    </r>
    <r>
      <rPr>
        <sz val="11"/>
        <color theme="1"/>
        <rFont val="Calibri"/>
        <family val="2"/>
        <scheme val="minor"/>
      </rPr>
      <t xml:space="preserve"> squamous cell carcinoma patients homogeneously treated with </t>
    </r>
    <r>
      <rPr>
        <b/>
        <sz val="11"/>
        <color theme="1"/>
        <rFont val="Calibri"/>
        <family val="2"/>
        <scheme val="minor"/>
      </rPr>
      <t>cisplatin</t>
    </r>
    <r>
      <rPr>
        <sz val="11"/>
        <color theme="1"/>
        <rFont val="Calibri"/>
        <family val="2"/>
        <scheme val="minor"/>
      </rPr>
      <t xml:space="preserve"> chemoradiation.  </t>
    </r>
  </si>
  <si>
    <r>
      <rPr>
        <b/>
        <sz val="11"/>
        <color theme="1"/>
        <rFont val="Calibri"/>
        <family val="2"/>
        <scheme val="minor"/>
      </rPr>
      <t xml:space="preserve">1) </t>
    </r>
    <r>
      <rPr>
        <sz val="11"/>
        <color theme="1"/>
        <rFont val="Calibri"/>
        <family val="2"/>
        <scheme val="minor"/>
      </rPr>
      <t xml:space="preserve">the </t>
    </r>
    <r>
      <rPr>
        <b/>
        <sz val="11"/>
        <color theme="1"/>
        <rFont val="Calibri"/>
        <family val="2"/>
        <scheme val="minor"/>
      </rPr>
      <t>FASN</t>
    </r>
    <r>
      <rPr>
        <sz val="11"/>
        <color theme="1"/>
        <rFont val="Calibri"/>
        <family val="2"/>
        <scheme val="minor"/>
      </rPr>
      <t xml:space="preserve"> transcript level in SKOV3 cells was significantly reduced by N130 induction or by NAC1 knockdown. </t>
    </r>
    <r>
      <rPr>
        <b/>
        <sz val="11"/>
        <color theme="1"/>
        <rFont val="Calibri"/>
        <family val="2"/>
        <scheme val="minor"/>
      </rPr>
      <t xml:space="preserve">2) </t>
    </r>
    <r>
      <rPr>
        <sz val="11"/>
        <color theme="1"/>
        <rFont val="Calibri"/>
        <family val="2"/>
        <scheme val="minor"/>
      </rPr>
      <t xml:space="preserve">Immunohistochemistry showed that NAC1 and FASN immunointensities in </t>
    </r>
    <r>
      <rPr>
        <b/>
        <sz val="11"/>
        <color theme="1"/>
        <rFont val="Calibri"/>
        <family val="2"/>
        <scheme val="minor"/>
      </rPr>
      <t>ovarian</t>
    </r>
    <r>
      <rPr>
        <sz val="11"/>
        <color theme="1"/>
        <rFont val="Calibri"/>
        <family val="2"/>
        <scheme val="minor"/>
      </rPr>
      <t xml:space="preserve"> serous carcinoma tissues had a highly significant correlation (P &lt; .0001). </t>
    </r>
    <r>
      <rPr>
        <b/>
        <sz val="11"/>
        <color theme="1"/>
        <rFont val="Calibri"/>
        <family val="2"/>
        <scheme val="minor"/>
      </rPr>
      <t>3) Recurrent</t>
    </r>
    <r>
      <rPr>
        <sz val="11"/>
        <color theme="1"/>
        <rFont val="Calibri"/>
        <family val="2"/>
        <scheme val="minor"/>
      </rPr>
      <t xml:space="preserve"> serous carcinomas exhibited higher FASN immunointensities than their matched primary tumors (P &lt; .001). </t>
    </r>
    <r>
      <rPr>
        <b/>
        <sz val="11"/>
        <color theme="1"/>
        <rFont val="Calibri"/>
        <family val="2"/>
        <scheme val="minor"/>
      </rPr>
      <t xml:space="preserve">4) </t>
    </r>
    <r>
      <rPr>
        <sz val="11"/>
        <color theme="1"/>
        <rFont val="Calibri"/>
        <family val="2"/>
        <scheme val="minor"/>
      </rPr>
      <t xml:space="preserve">an FASN staining score of &gt;1 in serous carcinomas was associated with a worse overall survival time (P &lt; .01). </t>
    </r>
    <r>
      <rPr>
        <b/>
        <sz val="11"/>
        <color theme="1"/>
        <rFont val="Calibri"/>
        <family val="2"/>
        <scheme val="minor"/>
      </rPr>
      <t xml:space="preserve">5) </t>
    </r>
    <r>
      <rPr>
        <sz val="11"/>
        <color theme="1"/>
        <rFont val="Calibri"/>
        <family val="2"/>
        <scheme val="minor"/>
      </rPr>
      <t xml:space="preserve">C93, a new FASN inhibitor, induced massive apoptosis in </t>
    </r>
    <r>
      <rPr>
        <b/>
        <sz val="11"/>
        <color theme="1"/>
        <rFont val="Calibri"/>
        <family val="2"/>
        <scheme val="minor"/>
      </rPr>
      <t>carboplatin</t>
    </r>
    <r>
      <rPr>
        <sz val="11"/>
        <color theme="1"/>
        <rFont val="Calibri"/>
        <family val="2"/>
        <scheme val="minor"/>
      </rPr>
      <t>/paclitaxel resistant</t>
    </r>
    <r>
      <rPr>
        <b/>
        <sz val="11"/>
        <color theme="1"/>
        <rFont val="Calibri"/>
        <family val="2"/>
        <scheme val="minor"/>
      </rPr>
      <t xml:space="preserve"> ovarian</t>
    </r>
    <r>
      <rPr>
        <sz val="11"/>
        <color theme="1"/>
        <rFont val="Calibri"/>
        <family val="2"/>
        <scheme val="minor"/>
      </rPr>
      <t xml:space="preserve"> cancer cells. </t>
    </r>
    <r>
      <rPr>
        <b/>
        <sz val="11"/>
        <color theme="1"/>
        <rFont val="Calibri"/>
        <family val="2"/>
        <scheme val="minor"/>
      </rPr>
      <t xml:space="preserve">6) </t>
    </r>
    <r>
      <rPr>
        <sz val="11"/>
        <color theme="1"/>
        <rFont val="Calibri"/>
        <family val="2"/>
        <scheme val="minor"/>
      </rPr>
      <t xml:space="preserve">NAC1 is essential for FASN expression in ovarian serous carcinomas and the expression of FASN significantly correlates with tumor recurrence and disease aggressiveness. </t>
    </r>
  </si>
  <si>
    <r>
      <rPr>
        <b/>
        <sz val="11"/>
        <color theme="1"/>
        <rFont val="Calibri"/>
        <family val="2"/>
        <scheme val="minor"/>
      </rPr>
      <t xml:space="preserve">1) </t>
    </r>
    <r>
      <rPr>
        <sz val="11"/>
        <color theme="1"/>
        <rFont val="Calibri"/>
        <family val="2"/>
        <scheme val="minor"/>
      </rPr>
      <t xml:space="preserve">In-silica analyses indicate </t>
    </r>
    <r>
      <rPr>
        <b/>
        <sz val="11"/>
        <color theme="1"/>
        <rFont val="Calibri"/>
        <family val="2"/>
        <scheme val="minor"/>
      </rPr>
      <t>FAT1</t>
    </r>
    <r>
      <rPr>
        <sz val="11"/>
        <color theme="1"/>
        <rFont val="Calibri"/>
        <family val="2"/>
        <scheme val="minor"/>
      </rPr>
      <t xml:space="preserve"> mutations are frequent and drive </t>
    </r>
    <r>
      <rPr>
        <b/>
        <sz val="11"/>
        <color theme="1"/>
        <rFont val="Calibri"/>
        <family val="2"/>
        <scheme val="minor"/>
      </rPr>
      <t>head-neck</t>
    </r>
    <r>
      <rPr>
        <sz val="11"/>
        <color theme="1"/>
        <rFont val="Calibri"/>
        <family val="2"/>
        <scheme val="minor"/>
      </rPr>
      <t xml:space="preserve"> SCC, with enhanced expression defining high-risk population and poor prognosis. </t>
    </r>
    <r>
      <rPr>
        <b/>
        <sz val="11"/>
        <color theme="1"/>
        <rFont val="Calibri"/>
        <family val="2"/>
        <scheme val="minor"/>
      </rPr>
      <t xml:space="preserve">2) </t>
    </r>
    <r>
      <rPr>
        <sz val="11"/>
        <color theme="1"/>
        <rFont val="Calibri"/>
        <family val="2"/>
        <scheme val="minor"/>
      </rPr>
      <t xml:space="preserve">shFAT1 suppressed </t>
    </r>
    <r>
      <rPr>
        <b/>
        <sz val="11"/>
        <color theme="1"/>
        <rFont val="Calibri"/>
        <family val="2"/>
        <scheme val="minor"/>
      </rPr>
      <t>PCNA</t>
    </r>
    <r>
      <rPr>
        <sz val="11"/>
        <color theme="1"/>
        <rFont val="Calibri"/>
        <family val="2"/>
        <scheme val="minor"/>
      </rPr>
      <t xml:space="preserve"> and upregulated </t>
    </r>
    <r>
      <rPr>
        <b/>
        <sz val="11"/>
        <color theme="1"/>
        <rFont val="Calibri"/>
        <family val="2"/>
        <scheme val="minor"/>
      </rPr>
      <t>BAX/BCL2</t>
    </r>
    <r>
      <rPr>
        <sz val="11"/>
        <color theme="1"/>
        <rFont val="Calibri"/>
        <family val="2"/>
        <scheme val="minor"/>
      </rPr>
      <t xml:space="preserve"> ratio in SAS and HSC-3 cells.</t>
    </r>
    <r>
      <rPr>
        <b/>
        <sz val="11"/>
        <color theme="1"/>
        <rFont val="Calibri"/>
        <family val="2"/>
        <scheme val="minor"/>
      </rPr>
      <t xml:space="preserve"> 3)</t>
    </r>
    <r>
      <rPr>
        <sz val="11"/>
        <color theme="1"/>
        <rFont val="Calibri"/>
        <family val="2"/>
        <scheme val="minor"/>
      </rPr>
      <t xml:space="preserve"> compared with wild-type cells, shFAT1 concomitantly impaired HSC-3 cell migration, invasion, and clonogenicity. </t>
    </r>
    <r>
      <rPr>
        <b/>
        <sz val="11"/>
        <color theme="1"/>
        <rFont val="Calibri"/>
        <family val="2"/>
        <scheme val="minor"/>
      </rPr>
      <t xml:space="preserve">4) </t>
    </r>
    <r>
      <rPr>
        <sz val="11"/>
        <color theme="1"/>
        <rFont val="Calibri"/>
        <family val="2"/>
        <scheme val="minor"/>
      </rPr>
      <t>over-expressed FAT1 characterized</t>
    </r>
    <r>
      <rPr>
        <b/>
        <sz val="11"/>
        <color theme="1"/>
        <rFont val="Calibri"/>
        <family val="2"/>
        <scheme val="minor"/>
      </rPr>
      <t xml:space="preserve"> cisplatin-</t>
    </r>
    <r>
      <rPr>
        <sz val="11"/>
        <color theme="1"/>
        <rFont val="Calibri"/>
        <family val="2"/>
        <scheme val="minor"/>
      </rPr>
      <t>resistance (CispR),</t>
    </r>
    <r>
      <rPr>
        <b/>
        <sz val="11"/>
        <color theme="1"/>
        <rFont val="Calibri"/>
        <family val="2"/>
        <scheme val="minor"/>
      </rPr>
      <t xml:space="preserve"> 5)</t>
    </r>
    <r>
      <rPr>
        <sz val="11"/>
        <color theme="1"/>
        <rFont val="Calibri"/>
        <family val="2"/>
        <scheme val="minor"/>
      </rPr>
      <t xml:space="preserve"> shFAT1 synchronously re-sensitized CispR cells to cisplatin, enhanced glutathione (GSH)/GSH synthetase (GSS)-mediated oxidative stress and deregulated LRP5/WNT2 signaling. </t>
    </r>
  </si>
  <si>
    <r>
      <rPr>
        <b/>
        <sz val="11"/>
        <color theme="1"/>
        <rFont val="Calibri"/>
        <family val="2"/>
        <scheme val="minor"/>
      </rPr>
      <t>1)</t>
    </r>
    <r>
      <rPr>
        <sz val="11"/>
        <color theme="1"/>
        <rFont val="Calibri"/>
        <family val="2"/>
        <scheme val="minor"/>
      </rPr>
      <t xml:space="preserve"> the expression of </t>
    </r>
    <r>
      <rPr>
        <b/>
        <sz val="11"/>
        <color theme="1"/>
        <rFont val="Calibri"/>
        <family val="2"/>
        <scheme val="minor"/>
      </rPr>
      <t>FAU</t>
    </r>
    <r>
      <rPr>
        <sz val="11"/>
        <color theme="1"/>
        <rFont val="Calibri"/>
        <family val="2"/>
        <scheme val="minor"/>
      </rPr>
      <t xml:space="preserve"> was reduced in the A2780cis (cisplatin resistant subclone of A2780) cell line compared with the A2780 </t>
    </r>
    <r>
      <rPr>
        <b/>
        <sz val="11"/>
        <color theme="1"/>
        <rFont val="Calibri"/>
        <family val="2"/>
        <scheme val="minor"/>
      </rPr>
      <t>ovarian</t>
    </r>
    <r>
      <rPr>
        <sz val="11"/>
        <color theme="1"/>
        <rFont val="Calibri"/>
        <family val="2"/>
        <scheme val="minor"/>
      </rPr>
      <t xml:space="preserve"> cancer cell line. </t>
    </r>
    <r>
      <rPr>
        <b/>
        <sz val="11"/>
        <color theme="1"/>
        <rFont val="Calibri"/>
        <family val="2"/>
        <scheme val="minor"/>
      </rPr>
      <t>2)</t>
    </r>
    <r>
      <rPr>
        <sz val="11"/>
        <color theme="1"/>
        <rFont val="Calibri"/>
        <family val="2"/>
        <scheme val="minor"/>
      </rPr>
      <t xml:space="preserve"> Downregulation of FAU in the A2780 cell line by siRNAs (siRNAs) to FAU resulted in a significant increase in resistance to carboplatin-induced cell death. </t>
    </r>
    <r>
      <rPr>
        <b/>
        <sz val="11"/>
        <color theme="1"/>
        <rFont val="Calibri"/>
        <family val="2"/>
        <scheme val="minor"/>
      </rPr>
      <t xml:space="preserve">3) </t>
    </r>
    <r>
      <rPr>
        <sz val="11"/>
        <color theme="1"/>
        <rFont val="Calibri"/>
        <family val="2"/>
        <scheme val="minor"/>
      </rPr>
      <t xml:space="preserve">Overexpressing FAU was associated with increased sensitivity to </t>
    </r>
    <r>
      <rPr>
        <b/>
        <sz val="11"/>
        <color theme="1"/>
        <rFont val="Calibri"/>
        <family val="2"/>
        <scheme val="minor"/>
      </rPr>
      <t>carboplatin</t>
    </r>
    <r>
      <rPr>
        <sz val="11"/>
        <color theme="1"/>
        <rFont val="Calibri"/>
        <family val="2"/>
        <scheme val="minor"/>
      </rPr>
      <t xml:space="preserve">-induced apoptosis. </t>
    </r>
    <r>
      <rPr>
        <b/>
        <sz val="11"/>
        <color theme="1"/>
        <rFont val="Calibri"/>
        <family val="2"/>
        <scheme val="minor"/>
      </rPr>
      <t xml:space="preserve">4) </t>
    </r>
    <r>
      <rPr>
        <sz val="11"/>
        <color theme="1"/>
        <rFont val="Calibri"/>
        <family val="2"/>
        <scheme val="minor"/>
      </rPr>
      <t xml:space="preserve">A significant reduction in the expression of FAU was seen in the malignant compared with normal </t>
    </r>
    <r>
      <rPr>
        <b/>
        <sz val="11"/>
        <color theme="1"/>
        <rFont val="Calibri"/>
        <family val="2"/>
        <scheme val="minor"/>
      </rPr>
      <t>ovarian</t>
    </r>
    <r>
      <rPr>
        <sz val="11"/>
        <color theme="1"/>
        <rFont val="Calibri"/>
        <family val="2"/>
        <scheme val="minor"/>
      </rPr>
      <t xml:space="preserve"> samples (Kruskal-Wallis P = 0.0261).  </t>
    </r>
  </si>
  <si>
    <r>
      <rPr>
        <b/>
        <sz val="11"/>
        <color theme="1"/>
        <rFont val="Calibri"/>
        <family val="2"/>
        <scheme val="minor"/>
      </rPr>
      <t>1)</t>
    </r>
    <r>
      <rPr>
        <sz val="11"/>
        <color theme="1"/>
        <rFont val="Calibri"/>
        <family val="2"/>
        <scheme val="minor"/>
      </rPr>
      <t xml:space="preserve"> a member of the F-box protein family and constitutes one of the four subunits of the ubiquitin protein ligase complex; </t>
    </r>
    <r>
      <rPr>
        <b/>
        <sz val="11"/>
        <color theme="1"/>
        <rFont val="Calibri"/>
        <family val="2"/>
        <scheme val="minor"/>
      </rPr>
      <t xml:space="preserve">2) </t>
    </r>
    <r>
      <rPr>
        <sz val="11"/>
        <color theme="1"/>
        <rFont val="Calibri"/>
        <family val="2"/>
        <scheme val="minor"/>
      </rPr>
      <t xml:space="preserve">a novel apoptosis regulator; </t>
    </r>
    <r>
      <rPr>
        <b/>
        <sz val="11"/>
        <color theme="1"/>
        <rFont val="Calibri"/>
        <family val="2"/>
        <scheme val="minor"/>
      </rPr>
      <t xml:space="preserve">3) </t>
    </r>
    <r>
      <rPr>
        <sz val="11"/>
        <color theme="1"/>
        <rFont val="Calibri"/>
        <family val="2"/>
        <scheme val="minor"/>
      </rPr>
      <t>TGF-β/SMAD target gene</t>
    </r>
  </si>
  <si>
    <r>
      <rPr>
        <b/>
        <sz val="11"/>
        <color theme="1"/>
        <rFont val="Calibri"/>
        <family val="2"/>
        <scheme val="minor"/>
      </rPr>
      <t>1)</t>
    </r>
    <r>
      <rPr>
        <sz val="11"/>
        <color theme="1"/>
        <rFont val="Calibri"/>
        <family val="2"/>
        <scheme val="minor"/>
      </rPr>
      <t xml:space="preserve"> Expression of </t>
    </r>
    <r>
      <rPr>
        <b/>
        <sz val="11"/>
        <color theme="1"/>
        <rFont val="Calibri"/>
        <family val="2"/>
        <scheme val="minor"/>
      </rPr>
      <t>FBXO32</t>
    </r>
    <r>
      <rPr>
        <sz val="11"/>
        <color theme="1"/>
        <rFont val="Calibri"/>
        <family val="2"/>
        <scheme val="minor"/>
      </rPr>
      <t xml:space="preserve"> was observed in the normal </t>
    </r>
    <r>
      <rPr>
        <b/>
        <sz val="11"/>
        <color theme="1"/>
        <rFont val="Calibri"/>
        <family val="2"/>
        <scheme val="minor"/>
      </rPr>
      <t>ovarian</t>
    </r>
    <r>
      <rPr>
        <sz val="11"/>
        <color theme="1"/>
        <rFont val="Calibri"/>
        <family val="2"/>
        <scheme val="minor"/>
      </rPr>
      <t xml:space="preserve"> surface epithelium, but not in</t>
    </r>
    <r>
      <rPr>
        <b/>
        <sz val="11"/>
        <color theme="1"/>
        <rFont val="Calibri"/>
        <family val="2"/>
        <scheme val="minor"/>
      </rPr>
      <t xml:space="preserve"> ovarian</t>
    </r>
    <r>
      <rPr>
        <sz val="11"/>
        <color theme="1"/>
        <rFont val="Calibri"/>
        <family val="2"/>
        <scheme val="minor"/>
      </rPr>
      <t xml:space="preserve"> cancer cell lines.</t>
    </r>
    <r>
      <rPr>
        <b/>
        <sz val="11"/>
        <color theme="1"/>
        <rFont val="Calibri"/>
        <family val="2"/>
        <scheme val="minor"/>
      </rPr>
      <t xml:space="preserve"> 2)</t>
    </r>
    <r>
      <rPr>
        <sz val="11"/>
        <color theme="1"/>
        <rFont val="Calibri"/>
        <family val="2"/>
        <scheme val="minor"/>
      </rPr>
      <t xml:space="preserve"> FBXO32 methylation was observed in ovarian cancer cell lines displaying constitutive TGF-beta/SMAD4 signaling. </t>
    </r>
    <r>
      <rPr>
        <b/>
        <sz val="11"/>
        <color theme="1"/>
        <rFont val="Calibri"/>
        <family val="2"/>
        <scheme val="minor"/>
      </rPr>
      <t xml:space="preserve">3) </t>
    </r>
    <r>
      <rPr>
        <sz val="11"/>
        <color theme="1"/>
        <rFont val="Calibri"/>
        <family val="2"/>
        <scheme val="minor"/>
      </rPr>
      <t xml:space="preserve">epigenetic drug treatment restored FBXO32 expression in ovarian cancer cell lines regardless of FBXO32 methylation status. </t>
    </r>
    <r>
      <rPr>
        <b/>
        <sz val="11"/>
        <color theme="1"/>
        <rFont val="Calibri"/>
        <family val="2"/>
        <scheme val="minor"/>
      </rPr>
      <t>4)</t>
    </r>
    <r>
      <rPr>
        <sz val="11"/>
        <color theme="1"/>
        <rFont val="Calibri"/>
        <family val="2"/>
        <scheme val="minor"/>
      </rPr>
      <t xml:space="preserve"> In advanced-stage ovarian tumors, a significant (29.3%; P&lt;0.05) methylation frequency of FBXO32 was observed and the association between FBXO32 methylation and shorter progression-free survival was significant.</t>
    </r>
    <r>
      <rPr>
        <b/>
        <sz val="11"/>
        <color theme="1"/>
        <rFont val="Calibri"/>
        <family val="2"/>
        <scheme val="minor"/>
      </rPr>
      <t xml:space="preserve"> 5)</t>
    </r>
    <r>
      <rPr>
        <sz val="11"/>
        <color theme="1"/>
        <rFont val="Calibri"/>
        <family val="2"/>
        <scheme val="minor"/>
      </rPr>
      <t xml:space="preserve"> Reexpression of FBXO32 markedly reduced proliferation of a </t>
    </r>
    <r>
      <rPr>
        <b/>
        <sz val="11"/>
        <color theme="1"/>
        <rFont val="Calibri"/>
        <family val="2"/>
        <scheme val="minor"/>
      </rPr>
      <t>platinum</t>
    </r>
    <r>
      <rPr>
        <sz val="11"/>
        <color theme="1"/>
        <rFont val="Calibri"/>
        <family val="2"/>
        <scheme val="minor"/>
      </rPr>
      <t xml:space="preserve">-resistant ovarian cancer cell line both in vitro and in vivo. </t>
    </r>
  </si>
  <si>
    <r>
      <rPr>
        <b/>
        <sz val="11"/>
        <color theme="1"/>
        <rFont val="Calibri"/>
        <family val="2"/>
        <scheme val="minor"/>
      </rPr>
      <t>1)</t>
    </r>
    <r>
      <rPr>
        <sz val="11"/>
        <color theme="1"/>
        <rFont val="Calibri"/>
        <family val="2"/>
        <scheme val="minor"/>
      </rPr>
      <t xml:space="preserve"> the expression of </t>
    </r>
    <r>
      <rPr>
        <b/>
        <sz val="11"/>
        <color theme="1"/>
        <rFont val="Calibri"/>
        <family val="2"/>
        <scheme val="minor"/>
      </rPr>
      <t>FEN1</t>
    </r>
    <r>
      <rPr>
        <sz val="11"/>
        <color theme="1"/>
        <rFont val="Calibri"/>
        <family val="2"/>
        <scheme val="minor"/>
      </rPr>
      <t xml:space="preserve"> was significantly induced by </t>
    </r>
    <r>
      <rPr>
        <b/>
        <sz val="11"/>
        <color theme="1"/>
        <rFont val="Calibri"/>
        <family val="2"/>
        <scheme val="minor"/>
      </rPr>
      <t xml:space="preserve">CDDP </t>
    </r>
    <r>
      <rPr>
        <sz val="11"/>
        <color theme="1"/>
        <rFont val="Calibri"/>
        <family val="2"/>
        <scheme val="minor"/>
      </rPr>
      <t>in a dose‑ and time‑dependent manner. </t>
    </r>
    <r>
      <rPr>
        <b/>
        <sz val="11"/>
        <color theme="1"/>
        <rFont val="Calibri"/>
        <family val="2"/>
        <scheme val="minor"/>
      </rPr>
      <t xml:space="preserve">2) </t>
    </r>
    <r>
      <rPr>
        <sz val="11"/>
        <color theme="1"/>
        <rFont val="Calibri"/>
        <family val="2"/>
        <scheme val="minor"/>
      </rPr>
      <t>The targeting of FEN1 in</t>
    </r>
    <r>
      <rPr>
        <b/>
        <sz val="11"/>
        <color theme="1"/>
        <rFont val="Calibri"/>
        <family val="2"/>
        <scheme val="minor"/>
      </rPr>
      <t xml:space="preserve"> gastric</t>
    </r>
    <r>
      <rPr>
        <sz val="11"/>
        <color theme="1"/>
        <rFont val="Calibri"/>
        <family val="2"/>
        <scheme val="minor"/>
      </rPr>
      <t xml:space="preserve"> cancer SGC‑7901 cells, in combination with CDDP treatment, significantly inhibited their proliferation and effectively increased their apoptotic rate.</t>
    </r>
    <r>
      <rPr>
        <b/>
        <sz val="11"/>
        <color theme="1"/>
        <rFont val="Calibri"/>
        <family val="2"/>
        <scheme val="minor"/>
      </rPr>
      <t xml:space="preserve"> 3) </t>
    </r>
    <r>
      <rPr>
        <sz val="11"/>
        <color theme="1"/>
        <rFont val="Calibri"/>
        <family val="2"/>
        <scheme val="minor"/>
      </rPr>
      <t xml:space="preserve">FEN1 protein expression was evaluated in 568 oestrogen receptor (ER) negative </t>
    </r>
    <r>
      <rPr>
        <b/>
        <sz val="11"/>
        <color theme="1"/>
        <rFont val="Calibri"/>
        <family val="2"/>
        <scheme val="minor"/>
      </rPr>
      <t>breast</t>
    </r>
    <r>
      <rPr>
        <sz val="11"/>
        <color theme="1"/>
        <rFont val="Calibri"/>
        <family val="2"/>
        <scheme val="minor"/>
      </rPr>
      <t xml:space="preserve"> cancers, 894 ER positive breast cancers and 156 </t>
    </r>
    <r>
      <rPr>
        <b/>
        <sz val="11"/>
        <color theme="1"/>
        <rFont val="Calibri"/>
        <family val="2"/>
        <scheme val="minor"/>
      </rPr>
      <t>ovarian</t>
    </r>
    <r>
      <rPr>
        <sz val="11"/>
        <color theme="1"/>
        <rFont val="Calibri"/>
        <family val="2"/>
        <scheme val="minor"/>
      </rPr>
      <t xml:space="preserve"> epithelial cancers. </t>
    </r>
    <r>
      <rPr>
        <b/>
        <sz val="11"/>
        <color theme="1"/>
        <rFont val="Calibri"/>
        <family val="2"/>
        <scheme val="minor"/>
      </rPr>
      <t xml:space="preserve">4) </t>
    </r>
    <r>
      <rPr>
        <sz val="11"/>
        <color theme="1"/>
        <rFont val="Calibri"/>
        <family val="2"/>
        <scheme val="minor"/>
      </rPr>
      <t xml:space="preserve">FEN1 mRNA overexpression is associated with poor breast cancer specific survival in univariate (p = 4.4 × 10(-16)) and multivariate analysis (p = 9.19 × 10(-7)). </t>
    </r>
    <r>
      <rPr>
        <b/>
        <sz val="11"/>
        <color theme="1"/>
        <rFont val="Calibri"/>
        <family val="2"/>
        <scheme val="minor"/>
      </rPr>
      <t>5)</t>
    </r>
    <r>
      <rPr>
        <sz val="11"/>
        <color theme="1"/>
        <rFont val="Calibri"/>
        <family val="2"/>
        <scheme val="minor"/>
      </rPr>
      <t xml:space="preserve"> In ER positive as well as in ER negative tumours, FEN1 protein overexpression is associated with poor survival in univariate and multivariate analysis (ps &lt; 0.01). </t>
    </r>
    <r>
      <rPr>
        <b/>
        <sz val="11"/>
        <color theme="1"/>
        <rFont val="Calibri"/>
        <family val="2"/>
        <scheme val="minor"/>
      </rPr>
      <t>6)</t>
    </r>
    <r>
      <rPr>
        <sz val="11"/>
        <color theme="1"/>
        <rFont val="Calibri"/>
        <family val="2"/>
        <scheme val="minor"/>
      </rPr>
      <t xml:space="preserve"> In</t>
    </r>
    <r>
      <rPr>
        <b/>
        <sz val="11"/>
        <color theme="1"/>
        <rFont val="Calibri"/>
        <family val="2"/>
        <scheme val="minor"/>
      </rPr>
      <t xml:space="preserve"> ovarian</t>
    </r>
    <r>
      <rPr>
        <sz val="11"/>
        <color theme="1"/>
        <rFont val="Calibri"/>
        <family val="2"/>
        <scheme val="minor"/>
      </rPr>
      <t xml:space="preserve"> epithelial cancers, similarly, FEN1 overexpression is associated with high grade, high stage and poor survival (ps &lt; 0.05). </t>
    </r>
  </si>
  <si>
    <r>
      <rPr>
        <b/>
        <sz val="11"/>
        <color theme="1"/>
        <rFont val="Calibri"/>
        <family val="2"/>
        <scheme val="minor"/>
      </rPr>
      <t xml:space="preserve">1) </t>
    </r>
    <r>
      <rPr>
        <sz val="11"/>
        <color theme="1"/>
        <rFont val="Calibri"/>
        <family val="2"/>
        <scheme val="minor"/>
      </rPr>
      <t xml:space="preserve">Nine genes, including </t>
    </r>
    <r>
      <rPr>
        <b/>
        <sz val="11"/>
        <color theme="1"/>
        <rFont val="Calibri"/>
        <family val="2"/>
        <scheme val="minor"/>
      </rPr>
      <t>FGF1</t>
    </r>
    <r>
      <rPr>
        <sz val="11"/>
        <color theme="1"/>
        <rFont val="Calibri"/>
        <family val="2"/>
        <scheme val="minor"/>
      </rPr>
      <t xml:space="preserve"> and FGFR2 were differentially expressed in serous and nonserous tumours. </t>
    </r>
    <r>
      <rPr>
        <b/>
        <sz val="11"/>
        <color theme="1"/>
        <rFont val="Calibri"/>
        <family val="2"/>
        <scheme val="minor"/>
      </rPr>
      <t xml:space="preserve">2) </t>
    </r>
    <r>
      <rPr>
        <sz val="11"/>
        <color theme="1"/>
        <rFont val="Calibri"/>
        <family val="2"/>
        <scheme val="minor"/>
      </rPr>
      <t xml:space="preserve">MDM2 and ERBB2 expression was increased in </t>
    </r>
    <r>
      <rPr>
        <b/>
        <sz val="11"/>
        <color theme="1"/>
        <rFont val="Calibri"/>
        <family val="2"/>
        <scheme val="minor"/>
      </rPr>
      <t>platinum</t>
    </r>
    <r>
      <rPr>
        <sz val="11"/>
        <color theme="1"/>
        <rFont val="Calibri"/>
        <family val="2"/>
        <scheme val="minor"/>
      </rPr>
      <t xml:space="preserve">-sensitive patients. </t>
    </r>
    <r>
      <rPr>
        <b/>
        <sz val="11"/>
        <color theme="1"/>
        <rFont val="Calibri"/>
        <family val="2"/>
        <scheme val="minor"/>
      </rPr>
      <t xml:space="preserve">3) </t>
    </r>
    <r>
      <rPr>
        <sz val="11"/>
        <color theme="1"/>
        <rFont val="Calibri"/>
        <family val="2"/>
        <scheme val="minor"/>
      </rPr>
      <t xml:space="preserve">FGF1, FGFR2 and PDRFRB expression significantly inversely influenced progression-free survival. </t>
    </r>
    <r>
      <rPr>
        <b/>
        <sz val="11"/>
        <color theme="1"/>
        <rFont val="Calibri"/>
        <family val="2"/>
        <scheme val="minor"/>
      </rPr>
      <t xml:space="preserve">4) </t>
    </r>
    <r>
      <rPr>
        <sz val="11"/>
        <color theme="1"/>
        <rFont val="Calibri"/>
        <family val="2"/>
        <scheme val="minor"/>
      </rPr>
      <t>Stable FGF1 gene knockdown in platinum-resistant A2780DPP cells re-sensitised cells to both cisplatin and carboplatin.</t>
    </r>
  </si>
  <si>
    <r>
      <rPr>
        <b/>
        <sz val="11"/>
        <color theme="1"/>
        <rFont val="Calibri"/>
        <family val="2"/>
        <scheme val="minor"/>
      </rPr>
      <t>1)</t>
    </r>
    <r>
      <rPr>
        <sz val="11"/>
        <color theme="1"/>
        <rFont val="Calibri"/>
        <family val="2"/>
        <scheme val="minor"/>
      </rPr>
      <t xml:space="preserve"> the Janus kinase </t>
    </r>
    <r>
      <rPr>
        <b/>
        <sz val="11"/>
        <color theme="1"/>
        <rFont val="Calibri"/>
        <family val="2"/>
        <scheme val="minor"/>
      </rPr>
      <t>TYK2</t>
    </r>
    <r>
      <rPr>
        <sz val="11"/>
        <color theme="1"/>
        <rFont val="Calibri"/>
        <family val="2"/>
        <scheme val="minor"/>
      </rPr>
      <t xml:space="preserve"> is phosphorylated downstream of </t>
    </r>
    <r>
      <rPr>
        <b/>
        <sz val="11"/>
        <color theme="1"/>
        <rFont val="Calibri"/>
        <family val="2"/>
        <scheme val="minor"/>
      </rPr>
      <t>FGF-2</t>
    </r>
    <r>
      <rPr>
        <sz val="11"/>
        <color theme="1"/>
        <rFont val="Calibri"/>
        <family val="2"/>
        <scheme val="minor"/>
      </rPr>
      <t xml:space="preserve"> signaling and required for the full phosphorylation of extracellular signal-regulated kinase (ERK) 1/2. </t>
    </r>
    <r>
      <rPr>
        <b/>
        <sz val="11"/>
        <color theme="1"/>
        <rFont val="Calibri"/>
        <family val="2"/>
        <scheme val="minor"/>
      </rPr>
      <t>2) TYK2</t>
    </r>
    <r>
      <rPr>
        <sz val="11"/>
        <color theme="1"/>
        <rFont val="Calibri"/>
        <family val="2"/>
        <scheme val="minor"/>
      </rPr>
      <t xml:space="preserve"> is necessary for the induction of key anti-apoptotic proteins, such as BCL-2 and myeloid cell leukemia sequence (MCL) 1, and for the promotion of cell survival upon </t>
    </r>
    <r>
      <rPr>
        <b/>
        <sz val="11"/>
        <color theme="1"/>
        <rFont val="Calibri"/>
        <family val="2"/>
        <scheme val="minor"/>
      </rPr>
      <t>FGF-2</t>
    </r>
    <r>
      <rPr>
        <sz val="11"/>
        <color theme="1"/>
        <rFont val="Calibri"/>
        <family val="2"/>
        <scheme val="minor"/>
      </rPr>
      <t xml:space="preserve">. </t>
    </r>
    <r>
      <rPr>
        <b/>
        <sz val="11"/>
        <color theme="1"/>
        <rFont val="Calibri"/>
        <family val="2"/>
        <scheme val="minor"/>
      </rPr>
      <t>3)</t>
    </r>
    <r>
      <rPr>
        <sz val="11"/>
        <color theme="1"/>
        <rFont val="Calibri"/>
        <family val="2"/>
        <scheme val="minor"/>
      </rPr>
      <t xml:space="preserve"> Silencing JAK1, JAK2 or TYK2 using RNA interference (RNAi) inhibits FGF2-mediated proliferation and results in the sensitization of tumor cells to chemotherapy-induced killing. </t>
    </r>
    <r>
      <rPr>
        <b/>
        <sz val="11"/>
        <color theme="1"/>
        <rFont val="Calibri"/>
        <family val="2"/>
        <scheme val="minor"/>
      </rPr>
      <t xml:space="preserve">4) </t>
    </r>
    <r>
      <rPr>
        <sz val="11"/>
        <color theme="1"/>
        <rFont val="Calibri"/>
        <family val="2"/>
        <scheme val="minor"/>
      </rPr>
      <t xml:space="preserve">These effects are independent of activation of signal transducer and activator of transcription (STAT) 1, STAT3 and STAT5A/B, the normal targets of JAK signaling. Instead, </t>
    </r>
    <r>
      <rPr>
        <b/>
        <sz val="11"/>
        <color theme="1"/>
        <rFont val="Calibri"/>
        <family val="2"/>
        <scheme val="minor"/>
      </rPr>
      <t>5) TYK2</t>
    </r>
    <r>
      <rPr>
        <sz val="11"/>
        <color theme="1"/>
        <rFont val="Calibri"/>
        <family val="2"/>
        <scheme val="minor"/>
      </rPr>
      <t xml:space="preserve"> associates with the other kinases previously implicated in </t>
    </r>
    <r>
      <rPr>
        <b/>
        <sz val="11"/>
        <color theme="1"/>
        <rFont val="Calibri"/>
        <family val="2"/>
        <scheme val="minor"/>
      </rPr>
      <t>FGF-2</t>
    </r>
    <r>
      <rPr>
        <sz val="11"/>
        <color theme="1"/>
        <rFont val="Calibri"/>
        <family val="2"/>
        <scheme val="minor"/>
      </rPr>
      <t>-mediated drug resistance. </t>
    </r>
  </si>
  <si>
    <r>
      <rPr>
        <b/>
        <sz val="11"/>
        <color theme="1"/>
        <rFont val="Calibri"/>
        <family val="2"/>
        <scheme val="minor"/>
      </rPr>
      <t xml:space="preserve">1) </t>
    </r>
    <r>
      <rPr>
        <sz val="11"/>
        <color theme="1"/>
        <rFont val="Calibri"/>
        <family val="2"/>
        <scheme val="minor"/>
      </rPr>
      <t xml:space="preserve">In a loss-of-function kinome-wide RNA interference screen to identify genes that cause </t>
    </r>
    <r>
      <rPr>
        <b/>
        <sz val="11"/>
        <color theme="1"/>
        <rFont val="Calibri"/>
        <family val="2"/>
        <scheme val="minor"/>
      </rPr>
      <t>cisplatin</t>
    </r>
    <r>
      <rPr>
        <sz val="11"/>
        <color theme="1"/>
        <rFont val="Calibri"/>
        <family val="2"/>
        <scheme val="minor"/>
      </rPr>
      <t xml:space="preserve"> sensitization, </t>
    </r>
    <r>
      <rPr>
        <b/>
        <sz val="11"/>
        <color theme="1"/>
        <rFont val="Calibri"/>
        <family val="2"/>
        <scheme val="minor"/>
      </rPr>
      <t>FGFR2</t>
    </r>
    <r>
      <rPr>
        <sz val="11"/>
        <color theme="1"/>
        <rFont val="Calibri"/>
        <family val="2"/>
        <scheme val="minor"/>
      </rPr>
      <t xml:space="preserve"> as an important determinant of cisplatin resistance. </t>
    </r>
    <r>
      <rPr>
        <b/>
        <sz val="11"/>
        <color theme="1"/>
        <rFont val="Calibri"/>
        <family val="2"/>
        <scheme val="minor"/>
      </rPr>
      <t>2)</t>
    </r>
    <r>
      <rPr>
        <sz val="11"/>
        <color theme="1"/>
        <rFont val="Calibri"/>
        <family val="2"/>
        <scheme val="minor"/>
      </rPr>
      <t xml:space="preserve"> Pharmacological inhibition of </t>
    </r>
    <r>
      <rPr>
        <b/>
        <sz val="11"/>
        <color theme="1"/>
        <rFont val="Calibri"/>
        <family val="2"/>
        <scheme val="minor"/>
      </rPr>
      <t>FGFR2</t>
    </r>
    <r>
      <rPr>
        <sz val="11"/>
        <color theme="1"/>
        <rFont val="Calibri"/>
        <family val="2"/>
        <scheme val="minor"/>
      </rPr>
      <t xml:space="preserve"> confirmed the importance of this kinase in </t>
    </r>
    <r>
      <rPr>
        <b/>
        <sz val="11"/>
        <color theme="1"/>
        <rFont val="Calibri"/>
        <family val="2"/>
        <scheme val="minor"/>
      </rPr>
      <t>NB</t>
    </r>
    <r>
      <rPr>
        <sz val="11"/>
        <color theme="1"/>
        <rFont val="Calibri"/>
        <family val="2"/>
        <scheme val="minor"/>
      </rPr>
      <t xml:space="preserve"> chemoresistance. Silencing of FGFR2 sensitized NB cells to cisplatin-induced apoptosis, which was regulated by the downregulation of the anti-apoptotic proteins</t>
    </r>
    <r>
      <rPr>
        <b/>
        <sz val="11"/>
        <color theme="1"/>
        <rFont val="Calibri"/>
        <family val="2"/>
        <scheme val="minor"/>
      </rPr>
      <t xml:space="preserve"> BCL2</t>
    </r>
    <r>
      <rPr>
        <sz val="11"/>
        <color theme="1"/>
        <rFont val="Calibri"/>
        <family val="2"/>
        <scheme val="minor"/>
      </rPr>
      <t xml:space="preserve"> and </t>
    </r>
    <r>
      <rPr>
        <b/>
        <sz val="11"/>
        <color theme="1"/>
        <rFont val="Calibri"/>
        <family val="2"/>
        <scheme val="minor"/>
      </rPr>
      <t>BCLXL</t>
    </r>
    <r>
      <rPr>
        <sz val="11"/>
        <color theme="1"/>
        <rFont val="Calibri"/>
        <family val="2"/>
        <scheme val="minor"/>
      </rPr>
      <t xml:space="preserve">. </t>
    </r>
    <r>
      <rPr>
        <b/>
        <sz val="11"/>
        <color theme="1"/>
        <rFont val="Calibri"/>
        <family val="2"/>
        <scheme val="minor"/>
      </rPr>
      <t>3) FGFR2</t>
    </r>
    <r>
      <rPr>
        <sz val="11"/>
        <color theme="1"/>
        <rFont val="Calibri"/>
        <family val="2"/>
        <scheme val="minor"/>
      </rPr>
      <t xml:space="preserve"> was shown to activate</t>
    </r>
    <r>
      <rPr>
        <b/>
        <sz val="11"/>
        <color theme="1"/>
        <rFont val="Calibri"/>
        <family val="2"/>
        <scheme val="minor"/>
      </rPr>
      <t xml:space="preserve"> protein</t>
    </r>
    <r>
      <rPr>
        <sz val="11"/>
        <color theme="1"/>
        <rFont val="Calibri"/>
        <family val="2"/>
        <scheme val="minor"/>
      </rPr>
      <t xml:space="preserve"> </t>
    </r>
    <r>
      <rPr>
        <b/>
        <sz val="11"/>
        <color theme="1"/>
        <rFont val="Calibri"/>
        <family val="2"/>
        <scheme val="minor"/>
      </rPr>
      <t>kinase C-δ</t>
    </r>
    <r>
      <rPr>
        <sz val="11"/>
        <color theme="1"/>
        <rFont val="Calibri"/>
        <family val="2"/>
        <scheme val="minor"/>
      </rPr>
      <t xml:space="preserve"> to induce </t>
    </r>
    <r>
      <rPr>
        <b/>
        <sz val="11"/>
        <color theme="1"/>
        <rFont val="Calibri"/>
        <family val="2"/>
        <scheme val="minor"/>
      </rPr>
      <t>BCL2</t>
    </r>
    <r>
      <rPr>
        <sz val="11"/>
        <color theme="1"/>
        <rFont val="Calibri"/>
        <family val="2"/>
        <scheme val="minor"/>
      </rPr>
      <t xml:space="preserve"> expression.</t>
    </r>
    <r>
      <rPr>
        <b/>
        <sz val="11"/>
        <color theme="1"/>
        <rFont val="Calibri"/>
        <family val="2"/>
        <scheme val="minor"/>
      </rPr>
      <t xml:space="preserve"> 3)</t>
    </r>
    <r>
      <rPr>
        <sz val="11"/>
        <color theme="1"/>
        <rFont val="Calibri"/>
        <family val="2"/>
        <scheme val="minor"/>
      </rPr>
      <t xml:space="preserve"> FGFR2, as well as the ligand fibroblast growth factor-2, were consistently expressed in primary NB and NB cell lines, indicating the presence of an autocrine loop. </t>
    </r>
    <r>
      <rPr>
        <b/>
        <sz val="11"/>
        <color theme="1"/>
        <rFont val="Calibri"/>
        <family val="2"/>
        <scheme val="minor"/>
      </rPr>
      <t>4)</t>
    </r>
    <r>
      <rPr>
        <sz val="11"/>
        <color theme="1"/>
        <rFont val="Calibri"/>
        <family val="2"/>
        <scheme val="minor"/>
      </rPr>
      <t xml:space="preserve"> FGFR2 correlates with </t>
    </r>
    <r>
      <rPr>
        <b/>
        <sz val="11"/>
        <color theme="1"/>
        <rFont val="Calibri"/>
        <family val="2"/>
        <scheme val="minor"/>
      </rPr>
      <t>MYCN</t>
    </r>
    <r>
      <rPr>
        <sz val="11"/>
        <color theme="1"/>
        <rFont val="Calibri"/>
        <family val="2"/>
        <scheme val="minor"/>
      </rPr>
      <t xml:space="preserve"> amplification and with advanced stage disease, demonstrating the clinical relevance of FGFR2 in NB. </t>
    </r>
  </si>
  <si>
    <r>
      <rPr>
        <b/>
        <sz val="11"/>
        <color theme="1"/>
        <rFont val="Calibri"/>
        <family val="2"/>
        <scheme val="minor"/>
      </rPr>
      <t>1) VEGFR3</t>
    </r>
    <r>
      <rPr>
        <sz val="11"/>
        <color theme="1"/>
        <rFont val="Calibri"/>
        <family val="2"/>
        <scheme val="minor"/>
      </rPr>
      <t xml:space="preserve"> inhibition in </t>
    </r>
    <r>
      <rPr>
        <b/>
        <sz val="11"/>
        <color theme="1"/>
        <rFont val="Calibri"/>
        <family val="2"/>
        <scheme val="minor"/>
      </rPr>
      <t>ovarian</t>
    </r>
    <r>
      <rPr>
        <sz val="11"/>
        <color theme="1"/>
        <rFont val="Calibri"/>
        <family val="2"/>
        <scheme val="minor"/>
      </rPr>
      <t xml:space="preserve"> cancer cells is associated with decreased levels of both </t>
    </r>
    <r>
      <rPr>
        <b/>
        <sz val="11"/>
        <color theme="1"/>
        <rFont val="Calibri"/>
        <family val="2"/>
        <scheme val="minor"/>
      </rPr>
      <t>BRCA1</t>
    </r>
    <r>
      <rPr>
        <sz val="11"/>
        <color theme="1"/>
        <rFont val="Calibri"/>
        <family val="2"/>
        <scheme val="minor"/>
      </rPr>
      <t xml:space="preserve"> and </t>
    </r>
    <r>
      <rPr>
        <b/>
        <sz val="11"/>
        <color theme="1"/>
        <rFont val="Calibri"/>
        <family val="2"/>
        <scheme val="minor"/>
      </rPr>
      <t>BRCA2</t>
    </r>
    <r>
      <rPr>
        <sz val="11"/>
        <color theme="1"/>
        <rFont val="Calibri"/>
        <family val="2"/>
        <scheme val="minor"/>
      </rPr>
      <t>.</t>
    </r>
    <r>
      <rPr>
        <b/>
        <sz val="11"/>
        <color theme="1"/>
        <rFont val="Calibri"/>
        <family val="2"/>
        <scheme val="minor"/>
      </rPr>
      <t> 2) VEGFR3</t>
    </r>
    <r>
      <rPr>
        <sz val="11"/>
        <color theme="1"/>
        <rFont val="Calibri"/>
        <family val="2"/>
        <scheme val="minor"/>
      </rPr>
      <t xml:space="preserve"> inhibition–mediated down-regulation of BRCA gene expression reversed chemotherapy resistance and restored chemosensitivity in resistant cell lines in which a </t>
    </r>
    <r>
      <rPr>
        <b/>
        <sz val="11"/>
        <color theme="1"/>
        <rFont val="Calibri"/>
        <family val="2"/>
        <scheme val="minor"/>
      </rPr>
      <t>BRCA2</t>
    </r>
    <r>
      <rPr>
        <sz val="11"/>
        <color theme="1"/>
        <rFont val="Calibri"/>
        <family val="2"/>
        <scheme val="minor"/>
      </rPr>
      <t xml:space="preserve"> mutation had reverted to wild type. (ovarian cancer ascites)</t>
    </r>
    <r>
      <rPr>
        <b/>
        <sz val="11"/>
        <color theme="1"/>
        <rFont val="Calibri"/>
        <family val="2"/>
        <scheme val="minor"/>
      </rPr>
      <t xml:space="preserve"> 3) </t>
    </r>
    <r>
      <rPr>
        <sz val="11"/>
        <color theme="1"/>
        <rFont val="Calibri"/>
        <family val="2"/>
        <scheme val="minor"/>
      </rPr>
      <t xml:space="preserve">The protein and mRNA expression levels of </t>
    </r>
    <r>
      <rPr>
        <b/>
        <sz val="11"/>
        <color theme="1"/>
        <rFont val="Calibri"/>
        <family val="2"/>
        <scheme val="minor"/>
      </rPr>
      <t>survivin</t>
    </r>
    <r>
      <rPr>
        <sz val="11"/>
        <color theme="1"/>
        <rFont val="Calibri"/>
        <family val="2"/>
        <scheme val="minor"/>
      </rPr>
      <t xml:space="preserve">, </t>
    </r>
    <r>
      <rPr>
        <b/>
        <sz val="11"/>
        <color theme="1"/>
        <rFont val="Calibri"/>
        <family val="2"/>
        <scheme val="minor"/>
      </rPr>
      <t>MMP-2</t>
    </r>
    <r>
      <rPr>
        <sz val="11"/>
        <color theme="1"/>
        <rFont val="Calibri"/>
        <family val="2"/>
        <scheme val="minor"/>
      </rPr>
      <t xml:space="preserve">, </t>
    </r>
    <r>
      <rPr>
        <b/>
        <sz val="11"/>
        <color theme="1"/>
        <rFont val="Calibri"/>
        <family val="2"/>
        <scheme val="minor"/>
      </rPr>
      <t>VEGF-C</t>
    </r>
    <r>
      <rPr>
        <sz val="11"/>
        <color theme="1"/>
        <rFont val="Calibri"/>
        <family val="2"/>
        <scheme val="minor"/>
      </rPr>
      <t xml:space="preserve">, and </t>
    </r>
    <r>
      <rPr>
        <b/>
        <sz val="11"/>
        <color theme="1"/>
        <rFont val="Calibri"/>
        <family val="2"/>
        <scheme val="minor"/>
      </rPr>
      <t>VEGFR-3</t>
    </r>
    <r>
      <rPr>
        <sz val="11"/>
        <color theme="1"/>
        <rFont val="Calibri"/>
        <family val="2"/>
        <scheme val="minor"/>
      </rPr>
      <t xml:space="preserve"> in the cisplatin group and the combined treatment group were lower than that in the control group (P &lt; 0.05).</t>
    </r>
    <r>
      <rPr>
        <b/>
        <sz val="11"/>
        <color theme="1"/>
        <rFont val="Calibri"/>
        <family val="2"/>
        <scheme val="minor"/>
      </rPr>
      <t xml:space="preserve"> 4)</t>
    </r>
    <r>
      <rPr>
        <sz val="11"/>
        <color theme="1"/>
        <rFont val="Calibri"/>
        <family val="2"/>
        <scheme val="minor"/>
      </rPr>
      <t xml:space="preserve"> Patients who responded to paclitaxel-ifosfamide-</t>
    </r>
    <r>
      <rPr>
        <b/>
        <sz val="11"/>
        <color theme="1"/>
        <rFont val="Calibri"/>
        <family val="2"/>
        <scheme val="minor"/>
      </rPr>
      <t>cisplatin</t>
    </r>
    <r>
      <rPr>
        <sz val="11"/>
        <color theme="1"/>
        <rFont val="Calibri"/>
        <family val="2"/>
        <scheme val="minor"/>
      </rPr>
      <t xml:space="preserve"> chemotherapy expressed significantly higher VEGFR-1 and VEGFR-3 mean values compared with non-responders (P&lt;0.001). </t>
    </r>
  </si>
  <si>
    <r>
      <rPr>
        <b/>
        <sz val="11"/>
        <color theme="1"/>
        <rFont val="Calibri"/>
        <family val="2"/>
        <scheme val="minor"/>
      </rPr>
      <t xml:space="preserve">1) </t>
    </r>
    <r>
      <rPr>
        <sz val="11"/>
        <color theme="1"/>
        <rFont val="Calibri"/>
        <family val="2"/>
        <scheme val="minor"/>
      </rPr>
      <t xml:space="preserve">The differentially express level of </t>
    </r>
    <r>
      <rPr>
        <b/>
        <sz val="11"/>
        <color theme="1"/>
        <rFont val="Calibri"/>
        <family val="2"/>
        <scheme val="minor"/>
      </rPr>
      <t>FN1</t>
    </r>
    <r>
      <rPr>
        <sz val="11"/>
        <color theme="1"/>
        <rFont val="Calibri"/>
        <family val="2"/>
        <scheme val="minor"/>
      </rPr>
      <t xml:space="preserve">, SERPINA1 and ORM1 between </t>
    </r>
    <r>
      <rPr>
        <b/>
        <sz val="11"/>
        <color theme="1"/>
        <rFont val="Calibri"/>
        <family val="2"/>
        <scheme val="minor"/>
      </rPr>
      <t>platinum</t>
    </r>
    <r>
      <rPr>
        <sz val="11"/>
        <color theme="1"/>
        <rFont val="Calibri"/>
        <family val="2"/>
        <scheme val="minor"/>
      </rPr>
      <t xml:space="preserve">-sensitive (PTS) and platinum-resistant (PTR) </t>
    </r>
    <r>
      <rPr>
        <b/>
        <sz val="11"/>
        <color theme="1"/>
        <rFont val="Calibri"/>
        <family val="2"/>
        <scheme val="minor"/>
      </rPr>
      <t xml:space="preserve">ovarian </t>
    </r>
    <r>
      <rPr>
        <sz val="11"/>
        <color theme="1"/>
        <rFont val="Calibri"/>
        <family val="2"/>
        <scheme val="minor"/>
      </rPr>
      <t>cancer patient play a essential role in measuring subtle changes in response to</t>
    </r>
    <r>
      <rPr>
        <b/>
        <sz val="11"/>
        <color theme="1"/>
        <rFont val="Calibri"/>
        <family val="2"/>
        <scheme val="minor"/>
      </rPr>
      <t xml:space="preserve"> platinum</t>
    </r>
    <r>
      <rPr>
        <sz val="11"/>
        <color theme="1"/>
        <rFont val="Calibri"/>
        <family val="2"/>
        <scheme val="minor"/>
      </rPr>
      <t xml:space="preserve">-based chemotherapy and may be involved in biological processes of </t>
    </r>
    <r>
      <rPr>
        <b/>
        <sz val="11"/>
        <color theme="1"/>
        <rFont val="Calibri"/>
        <family val="2"/>
        <scheme val="minor"/>
      </rPr>
      <t>platinum</t>
    </r>
    <r>
      <rPr>
        <sz val="11"/>
        <color theme="1"/>
        <rFont val="Calibri"/>
        <family val="2"/>
        <scheme val="minor"/>
      </rPr>
      <t xml:space="preserve"> resistance. </t>
    </r>
    <r>
      <rPr>
        <b/>
        <sz val="11"/>
        <color theme="1"/>
        <rFont val="Calibri"/>
        <family val="2"/>
        <scheme val="minor"/>
      </rPr>
      <t xml:space="preserve">2) </t>
    </r>
    <r>
      <rPr>
        <sz val="11"/>
        <color theme="1"/>
        <rFont val="Calibri"/>
        <family val="2"/>
        <scheme val="minor"/>
      </rPr>
      <t xml:space="preserve">Upregulation of </t>
    </r>
    <r>
      <rPr>
        <b/>
        <sz val="11"/>
        <color theme="1"/>
        <rFont val="Calibri"/>
        <family val="2"/>
        <scheme val="minor"/>
      </rPr>
      <t>FN1</t>
    </r>
    <r>
      <rPr>
        <sz val="11"/>
        <color theme="1"/>
        <rFont val="Calibri"/>
        <family val="2"/>
        <scheme val="minor"/>
      </rPr>
      <t xml:space="preserve"> on </t>
    </r>
    <r>
      <rPr>
        <b/>
        <sz val="11"/>
        <color theme="1"/>
        <rFont val="Calibri"/>
        <family val="2"/>
        <scheme val="minor"/>
      </rPr>
      <t>ovarian</t>
    </r>
    <r>
      <rPr>
        <sz val="11"/>
        <color theme="1"/>
        <rFont val="Calibri"/>
        <family val="2"/>
        <scheme val="minor"/>
      </rPr>
      <t xml:space="preserve"> cancer‐associated mesothelial cells may induce </t>
    </r>
    <r>
      <rPr>
        <b/>
        <sz val="11"/>
        <color theme="1"/>
        <rFont val="Calibri"/>
        <family val="2"/>
        <scheme val="minor"/>
      </rPr>
      <t>platinum</t>
    </r>
    <r>
      <rPr>
        <sz val="11"/>
        <color theme="1"/>
        <rFont val="Calibri"/>
        <family val="2"/>
        <scheme val="minor"/>
      </rPr>
      <t xml:space="preserve">‐resistance via activating Akt signaling in </t>
    </r>
    <r>
      <rPr>
        <b/>
        <sz val="11"/>
        <color theme="1"/>
        <rFont val="Calibri"/>
        <family val="2"/>
        <scheme val="minor"/>
      </rPr>
      <t>ovarian</t>
    </r>
    <r>
      <rPr>
        <sz val="11"/>
        <color theme="1"/>
        <rFont val="Calibri"/>
        <family val="2"/>
        <scheme val="minor"/>
      </rPr>
      <t xml:space="preserve"> cancer cells. </t>
    </r>
    <r>
      <rPr>
        <b/>
        <sz val="11"/>
        <color theme="1"/>
        <rFont val="Calibri"/>
        <family val="2"/>
        <scheme val="minor"/>
      </rPr>
      <t xml:space="preserve">3) Dexamethasone </t>
    </r>
    <r>
      <rPr>
        <sz val="11"/>
        <color theme="1"/>
        <rFont val="Calibri"/>
        <family val="2"/>
        <scheme val="minor"/>
      </rPr>
      <t xml:space="preserve">significantly increased the levels of intracellular and secreted </t>
    </r>
    <r>
      <rPr>
        <b/>
        <sz val="11"/>
        <color theme="1"/>
        <rFont val="Calibri"/>
        <family val="2"/>
        <scheme val="minor"/>
      </rPr>
      <t>FN</t>
    </r>
    <r>
      <rPr>
        <sz val="11"/>
        <color theme="1"/>
        <rFont val="Calibri"/>
        <family val="2"/>
        <scheme val="minor"/>
      </rPr>
      <t xml:space="preserve"> in </t>
    </r>
    <r>
      <rPr>
        <b/>
        <sz val="11"/>
        <color theme="1"/>
        <rFont val="Calibri"/>
        <family val="2"/>
        <scheme val="minor"/>
      </rPr>
      <t>melanoma</t>
    </r>
    <r>
      <rPr>
        <sz val="11"/>
        <color theme="1"/>
        <rFont val="Calibri"/>
        <family val="2"/>
        <scheme val="minor"/>
      </rPr>
      <t xml:space="preserve"> cell lines by increasing glucocorticoid receptor‑mediated </t>
    </r>
    <r>
      <rPr>
        <b/>
        <sz val="11"/>
        <color theme="1"/>
        <rFont val="Calibri"/>
        <family val="2"/>
        <scheme val="minor"/>
      </rPr>
      <t>FN</t>
    </r>
    <r>
      <rPr>
        <sz val="11"/>
        <color theme="1"/>
        <rFont val="Calibri"/>
        <family val="2"/>
        <scheme val="minor"/>
      </rPr>
      <t xml:space="preserve"> protein stability. </t>
    </r>
    <r>
      <rPr>
        <b/>
        <sz val="11"/>
        <color theme="1"/>
        <rFont val="Calibri"/>
        <family val="2"/>
        <scheme val="minor"/>
      </rPr>
      <t xml:space="preserve">4) </t>
    </r>
    <r>
      <rPr>
        <sz val="11"/>
        <color theme="1"/>
        <rFont val="Calibri"/>
        <family val="2"/>
        <scheme val="minor"/>
      </rPr>
      <t xml:space="preserve">Extracellular FN significantly enhanced melanoma cell adhesion and survival in the presence of </t>
    </r>
    <r>
      <rPr>
        <b/>
        <sz val="11"/>
        <color theme="1"/>
        <rFont val="Calibri"/>
        <family val="2"/>
        <scheme val="minor"/>
      </rPr>
      <t>cisplatin</t>
    </r>
    <r>
      <rPr>
        <sz val="11"/>
        <color theme="1"/>
        <rFont val="Calibri"/>
        <family val="2"/>
        <scheme val="minor"/>
      </rPr>
      <t xml:space="preserve">, whereas partially blocking extracellular FN signaling with a CD44 antibody significantly reduced FN‑enhanced adhesion and survival. </t>
    </r>
    <r>
      <rPr>
        <b/>
        <sz val="11"/>
        <color theme="1"/>
        <rFont val="Calibri"/>
        <family val="2"/>
        <scheme val="minor"/>
      </rPr>
      <t>5) FN1</t>
    </r>
    <r>
      <rPr>
        <sz val="11"/>
        <color theme="1"/>
        <rFont val="Calibri"/>
        <family val="2"/>
        <scheme val="minor"/>
      </rPr>
      <t xml:space="preserve"> was more highly expressed in </t>
    </r>
    <r>
      <rPr>
        <b/>
        <sz val="11"/>
        <color theme="1"/>
        <rFont val="Calibri"/>
        <family val="2"/>
        <scheme val="minor"/>
      </rPr>
      <t>NSCLC</t>
    </r>
    <r>
      <rPr>
        <sz val="11"/>
        <color theme="1"/>
        <rFont val="Calibri"/>
        <family val="2"/>
        <scheme val="minor"/>
      </rPr>
      <t xml:space="preserve"> A549/DDP than in A549 cells, and significantly upregulated by cisplatin treatment in H1299 cells.</t>
    </r>
    <r>
      <rPr>
        <b/>
        <sz val="11"/>
        <color theme="1"/>
        <rFont val="Calibri"/>
        <family val="2"/>
        <scheme val="minor"/>
      </rPr>
      <t xml:space="preserve"> 6)</t>
    </r>
    <r>
      <rPr>
        <sz val="11"/>
        <color theme="1"/>
        <rFont val="Calibri"/>
        <family val="2"/>
        <scheme val="minor"/>
      </rPr>
      <t xml:space="preserve"> Knockdown of </t>
    </r>
    <r>
      <rPr>
        <b/>
        <sz val="11"/>
        <color theme="1"/>
        <rFont val="Calibri"/>
        <family val="2"/>
        <scheme val="minor"/>
      </rPr>
      <t xml:space="preserve">FN1 </t>
    </r>
    <r>
      <rPr>
        <sz val="11"/>
        <color theme="1"/>
        <rFont val="Calibri"/>
        <family val="2"/>
        <scheme val="minor"/>
      </rPr>
      <t xml:space="preserve">reduced the IC50 value of </t>
    </r>
    <r>
      <rPr>
        <b/>
        <sz val="11"/>
        <color theme="1"/>
        <rFont val="Calibri"/>
        <family val="2"/>
        <scheme val="minor"/>
      </rPr>
      <t>cisplatin</t>
    </r>
    <r>
      <rPr>
        <sz val="11"/>
        <color theme="1"/>
        <rFont val="Calibri"/>
        <family val="2"/>
        <scheme val="minor"/>
      </rPr>
      <t xml:space="preserve">, inhibited cell migration and promoted apoptosis. </t>
    </r>
    <r>
      <rPr>
        <b/>
        <sz val="11"/>
        <color theme="1"/>
        <rFont val="Calibri"/>
        <family val="2"/>
        <scheme val="minor"/>
      </rPr>
      <t>7) FN1</t>
    </r>
    <r>
      <rPr>
        <sz val="11"/>
        <color theme="1"/>
        <rFont val="Calibri"/>
        <family val="2"/>
        <scheme val="minor"/>
      </rPr>
      <t xml:space="preserve"> and </t>
    </r>
    <r>
      <rPr>
        <b/>
        <sz val="11"/>
        <color theme="1"/>
        <rFont val="Calibri"/>
        <family val="2"/>
        <scheme val="minor"/>
      </rPr>
      <t xml:space="preserve">integrin-β1 </t>
    </r>
    <r>
      <rPr>
        <sz val="11"/>
        <color theme="1"/>
        <rFont val="Calibri"/>
        <family val="2"/>
        <scheme val="minor"/>
      </rPr>
      <t xml:space="preserve">protein directly interacted with each other both in A549 and A549/DDP cells. </t>
    </r>
    <r>
      <rPr>
        <b/>
        <sz val="11"/>
        <color theme="1"/>
        <rFont val="Calibri"/>
        <family val="2"/>
        <scheme val="minor"/>
      </rPr>
      <t>8)</t>
    </r>
    <r>
      <rPr>
        <sz val="11"/>
        <color theme="1"/>
        <rFont val="Calibri"/>
        <family val="2"/>
        <scheme val="minor"/>
      </rPr>
      <t xml:space="preserve"> </t>
    </r>
    <r>
      <rPr>
        <b/>
        <sz val="11"/>
        <color theme="1"/>
        <rFont val="Calibri"/>
        <family val="2"/>
        <scheme val="minor"/>
      </rPr>
      <t>FN1</t>
    </r>
    <r>
      <rPr>
        <sz val="11"/>
        <color theme="1"/>
        <rFont val="Calibri"/>
        <family val="2"/>
        <scheme val="minor"/>
      </rPr>
      <t xml:space="preserve"> silencing suppressed the Wnt/β-catenin signaling pathway, and this effect was dampened by integrin-β1-blocking antibody. </t>
    </r>
  </si>
  <si>
    <r>
      <rPr>
        <b/>
        <sz val="11"/>
        <color theme="1"/>
        <rFont val="Calibri"/>
        <family val="2"/>
        <scheme val="minor"/>
      </rPr>
      <t>1) FOLR1</t>
    </r>
    <r>
      <rPr>
        <sz val="11"/>
        <color theme="1"/>
        <rFont val="Calibri"/>
        <family val="2"/>
        <scheme val="minor"/>
      </rPr>
      <t xml:space="preserve"> protein expression was lowest in normal </t>
    </r>
    <r>
      <rPr>
        <b/>
        <sz val="11"/>
        <color theme="1"/>
        <rFont val="Calibri"/>
        <family val="2"/>
        <scheme val="minor"/>
      </rPr>
      <t>ovarian</t>
    </r>
    <r>
      <rPr>
        <sz val="11"/>
        <color theme="1"/>
        <rFont val="Calibri"/>
        <family val="2"/>
        <scheme val="minor"/>
      </rPr>
      <t xml:space="preserve"> tissue, higher in benign ovarian tumors, and highest in malignant tumors. </t>
    </r>
    <r>
      <rPr>
        <b/>
        <sz val="11"/>
        <color theme="1"/>
        <rFont val="Calibri"/>
        <family val="2"/>
        <scheme val="minor"/>
      </rPr>
      <t>2)</t>
    </r>
    <r>
      <rPr>
        <sz val="11"/>
        <color theme="1"/>
        <rFont val="Calibri"/>
        <family val="2"/>
        <scheme val="minor"/>
      </rPr>
      <t xml:space="preserve"> </t>
    </r>
    <r>
      <rPr>
        <b/>
        <sz val="11"/>
        <color theme="1"/>
        <rFont val="Calibri"/>
        <family val="2"/>
        <scheme val="minor"/>
      </rPr>
      <t>FOLR1</t>
    </r>
    <r>
      <rPr>
        <sz val="11"/>
        <color theme="1"/>
        <rFont val="Calibri"/>
        <family val="2"/>
        <scheme val="minor"/>
      </rPr>
      <t xml:space="preserve"> expression was decreased in</t>
    </r>
    <r>
      <rPr>
        <b/>
        <sz val="11"/>
        <color theme="1"/>
        <rFont val="Calibri"/>
        <family val="2"/>
        <scheme val="minor"/>
      </rPr>
      <t xml:space="preserve"> platinum</t>
    </r>
    <r>
      <rPr>
        <sz val="11"/>
        <color theme="1"/>
        <rFont val="Calibri"/>
        <family val="2"/>
        <scheme val="minor"/>
      </rPr>
      <t xml:space="preserve"> drug-resistant ovarian tumors compared to sensitive tumors. Consistent with this, FOLR1 expression in tumors progressing (PR) following cisplatin treatment was lower than levels in tumors with complete response (CR). </t>
    </r>
    <r>
      <rPr>
        <b/>
        <sz val="11"/>
        <color theme="1"/>
        <rFont val="Calibri"/>
        <family val="2"/>
        <scheme val="minor"/>
      </rPr>
      <t xml:space="preserve">3) </t>
    </r>
    <r>
      <rPr>
        <sz val="11"/>
        <color theme="1"/>
        <rFont val="Calibri"/>
        <family val="2"/>
        <scheme val="minor"/>
      </rPr>
      <t xml:space="preserve">SKOV3 cells with FOLR1 overexpression were the most sensitive to </t>
    </r>
    <r>
      <rPr>
        <b/>
        <sz val="11"/>
        <color theme="1"/>
        <rFont val="Calibri"/>
        <family val="2"/>
        <scheme val="minor"/>
      </rPr>
      <t>cisplatin</t>
    </r>
    <r>
      <rPr>
        <sz val="11"/>
        <color theme="1"/>
        <rFont val="Calibri"/>
        <family val="2"/>
        <scheme val="minor"/>
      </rPr>
      <t xml:space="preserve"> treatment. </t>
    </r>
    <r>
      <rPr>
        <b/>
        <sz val="11"/>
        <color theme="1"/>
        <rFont val="Calibri"/>
        <family val="2"/>
        <scheme val="minor"/>
      </rPr>
      <t>4)</t>
    </r>
    <r>
      <rPr>
        <sz val="11"/>
        <color theme="1"/>
        <rFont val="Calibri"/>
        <family val="2"/>
        <scheme val="minor"/>
      </rPr>
      <t xml:space="preserve"> Cisplatin also induced S phase arrest in a concentration-dependent manner. Apoptosis and S phase proportion were significantly altered by FOLR1 overexpression. </t>
    </r>
  </si>
  <si>
    <r>
      <rPr>
        <b/>
        <sz val="11"/>
        <color theme="1"/>
        <rFont val="Calibri"/>
        <family val="2"/>
        <scheme val="minor"/>
      </rPr>
      <t xml:space="preserve">1) </t>
    </r>
    <r>
      <rPr>
        <sz val="11"/>
        <color theme="1"/>
        <rFont val="Calibri"/>
        <family val="2"/>
        <scheme val="minor"/>
      </rPr>
      <t xml:space="preserve">Our analysis identified 4 genes, HDAC4, STAT1, </t>
    </r>
    <r>
      <rPr>
        <b/>
        <sz val="11"/>
        <color theme="1"/>
        <rFont val="Calibri"/>
        <family val="2"/>
        <scheme val="minor"/>
      </rPr>
      <t>FOLR2</t>
    </r>
    <r>
      <rPr>
        <sz val="11"/>
        <color theme="1"/>
        <rFont val="Calibri"/>
        <family val="2"/>
        <scheme val="minor"/>
      </rPr>
      <t>, and PIK3R1 as overexpressed in clinically resistant cells, each of which also significantly potentiated cisplatin response when knocked down by siRNA.</t>
    </r>
  </si>
  <si>
    <r>
      <rPr>
        <b/>
        <sz val="11"/>
        <color theme="1"/>
        <rFont val="Calibri"/>
        <family val="2"/>
        <scheme val="minor"/>
      </rPr>
      <t xml:space="preserve">1) </t>
    </r>
    <r>
      <rPr>
        <sz val="11"/>
        <color theme="1"/>
        <rFont val="Calibri"/>
        <family val="2"/>
        <scheme val="minor"/>
      </rPr>
      <t>A dominant negative that inhibits AP-1 DNA binding, named AdA-</t>
    </r>
    <r>
      <rPr>
        <b/>
        <sz val="11"/>
        <color theme="1"/>
        <rFont val="Calibri"/>
        <family val="2"/>
        <scheme val="minor"/>
      </rPr>
      <t>FOS:</t>
    </r>
    <r>
      <rPr>
        <sz val="11"/>
        <color theme="1"/>
        <rFont val="Calibri"/>
        <family val="2"/>
        <scheme val="minor"/>
      </rPr>
      <t xml:space="preserve"> Overexpressing AdA-FOS resulted in a significant decrease in cell viability of </t>
    </r>
    <r>
      <rPr>
        <b/>
        <sz val="11"/>
        <color theme="1"/>
        <rFont val="Calibri"/>
        <family val="2"/>
        <scheme val="minor"/>
      </rPr>
      <t>cisplatin</t>
    </r>
    <r>
      <rPr>
        <sz val="11"/>
        <color theme="1"/>
        <rFont val="Calibri"/>
        <family val="2"/>
        <scheme val="minor"/>
      </rPr>
      <t xml:space="preserve">-resistant </t>
    </r>
    <r>
      <rPr>
        <b/>
        <sz val="11"/>
        <color theme="1"/>
        <rFont val="Calibri"/>
        <family val="2"/>
        <scheme val="minor"/>
      </rPr>
      <t>ovarian</t>
    </r>
    <r>
      <rPr>
        <sz val="11"/>
        <color theme="1"/>
        <rFont val="Calibri"/>
        <family val="2"/>
        <scheme val="minor"/>
      </rPr>
      <t xml:space="preserve"> cancer KB85 and A2780/CP70 cells at drug doses normally not lethal to the cell.  </t>
    </r>
    <r>
      <rPr>
        <b/>
        <sz val="11"/>
        <color theme="1"/>
        <rFont val="Calibri"/>
        <family val="2"/>
        <scheme val="minor"/>
      </rPr>
      <t>2) T</t>
    </r>
    <r>
      <rPr>
        <sz val="11"/>
        <color theme="1"/>
        <rFont val="Calibri"/>
        <family val="2"/>
        <scheme val="minor"/>
      </rPr>
      <t xml:space="preserve">reatment with Cyclosporin A (CSA) sensitized </t>
    </r>
    <r>
      <rPr>
        <b/>
        <sz val="11"/>
        <color theme="1"/>
        <rFont val="Calibri"/>
        <family val="2"/>
        <scheme val="minor"/>
      </rPr>
      <t>ovarian</t>
    </r>
    <r>
      <rPr>
        <sz val="11"/>
        <color theme="1"/>
        <rFont val="Calibri"/>
        <family val="2"/>
        <scheme val="minor"/>
      </rPr>
      <t xml:space="preserve"> cancer A2780DDP cells to </t>
    </r>
    <r>
      <rPr>
        <b/>
        <sz val="11"/>
        <color theme="1"/>
        <rFont val="Calibri"/>
        <family val="2"/>
        <scheme val="minor"/>
      </rPr>
      <t>cisplatin</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CSA suppresses </t>
    </r>
    <r>
      <rPr>
        <b/>
        <sz val="11"/>
        <color theme="1"/>
        <rFont val="Calibri"/>
        <family val="2"/>
        <scheme val="minor"/>
      </rPr>
      <t>cisplatin</t>
    </r>
    <r>
      <rPr>
        <sz val="11"/>
        <color theme="1"/>
        <rFont val="Calibri"/>
        <family val="2"/>
        <scheme val="minor"/>
      </rPr>
      <t xml:space="preserve">-induced c-fos gene expression. </t>
    </r>
    <r>
      <rPr>
        <b/>
        <sz val="11"/>
        <color theme="1"/>
        <rFont val="Calibri"/>
        <family val="2"/>
        <scheme val="minor"/>
      </rPr>
      <t xml:space="preserve">4) </t>
    </r>
    <r>
      <rPr>
        <sz val="11"/>
        <color theme="1"/>
        <rFont val="Calibri"/>
        <family val="2"/>
        <scheme val="minor"/>
      </rPr>
      <t xml:space="preserve">Knock down of </t>
    </r>
    <r>
      <rPr>
        <b/>
        <sz val="11"/>
        <color theme="1"/>
        <rFont val="Calibri"/>
        <family val="2"/>
        <scheme val="minor"/>
      </rPr>
      <t>c-fos</t>
    </r>
    <r>
      <rPr>
        <sz val="11"/>
        <color theme="1"/>
        <rFont val="Calibri"/>
        <family val="2"/>
        <scheme val="minor"/>
      </rPr>
      <t xml:space="preserve"> with fos ribozyme resulted in decreased </t>
    </r>
    <r>
      <rPr>
        <b/>
        <sz val="11"/>
        <color theme="1"/>
        <rFont val="Calibri"/>
        <family val="2"/>
        <scheme val="minor"/>
      </rPr>
      <t>c-fos</t>
    </r>
    <r>
      <rPr>
        <sz val="11"/>
        <color theme="1"/>
        <rFont val="Calibri"/>
        <family val="2"/>
        <scheme val="minor"/>
      </rPr>
      <t xml:space="preserve"> gene expression, concomitant with reduced expression of thymidylate (dTMP) synthase, DNA polymerase b, topoisomerase I, and metallothionein as well as reduced </t>
    </r>
    <r>
      <rPr>
        <b/>
        <sz val="11"/>
        <color theme="1"/>
        <rFont val="Calibri"/>
        <family val="2"/>
        <scheme val="minor"/>
      </rPr>
      <t>cisplatin</t>
    </r>
    <r>
      <rPr>
        <sz val="11"/>
        <color theme="1"/>
        <rFont val="Calibri"/>
        <family val="2"/>
        <scheme val="minor"/>
      </rPr>
      <t xml:space="preserve"> reistance. </t>
    </r>
    <r>
      <rPr>
        <b/>
        <sz val="11"/>
        <color theme="1"/>
        <rFont val="Calibri"/>
        <family val="2"/>
        <scheme val="minor"/>
      </rPr>
      <t>5)</t>
    </r>
    <r>
      <rPr>
        <sz val="11"/>
        <color theme="1"/>
        <rFont val="Calibri"/>
        <family val="2"/>
        <scheme val="minor"/>
      </rPr>
      <t xml:space="preserve"> Of 101 patients, reduced c-Fos expression was independently associated with unfavourable progression-free survival as well as overall survival in </t>
    </r>
    <r>
      <rPr>
        <b/>
        <sz val="11"/>
        <color theme="1"/>
        <rFont val="Calibri"/>
        <family val="2"/>
        <scheme val="minor"/>
      </rPr>
      <t>platinum</t>
    </r>
    <r>
      <rPr>
        <sz val="11"/>
        <color theme="1"/>
        <rFont val="Calibri"/>
        <family val="2"/>
        <scheme val="minor"/>
      </rPr>
      <t xml:space="preserve">-based chemotherapy. </t>
    </r>
  </si>
  <si>
    <r>
      <rPr>
        <b/>
        <sz val="11"/>
        <color theme="1"/>
        <rFont val="Calibri"/>
        <family val="2"/>
        <scheme val="minor"/>
      </rPr>
      <t>1) FOSB</t>
    </r>
    <r>
      <rPr>
        <sz val="11"/>
        <color theme="1"/>
        <rFont val="Calibri"/>
        <family val="2"/>
        <scheme val="minor"/>
      </rPr>
      <t xml:space="preserve"> expression was significantly decreased in </t>
    </r>
    <r>
      <rPr>
        <b/>
        <sz val="11"/>
        <color theme="1"/>
        <rFont val="Calibri"/>
        <family val="2"/>
        <scheme val="minor"/>
      </rPr>
      <t>gastric</t>
    </r>
    <r>
      <rPr>
        <sz val="11"/>
        <color theme="1"/>
        <rFont val="Calibri"/>
        <family val="2"/>
        <scheme val="minor"/>
      </rPr>
      <t xml:space="preserve"> cancer cases. </t>
    </r>
    <r>
      <rPr>
        <b/>
        <sz val="11"/>
        <color theme="1"/>
        <rFont val="Calibri"/>
        <family val="2"/>
        <scheme val="minor"/>
      </rPr>
      <t>2)</t>
    </r>
    <r>
      <rPr>
        <sz val="11"/>
        <color theme="1"/>
        <rFont val="Calibri"/>
        <family val="2"/>
        <scheme val="minor"/>
      </rPr>
      <t xml:space="preserve"> Downregulated expression of FOSB was correlated with poor differentiation, lymph node metastasis and advanced TNM stage.</t>
    </r>
    <r>
      <rPr>
        <b/>
        <sz val="11"/>
        <color theme="1"/>
        <rFont val="Calibri"/>
        <family val="2"/>
        <scheme val="minor"/>
      </rPr>
      <t xml:space="preserve"> 3)</t>
    </r>
    <r>
      <rPr>
        <sz val="11"/>
        <color theme="1"/>
        <rFont val="Calibri"/>
        <family val="2"/>
        <scheme val="minor"/>
      </rPr>
      <t xml:space="preserve"> low FOSB expression exhibited a significant correlation with poor prognosis for GC patients. </t>
    </r>
    <r>
      <rPr>
        <b/>
        <sz val="11"/>
        <color theme="1"/>
        <rFont val="Calibri"/>
        <family val="2"/>
        <scheme val="minor"/>
      </rPr>
      <t>4)</t>
    </r>
    <r>
      <rPr>
        <sz val="11"/>
        <color theme="1"/>
        <rFont val="Calibri"/>
        <family val="2"/>
        <scheme val="minor"/>
      </rPr>
      <t xml:space="preserve"> Overexpression of FOSB significantly suppressed cell proliferation, clone formation and migration in GC cell lines. </t>
    </r>
    <r>
      <rPr>
        <b/>
        <sz val="11"/>
        <color theme="1"/>
        <rFont val="Calibri"/>
        <family val="2"/>
        <scheme val="minor"/>
      </rPr>
      <t xml:space="preserve">5) </t>
    </r>
    <r>
      <rPr>
        <sz val="11"/>
        <color theme="1"/>
        <rFont val="Calibri"/>
        <family val="2"/>
        <scheme val="minor"/>
      </rPr>
      <t>silencing of FOSB expression in GC cells promoted proliferation, clone formation and migration. </t>
    </r>
    <r>
      <rPr>
        <b/>
        <sz val="11"/>
        <color theme="1"/>
        <rFont val="Calibri"/>
        <family val="2"/>
        <scheme val="minor"/>
      </rPr>
      <t xml:space="preserve">6) </t>
    </r>
    <r>
      <rPr>
        <sz val="11"/>
        <color theme="1"/>
        <rFont val="Calibri"/>
        <family val="2"/>
        <scheme val="minor"/>
      </rPr>
      <t xml:space="preserve">The Fos gene family members, FOS and </t>
    </r>
    <r>
      <rPr>
        <b/>
        <sz val="11"/>
        <color theme="1"/>
        <rFont val="Calibri"/>
        <family val="2"/>
        <scheme val="minor"/>
      </rPr>
      <t>FOSB</t>
    </r>
    <r>
      <rPr>
        <sz val="11"/>
        <color theme="1"/>
        <rFont val="Calibri"/>
        <family val="2"/>
        <scheme val="minor"/>
      </rPr>
      <t xml:space="preserve">, showed up-regulation in two of three </t>
    </r>
    <r>
      <rPr>
        <b/>
        <sz val="11"/>
        <color theme="1"/>
        <rFont val="Calibri"/>
        <family val="2"/>
        <scheme val="minor"/>
      </rPr>
      <t>cisplatin</t>
    </r>
    <r>
      <rPr>
        <sz val="11"/>
        <color theme="1"/>
        <rFont val="Calibri"/>
        <family val="2"/>
        <scheme val="minor"/>
      </rPr>
      <t>-resistant gastric cancer cells</t>
    </r>
  </si>
  <si>
    <r>
      <rPr>
        <b/>
        <sz val="11"/>
        <color theme="1"/>
        <rFont val="Calibri"/>
        <family val="2"/>
        <scheme val="minor"/>
      </rPr>
      <t>1)</t>
    </r>
    <r>
      <rPr>
        <sz val="11"/>
        <color theme="1"/>
        <rFont val="Calibri"/>
        <family val="2"/>
        <scheme val="minor"/>
      </rPr>
      <t xml:space="preserve"> Microarray analysis revealed 51 genes whose mRNA increased by at least 2-fold in PE01</t>
    </r>
    <r>
      <rPr>
        <b/>
        <sz val="11"/>
        <color theme="1"/>
        <rFont val="Calibri"/>
        <family val="2"/>
        <scheme val="minor"/>
      </rPr>
      <t>CDDP</t>
    </r>
    <r>
      <rPr>
        <sz val="11"/>
        <color theme="1"/>
        <rFont val="Calibri"/>
        <family val="2"/>
        <scheme val="minor"/>
      </rPr>
      <t xml:space="preserve"> cells relative to PE01 (including </t>
    </r>
    <r>
      <rPr>
        <b/>
        <sz val="11"/>
        <color theme="1"/>
        <rFont val="Calibri"/>
        <family val="2"/>
        <scheme val="minor"/>
      </rPr>
      <t>FRA1</t>
    </r>
    <r>
      <rPr>
        <sz val="11"/>
        <color theme="1"/>
        <rFont val="Calibri"/>
        <family val="2"/>
        <scheme val="minor"/>
      </rPr>
      <t xml:space="preserve">, ETV4, MCM2, AXL, MT3, TRAP1, and FANCG), </t>
    </r>
    <r>
      <rPr>
        <b/>
        <sz val="11"/>
        <color theme="1"/>
        <rFont val="Calibri"/>
        <family val="2"/>
        <scheme val="minor"/>
      </rPr>
      <t>2)</t>
    </r>
    <r>
      <rPr>
        <sz val="11"/>
        <color theme="1"/>
        <rFont val="Calibri"/>
        <family val="2"/>
        <scheme val="minor"/>
      </rPr>
      <t xml:space="preserve"> siRNA inhibition of </t>
    </r>
    <r>
      <rPr>
        <b/>
        <sz val="11"/>
        <color theme="1"/>
        <rFont val="Calibri"/>
        <family val="2"/>
        <scheme val="minor"/>
      </rPr>
      <t>FRA1</t>
    </r>
    <r>
      <rPr>
        <sz val="11"/>
        <color theme="1"/>
        <rFont val="Calibri"/>
        <family val="2"/>
        <scheme val="minor"/>
      </rPr>
      <t xml:space="preserve">, TCP1, and MCM2 expression was associated with reduced growth and </t>
    </r>
    <r>
      <rPr>
        <b/>
        <sz val="11"/>
        <color theme="1"/>
        <rFont val="Calibri"/>
        <family val="2"/>
        <scheme val="minor"/>
      </rPr>
      <t>FRA1</t>
    </r>
    <r>
      <rPr>
        <sz val="11"/>
        <color theme="1"/>
        <rFont val="Calibri"/>
        <family val="2"/>
        <scheme val="minor"/>
      </rPr>
      <t xml:space="preserve"> inhibition with enhanced </t>
    </r>
    <r>
      <rPr>
        <b/>
        <sz val="11"/>
        <color theme="1"/>
        <rFont val="Calibri"/>
        <family val="2"/>
        <scheme val="minor"/>
      </rPr>
      <t>cisplatin</t>
    </r>
    <r>
      <rPr>
        <sz val="11"/>
        <color theme="1"/>
        <rFont val="Calibri"/>
        <family val="2"/>
        <scheme val="minor"/>
      </rPr>
      <t xml:space="preserve"> sensitivity. </t>
    </r>
    <r>
      <rPr>
        <b/>
        <sz val="11"/>
        <color theme="1"/>
        <rFont val="Calibri"/>
        <family val="2"/>
        <scheme val="minor"/>
      </rPr>
      <t>3)</t>
    </r>
    <r>
      <rPr>
        <sz val="11"/>
        <color theme="1"/>
        <rFont val="Calibri"/>
        <family val="2"/>
        <scheme val="minor"/>
      </rPr>
      <t xml:space="preserve"> High FOSL1 expression identifies mutant KRAS </t>
    </r>
    <r>
      <rPr>
        <b/>
        <sz val="11"/>
        <color theme="1"/>
        <rFont val="Calibri"/>
        <family val="2"/>
        <scheme val="minor"/>
      </rPr>
      <t>lung</t>
    </r>
    <r>
      <rPr>
        <sz val="11"/>
        <color theme="1"/>
        <rFont val="Calibri"/>
        <family val="2"/>
        <scheme val="minor"/>
      </rPr>
      <t xml:space="preserve"> and </t>
    </r>
    <r>
      <rPr>
        <b/>
        <sz val="11"/>
        <color theme="1"/>
        <rFont val="Calibri"/>
        <family val="2"/>
        <scheme val="minor"/>
      </rPr>
      <t>pancreatic</t>
    </r>
    <r>
      <rPr>
        <sz val="11"/>
        <color theme="1"/>
        <rFont val="Calibri"/>
        <family val="2"/>
        <scheme val="minor"/>
      </rPr>
      <t xml:space="preserve"> cancer patients with the worst survival outcome. Furthermore, FOSL1 genetic inhibition is detrimental to both KRAS-driven tumour types.</t>
    </r>
  </si>
  <si>
    <r>
      <rPr>
        <b/>
        <sz val="11"/>
        <color theme="1"/>
        <rFont val="Calibri"/>
        <family val="2"/>
        <scheme val="minor"/>
      </rPr>
      <t>1)</t>
    </r>
    <r>
      <rPr>
        <sz val="11"/>
        <color theme="1"/>
        <rFont val="Calibri"/>
        <family val="2"/>
        <scheme val="minor"/>
      </rPr>
      <t xml:space="preserve"> The relative expression level of </t>
    </r>
    <r>
      <rPr>
        <b/>
        <sz val="11"/>
        <color theme="1"/>
        <rFont val="Calibri"/>
        <family val="2"/>
        <scheme val="minor"/>
      </rPr>
      <t>FOXC2</t>
    </r>
    <r>
      <rPr>
        <sz val="11"/>
        <color theme="1"/>
        <rFont val="Calibri"/>
        <family val="2"/>
        <scheme val="minor"/>
      </rPr>
      <t xml:space="preserve"> mRNA in </t>
    </r>
    <r>
      <rPr>
        <b/>
        <sz val="11"/>
        <color theme="1"/>
        <rFont val="Calibri"/>
        <family val="2"/>
        <scheme val="minor"/>
      </rPr>
      <t>CDDP</t>
    </r>
    <r>
      <rPr>
        <sz val="11"/>
        <color theme="1"/>
        <rFont val="Calibri"/>
        <family val="2"/>
        <scheme val="minor"/>
      </rPr>
      <t xml:space="preserve">-resistant </t>
    </r>
    <r>
      <rPr>
        <b/>
        <sz val="11"/>
        <color theme="1"/>
        <rFont val="Calibri"/>
        <family val="2"/>
        <scheme val="minor"/>
      </rPr>
      <t>ovarian</t>
    </r>
    <r>
      <rPr>
        <sz val="11"/>
        <color theme="1"/>
        <rFont val="Calibri"/>
        <family val="2"/>
        <scheme val="minor"/>
      </rPr>
      <t xml:space="preserve"> cancer tissues was higher than that in CDDP-sensitive tissues. </t>
    </r>
    <r>
      <rPr>
        <b/>
        <sz val="11"/>
        <color theme="1"/>
        <rFont val="Calibri"/>
        <family val="2"/>
        <scheme val="minor"/>
      </rPr>
      <t xml:space="preserve">2) </t>
    </r>
    <r>
      <rPr>
        <sz val="11"/>
        <color theme="1"/>
        <rFont val="Calibri"/>
        <family val="2"/>
        <scheme val="minor"/>
      </rPr>
      <t xml:space="preserve">the expression of FOXC2 mRNA and protein in CDDP-resistant ovarian cancer cell line (SKOV3/CDDP) cell line was higher than that in its parental cell line (SOKV3). </t>
    </r>
    <r>
      <rPr>
        <b/>
        <sz val="11"/>
        <color theme="1"/>
        <rFont val="Calibri"/>
        <family val="2"/>
        <scheme val="minor"/>
      </rPr>
      <t xml:space="preserve">3) </t>
    </r>
    <r>
      <rPr>
        <sz val="11"/>
        <color theme="1"/>
        <rFont val="Calibri"/>
        <family val="2"/>
        <scheme val="minor"/>
      </rPr>
      <t>shRNA-mediated FOXC2 knockdown significantly increased the in vitro and</t>
    </r>
    <r>
      <rPr>
        <b/>
        <sz val="11"/>
        <color theme="1"/>
        <rFont val="Calibri"/>
        <family val="2"/>
        <scheme val="minor"/>
      </rPr>
      <t xml:space="preserve"> in vivo</t>
    </r>
    <r>
      <rPr>
        <sz val="11"/>
        <color theme="1"/>
        <rFont val="Calibri"/>
        <family val="2"/>
        <scheme val="minor"/>
      </rPr>
      <t xml:space="preserve"> sensitivity of SKOV3/CDDP cells to CDDP by enhancing apoptosis, </t>
    </r>
    <r>
      <rPr>
        <b/>
        <sz val="11"/>
        <color theme="1"/>
        <rFont val="Calibri"/>
        <family val="2"/>
        <scheme val="minor"/>
      </rPr>
      <t>4)</t>
    </r>
    <r>
      <rPr>
        <sz val="11"/>
        <color theme="1"/>
        <rFont val="Calibri"/>
        <family val="2"/>
        <scheme val="minor"/>
      </rPr>
      <t xml:space="preserve"> upregulation of FOXC2 significantly decreased the in vitro and </t>
    </r>
    <r>
      <rPr>
        <b/>
        <sz val="11"/>
        <color theme="1"/>
        <rFont val="Calibri"/>
        <family val="2"/>
        <scheme val="minor"/>
      </rPr>
      <t>in vivo</t>
    </r>
    <r>
      <rPr>
        <sz val="11"/>
        <color theme="1"/>
        <rFont val="Calibri"/>
        <family val="2"/>
        <scheme val="minor"/>
      </rPr>
      <t xml:space="preserve"> sensitivity of SKOV3 cells to CDDP by reducing apoptosis. </t>
    </r>
    <r>
      <rPr>
        <b/>
        <sz val="11"/>
        <color theme="1"/>
        <rFont val="Calibri"/>
        <family val="2"/>
        <scheme val="minor"/>
      </rPr>
      <t xml:space="preserve">5) </t>
    </r>
    <r>
      <rPr>
        <sz val="11"/>
        <color theme="1"/>
        <rFont val="Calibri"/>
        <family val="2"/>
        <scheme val="minor"/>
      </rPr>
      <t>FOXC2 activates the Akt and MAPK signaling pathways, and then induced the decreased expression of Bcl-2 protein and the increased expression of Bax and cleaved caspase-3 proteins.</t>
    </r>
  </si>
  <si>
    <r>
      <rPr>
        <b/>
        <sz val="11"/>
        <color theme="1"/>
        <rFont val="Calibri"/>
        <family val="2"/>
        <scheme val="minor"/>
      </rPr>
      <t xml:space="preserve">1) </t>
    </r>
    <r>
      <rPr>
        <sz val="11"/>
        <color theme="1"/>
        <rFont val="Calibri"/>
        <family val="2"/>
        <scheme val="minor"/>
      </rPr>
      <t>FOXM1 expression was up-regulated in</t>
    </r>
    <r>
      <rPr>
        <b/>
        <sz val="11"/>
        <color theme="1"/>
        <rFont val="Calibri"/>
        <family val="2"/>
        <scheme val="minor"/>
      </rPr>
      <t xml:space="preserve"> cisplatin resistant ovarian</t>
    </r>
    <r>
      <rPr>
        <sz val="11"/>
        <color theme="1"/>
        <rFont val="Calibri"/>
        <family val="2"/>
        <scheme val="minor"/>
      </rPr>
      <t xml:space="preserve"> cancer tissues and cells</t>
    </r>
    <r>
      <rPr>
        <b/>
        <sz val="11"/>
        <color theme="1"/>
        <rFont val="Calibri"/>
        <family val="2"/>
        <scheme val="minor"/>
      </rPr>
      <t xml:space="preserve">. 2) </t>
    </r>
    <r>
      <rPr>
        <sz val="11"/>
        <color theme="1"/>
        <rFont val="Calibri"/>
        <family val="2"/>
        <scheme val="minor"/>
      </rPr>
      <t xml:space="preserve">FOXM1 facilitates DNA repair through regulating direct transcriptional target EXO1 to protect ovarian cancer cells from </t>
    </r>
    <r>
      <rPr>
        <b/>
        <sz val="11"/>
        <color theme="1"/>
        <rFont val="Calibri"/>
        <family val="2"/>
        <scheme val="minor"/>
      </rPr>
      <t>cisplatin</t>
    </r>
    <r>
      <rPr>
        <sz val="11"/>
        <color theme="1"/>
        <rFont val="Calibri"/>
        <family val="2"/>
        <scheme val="minor"/>
      </rPr>
      <t xml:space="preserve">-mediated apoptosis. </t>
    </r>
    <r>
      <rPr>
        <b/>
        <sz val="11"/>
        <color theme="1"/>
        <rFont val="Calibri"/>
        <family val="2"/>
        <scheme val="minor"/>
      </rPr>
      <t xml:space="preserve">3) </t>
    </r>
    <r>
      <rPr>
        <sz val="11"/>
        <color theme="1"/>
        <rFont val="Calibri"/>
        <family val="2"/>
        <scheme val="minor"/>
      </rPr>
      <t xml:space="preserve">Attenuating FOXM1 and EXO1 expression by small interfering RNA, augments the chemotherapy efficacy against </t>
    </r>
    <r>
      <rPr>
        <b/>
        <sz val="11"/>
        <color theme="1"/>
        <rFont val="Calibri"/>
        <family val="2"/>
        <scheme val="minor"/>
      </rPr>
      <t>ovarian</t>
    </r>
    <r>
      <rPr>
        <sz val="11"/>
        <color theme="1"/>
        <rFont val="Calibri"/>
        <family val="2"/>
        <scheme val="minor"/>
      </rPr>
      <t xml:space="preserve"> cancer. </t>
    </r>
  </si>
  <si>
    <r>
      <rPr>
        <b/>
        <sz val="11"/>
        <color theme="1"/>
        <rFont val="Calibri"/>
        <family val="2"/>
        <scheme val="minor"/>
      </rPr>
      <t>1) cisplatin</t>
    </r>
    <r>
      <rPr>
        <sz val="11"/>
        <color theme="1"/>
        <rFont val="Calibri"/>
        <family val="2"/>
        <scheme val="minor"/>
      </rPr>
      <t xml:space="preserve"> or oxaliplatin in combination with the MEK1/2 inhibitor CI-1040 resulted in a synergistic effect on </t>
    </r>
    <r>
      <rPr>
        <b/>
        <sz val="11"/>
        <color theme="1"/>
        <rFont val="Calibri"/>
        <family val="2"/>
        <scheme val="minor"/>
      </rPr>
      <t>platinum</t>
    </r>
    <r>
      <rPr>
        <sz val="11"/>
        <color theme="1"/>
        <rFont val="Calibri"/>
        <family val="2"/>
        <scheme val="minor"/>
      </rPr>
      <t xml:space="preserve">-sensitive ovarian cancer cells. </t>
    </r>
    <r>
      <rPr>
        <b/>
        <sz val="11"/>
        <color theme="1"/>
        <rFont val="Calibri"/>
        <family val="2"/>
        <scheme val="minor"/>
      </rPr>
      <t xml:space="preserve">2) </t>
    </r>
    <r>
      <rPr>
        <sz val="11"/>
        <color theme="1"/>
        <rFont val="Calibri"/>
        <family val="2"/>
        <scheme val="minor"/>
      </rPr>
      <t xml:space="preserve">The drug combinations were additive in </t>
    </r>
    <r>
      <rPr>
        <b/>
        <sz val="11"/>
        <color theme="1"/>
        <rFont val="Calibri"/>
        <family val="2"/>
        <scheme val="minor"/>
      </rPr>
      <t>platinum</t>
    </r>
    <r>
      <rPr>
        <sz val="11"/>
        <color theme="1"/>
        <rFont val="Calibri"/>
        <family val="2"/>
        <scheme val="minor"/>
      </rPr>
      <t xml:space="preserve">-resistant cells exhibiting increased phospho-ERK1/2, down-regulation of apoptosis-related factors (BAX, PUMA, </t>
    </r>
    <r>
      <rPr>
        <b/>
        <sz val="11"/>
        <color theme="1"/>
        <rFont val="Calibri"/>
        <family val="2"/>
        <scheme val="minor"/>
      </rPr>
      <t>FOXO1</t>
    </r>
    <r>
      <rPr>
        <sz val="11"/>
        <color theme="1"/>
        <rFont val="Calibri"/>
        <family val="2"/>
        <scheme val="minor"/>
      </rPr>
      <t>).</t>
    </r>
    <r>
      <rPr>
        <b/>
        <sz val="11"/>
        <color theme="1"/>
        <rFont val="Calibri"/>
        <family val="2"/>
        <scheme val="minor"/>
      </rPr>
      <t xml:space="preserve"> 3) FOXO1</t>
    </r>
    <r>
      <rPr>
        <sz val="11"/>
        <color theme="1"/>
        <rFont val="Calibri"/>
        <family val="2"/>
        <scheme val="minor"/>
      </rPr>
      <t xml:space="preserve"> knockdown in sensitive cells reduced the efficacy of the combination treatment. </t>
    </r>
    <r>
      <rPr>
        <b/>
        <sz val="11"/>
        <color theme="1"/>
        <rFont val="Calibri"/>
        <family val="2"/>
        <scheme val="minor"/>
      </rPr>
      <t xml:space="preserve">4) </t>
    </r>
    <r>
      <rPr>
        <sz val="11"/>
        <color theme="1"/>
        <rFont val="Calibri"/>
        <family val="2"/>
        <scheme val="minor"/>
      </rPr>
      <t xml:space="preserve">Cisplatin treatment induced FOXO1 expression and activation in both gastric cancer cell lines. </t>
    </r>
    <r>
      <rPr>
        <b/>
        <sz val="11"/>
        <color theme="1"/>
        <rFont val="Calibri"/>
        <family val="2"/>
        <scheme val="minor"/>
      </rPr>
      <t xml:space="preserve">5) </t>
    </r>
    <r>
      <rPr>
        <sz val="11"/>
        <color theme="1"/>
        <rFont val="Calibri"/>
        <family val="2"/>
        <scheme val="minor"/>
      </rPr>
      <t xml:space="preserve">FOXO1 overexpression increased the CDDP resistance without changes in cell growth, </t>
    </r>
    <r>
      <rPr>
        <b/>
        <sz val="11"/>
        <color theme="1"/>
        <rFont val="Calibri"/>
        <family val="2"/>
        <scheme val="minor"/>
      </rPr>
      <t xml:space="preserve">6) </t>
    </r>
    <r>
      <rPr>
        <sz val="11"/>
        <color theme="1"/>
        <rFont val="Calibri"/>
        <family val="2"/>
        <scheme val="minor"/>
      </rPr>
      <t xml:space="preserve">FOXO1 silencing enhanced </t>
    </r>
    <r>
      <rPr>
        <b/>
        <sz val="11"/>
        <color theme="1"/>
        <rFont val="Calibri"/>
        <family val="2"/>
        <scheme val="minor"/>
      </rPr>
      <t>CDDP</t>
    </r>
    <r>
      <rPr>
        <sz val="11"/>
        <color theme="1"/>
        <rFont val="Calibri"/>
        <family val="2"/>
        <scheme val="minor"/>
      </rPr>
      <t xml:space="preserve"> cytotoxicity. </t>
    </r>
    <r>
      <rPr>
        <b/>
        <sz val="11"/>
        <color theme="1"/>
        <rFont val="Calibri"/>
        <family val="2"/>
        <scheme val="minor"/>
      </rPr>
      <t xml:space="preserve">7) </t>
    </r>
    <r>
      <rPr>
        <sz val="11"/>
        <color theme="1"/>
        <rFont val="Calibri"/>
        <family val="2"/>
        <scheme val="minor"/>
      </rPr>
      <t xml:space="preserve">Both constitutive and CDDP-induced FOXO1 activations were accompanied by an increase in p110α and pAkt expression. </t>
    </r>
    <r>
      <rPr>
        <b/>
        <sz val="11"/>
        <color theme="1"/>
        <rFont val="Calibri"/>
        <family val="2"/>
        <scheme val="minor"/>
      </rPr>
      <t xml:space="preserve">8) </t>
    </r>
    <r>
      <rPr>
        <sz val="11"/>
        <color theme="1"/>
        <rFont val="Calibri"/>
        <family val="2"/>
        <scheme val="minor"/>
      </rPr>
      <t xml:space="preserve">Akt inhibition by LY294002 treatment restored the CDDP cytotoxicity that was suppressed by FOXO1 overexpression. </t>
    </r>
    <r>
      <rPr>
        <b/>
        <sz val="11"/>
        <color theme="1"/>
        <rFont val="Calibri"/>
        <family val="2"/>
        <scheme val="minor"/>
      </rPr>
      <t xml:space="preserve">9) </t>
    </r>
    <r>
      <rPr>
        <sz val="11"/>
        <color theme="1"/>
        <rFont val="Calibri"/>
        <family val="2"/>
        <scheme val="minor"/>
      </rPr>
      <t xml:space="preserve">Advanced </t>
    </r>
    <r>
      <rPr>
        <b/>
        <sz val="11"/>
        <color theme="1"/>
        <rFont val="Calibri"/>
        <family val="2"/>
        <scheme val="minor"/>
      </rPr>
      <t>EOC</t>
    </r>
    <r>
      <rPr>
        <sz val="11"/>
        <color theme="1"/>
        <rFont val="Calibri"/>
        <family val="2"/>
        <scheme val="minor"/>
      </rPr>
      <t xml:space="preserve"> tumours with low relative activation of the metabolic signature and increased </t>
    </r>
    <r>
      <rPr>
        <b/>
        <sz val="11"/>
        <color theme="1"/>
        <rFont val="Calibri"/>
        <family val="2"/>
        <scheme val="minor"/>
      </rPr>
      <t>FOXO1 T24</t>
    </r>
    <r>
      <rPr>
        <sz val="11"/>
        <color theme="1"/>
        <rFont val="Calibri"/>
        <family val="2"/>
        <scheme val="minor"/>
      </rPr>
      <t xml:space="preserve">/FOXO3 T32 phosphorylation (P=0.041) were associated with </t>
    </r>
    <r>
      <rPr>
        <b/>
        <sz val="11"/>
        <color theme="1"/>
        <rFont val="Calibri"/>
        <family val="2"/>
        <scheme val="minor"/>
      </rPr>
      <t>carboplatin</t>
    </r>
    <r>
      <rPr>
        <sz val="11"/>
        <color theme="1"/>
        <rFont val="Calibri"/>
        <family val="2"/>
        <scheme val="minor"/>
      </rPr>
      <t>-paclitaxel resistance.</t>
    </r>
  </si>
  <si>
    <r>
      <rPr>
        <b/>
        <sz val="11"/>
        <color theme="1"/>
        <rFont val="Calibri"/>
        <family val="2"/>
        <scheme val="minor"/>
      </rPr>
      <t>1)</t>
    </r>
    <r>
      <rPr>
        <sz val="11"/>
        <color theme="1"/>
        <rFont val="Calibri"/>
        <family val="2"/>
        <scheme val="minor"/>
      </rPr>
      <t xml:space="preserve"> Foxo3a knockdown increased cell proliferation and resistance to </t>
    </r>
    <r>
      <rPr>
        <b/>
        <sz val="11"/>
        <color theme="1"/>
        <rFont val="Calibri"/>
        <family val="2"/>
        <scheme val="minor"/>
      </rPr>
      <t>cisplatin</t>
    </r>
    <r>
      <rPr>
        <sz val="11"/>
        <color theme="1"/>
        <rFont val="Calibri"/>
        <family val="2"/>
        <scheme val="minor"/>
      </rPr>
      <t>.</t>
    </r>
    <r>
      <rPr>
        <b/>
        <sz val="11"/>
        <color theme="1"/>
        <rFont val="Calibri"/>
        <family val="2"/>
        <scheme val="minor"/>
      </rPr>
      <t xml:space="preserve"> 2)</t>
    </r>
    <r>
      <rPr>
        <sz val="11"/>
        <color theme="1"/>
        <rFont val="Calibri"/>
        <family val="2"/>
        <scheme val="minor"/>
      </rPr>
      <t xml:space="preserve"> mithramycin stimulated Foxo3a expression through reactive oxygen species production and sensitized cells to cisplatin, which was abolished by Foxo3a knockdown. </t>
    </r>
    <r>
      <rPr>
        <b/>
        <sz val="11"/>
        <color theme="1"/>
        <rFont val="Calibri"/>
        <family val="2"/>
        <scheme val="minor"/>
      </rPr>
      <t>3)</t>
    </r>
    <r>
      <rPr>
        <sz val="11"/>
        <color theme="1"/>
        <rFont val="Calibri"/>
        <family val="2"/>
        <scheme val="minor"/>
      </rPr>
      <t xml:space="preserve"> the acetylation status of Foxo3a was decreased in response to cisplatin treatment and was lower in cisplatin-resistant cells. </t>
    </r>
    <r>
      <rPr>
        <b/>
        <sz val="11"/>
        <color theme="1"/>
        <rFont val="Calibri"/>
        <family val="2"/>
        <scheme val="minor"/>
      </rPr>
      <t xml:space="preserve">4) </t>
    </r>
    <r>
      <rPr>
        <sz val="11"/>
        <color theme="1"/>
        <rFont val="Calibri"/>
        <family val="2"/>
        <scheme val="minor"/>
      </rPr>
      <t xml:space="preserve">Low expression of Foxo3a is Associated with Poor Prognosis in </t>
    </r>
    <r>
      <rPr>
        <b/>
        <sz val="11"/>
        <color theme="1"/>
        <rFont val="Calibri"/>
        <family val="2"/>
        <scheme val="minor"/>
      </rPr>
      <t>Ovarian</t>
    </r>
    <r>
      <rPr>
        <sz val="11"/>
        <color theme="1"/>
        <rFont val="Calibri"/>
        <family val="2"/>
        <scheme val="minor"/>
      </rPr>
      <t xml:space="preserve"> Cancer Patients. </t>
    </r>
    <r>
      <rPr>
        <b/>
        <sz val="11"/>
        <color theme="1"/>
        <rFont val="Calibri"/>
        <family val="2"/>
        <scheme val="minor"/>
      </rPr>
      <t xml:space="preserve">5) </t>
    </r>
    <r>
      <rPr>
        <sz val="11"/>
        <color theme="1"/>
        <rFont val="Calibri"/>
        <family val="2"/>
        <scheme val="minor"/>
      </rPr>
      <t>Advanced tumours with low relative activation of the metabolic signature and increased FOXO1 T24/</t>
    </r>
    <r>
      <rPr>
        <b/>
        <sz val="11"/>
        <color theme="1"/>
        <rFont val="Calibri"/>
        <family val="2"/>
        <scheme val="minor"/>
      </rPr>
      <t>FOXO3 T32</t>
    </r>
    <r>
      <rPr>
        <sz val="11"/>
        <color theme="1"/>
        <rFont val="Calibri"/>
        <family val="2"/>
        <scheme val="minor"/>
      </rPr>
      <t xml:space="preserve"> phosphorylation (P=0.041) were associated with carboplatin–paclitaxel resistance. </t>
    </r>
    <r>
      <rPr>
        <b/>
        <sz val="11"/>
        <color theme="1"/>
        <rFont val="Calibri"/>
        <family val="2"/>
        <scheme val="minor"/>
      </rPr>
      <t xml:space="preserve">5) </t>
    </r>
    <r>
      <rPr>
        <sz val="11"/>
        <color theme="1"/>
        <rFont val="Calibri"/>
        <family val="2"/>
        <scheme val="minor"/>
      </rPr>
      <t xml:space="preserve">FoxO3 directs the basal transcription of Kelch-like ECH-associated protein 1 (Keap1). </t>
    </r>
    <r>
      <rPr>
        <b/>
        <sz val="11"/>
        <color theme="1"/>
        <rFont val="Calibri"/>
        <family val="2"/>
        <scheme val="minor"/>
      </rPr>
      <t xml:space="preserve">6) </t>
    </r>
    <r>
      <rPr>
        <sz val="11"/>
        <color theme="1"/>
        <rFont val="Calibri"/>
        <family val="2"/>
        <scheme val="minor"/>
      </rPr>
      <t xml:space="preserve">FoxO3 depletion resulted in Keap1 down-regulation, thereby activating Nrf2 signaling. </t>
    </r>
    <r>
      <rPr>
        <b/>
        <sz val="11"/>
        <color theme="1"/>
        <rFont val="Calibri"/>
        <family val="2"/>
        <scheme val="minor"/>
      </rPr>
      <t>7)</t>
    </r>
    <r>
      <rPr>
        <sz val="11"/>
        <color theme="1"/>
        <rFont val="Calibri"/>
        <family val="2"/>
        <scheme val="minor"/>
      </rPr>
      <t>FoxO3 silencing led to decreased ros production, therefore protecting cells from oxidative stress-induced killing in an Nrf2-dependent manner.</t>
    </r>
    <r>
      <rPr>
        <b/>
        <sz val="11"/>
        <color theme="1"/>
        <rFont val="Calibri"/>
        <family val="2"/>
        <scheme val="minor"/>
      </rPr>
      <t xml:space="preserve">8) </t>
    </r>
    <r>
      <rPr>
        <sz val="11"/>
        <color theme="1"/>
        <rFont val="Calibri"/>
        <family val="2"/>
        <scheme val="minor"/>
      </rPr>
      <t xml:space="preserve">FoxO3 deficiency strongly potentiated tumor formation in nude mice and rendered cholangiocarcinoma xenografts resistant to </t>
    </r>
    <r>
      <rPr>
        <b/>
        <sz val="11"/>
        <color theme="1"/>
        <rFont val="Calibri"/>
        <family val="2"/>
        <scheme val="minor"/>
      </rPr>
      <t>cisplatin</t>
    </r>
    <r>
      <rPr>
        <sz val="11"/>
        <color theme="1"/>
        <rFont val="Calibri"/>
        <family val="2"/>
        <scheme val="minor"/>
      </rPr>
      <t xml:space="preserve">-induced cell death by activating Nrf2. </t>
    </r>
    <r>
      <rPr>
        <b/>
        <sz val="11"/>
        <color theme="1"/>
        <rFont val="Calibri"/>
        <family val="2"/>
        <scheme val="minor"/>
      </rPr>
      <t>9)</t>
    </r>
    <r>
      <rPr>
        <sz val="11"/>
        <color theme="1"/>
        <rFont val="Calibri"/>
        <family val="2"/>
        <scheme val="minor"/>
      </rPr>
      <t>clinical cholangiocarcinoma samples displayed FoxO3-Keap1 down-regulation and Nrf2 hyperactivation.</t>
    </r>
  </si>
  <si>
    <r>
      <rPr>
        <b/>
        <sz val="11"/>
        <color theme="1"/>
        <rFont val="Calibri"/>
        <family val="2"/>
        <scheme val="minor"/>
      </rPr>
      <t>1)</t>
    </r>
    <r>
      <rPr>
        <sz val="11"/>
        <color theme="1"/>
        <rFont val="Calibri"/>
        <family val="2"/>
        <scheme val="minor"/>
      </rPr>
      <t xml:space="preserve"> The relative expression of</t>
    </r>
    <r>
      <rPr>
        <b/>
        <sz val="11"/>
        <color theme="1"/>
        <rFont val="Calibri"/>
        <family val="2"/>
        <scheme val="minor"/>
      </rPr>
      <t xml:space="preserve"> FOXP1</t>
    </r>
    <r>
      <rPr>
        <sz val="11"/>
        <color theme="1"/>
        <rFont val="Calibri"/>
        <family val="2"/>
        <scheme val="minor"/>
      </rPr>
      <t xml:space="preserve"> and </t>
    </r>
    <r>
      <rPr>
        <b/>
        <sz val="11"/>
        <color theme="1"/>
        <rFont val="Calibri"/>
        <family val="2"/>
        <scheme val="minor"/>
      </rPr>
      <t>GARS</t>
    </r>
    <r>
      <rPr>
        <sz val="11"/>
        <color theme="1"/>
        <rFont val="Calibri"/>
        <family val="2"/>
        <scheme val="minor"/>
      </rPr>
      <t xml:space="preserve"> was significantly lower in </t>
    </r>
    <r>
      <rPr>
        <b/>
        <sz val="11"/>
        <color theme="1"/>
        <rFont val="Calibri"/>
        <family val="2"/>
        <scheme val="minor"/>
      </rPr>
      <t>cisplatin</t>
    </r>
    <r>
      <rPr>
        <sz val="11"/>
        <color theme="1"/>
        <rFont val="Calibri"/>
        <family val="2"/>
        <scheme val="minor"/>
      </rPr>
      <t>-resistant RMG-I-H, COC1/DDP, HO8910/PM than RMG-I-C, COC1, HO8910</t>
    </r>
    <r>
      <rPr>
        <b/>
        <sz val="11"/>
        <color theme="1"/>
        <rFont val="Calibri"/>
        <family val="2"/>
        <scheme val="minor"/>
      </rPr>
      <t xml:space="preserve"> ovarian</t>
    </r>
    <r>
      <rPr>
        <sz val="11"/>
        <color theme="1"/>
        <rFont val="Calibri"/>
        <family val="2"/>
        <scheme val="minor"/>
      </rPr>
      <t xml:space="preserve"> cancer cells, respectively. </t>
    </r>
    <r>
      <rPr>
        <b/>
        <sz val="11"/>
        <color theme="1"/>
        <rFont val="Calibri"/>
        <family val="2"/>
        <scheme val="minor"/>
      </rPr>
      <t>2)</t>
    </r>
    <r>
      <rPr>
        <sz val="11"/>
        <color theme="1"/>
        <rFont val="Calibri"/>
        <family val="2"/>
        <scheme val="minor"/>
      </rPr>
      <t xml:space="preserve"> Low-expression level of </t>
    </r>
    <r>
      <rPr>
        <b/>
        <sz val="11"/>
        <color theme="1"/>
        <rFont val="Calibri"/>
        <family val="2"/>
        <scheme val="minor"/>
      </rPr>
      <t>FOXP1</t>
    </r>
    <r>
      <rPr>
        <sz val="11"/>
        <color theme="1"/>
        <rFont val="Calibri"/>
        <family val="2"/>
        <scheme val="minor"/>
      </rPr>
      <t xml:space="preserve"> was validated at the protein level by immunohistochemistry in paraffin embedded </t>
    </r>
    <r>
      <rPr>
        <b/>
        <sz val="11"/>
        <color theme="1"/>
        <rFont val="Calibri"/>
        <family val="2"/>
        <scheme val="minor"/>
      </rPr>
      <t>ovarian</t>
    </r>
    <r>
      <rPr>
        <sz val="11"/>
        <color theme="1"/>
        <rFont val="Calibri"/>
        <family val="2"/>
        <scheme val="minor"/>
      </rPr>
      <t xml:space="preserve"> tissues. </t>
    </r>
    <r>
      <rPr>
        <b/>
        <sz val="11"/>
        <color theme="1"/>
        <rFont val="Calibri"/>
        <family val="2"/>
        <scheme val="minor"/>
      </rPr>
      <t>3)</t>
    </r>
    <r>
      <rPr>
        <sz val="11"/>
        <color theme="1"/>
        <rFont val="Calibri"/>
        <family val="2"/>
        <scheme val="minor"/>
      </rPr>
      <t xml:space="preserve"> In 58 drug-sensitive samples and 34 drug-resistant samples showed a significant decrease of </t>
    </r>
    <r>
      <rPr>
        <b/>
        <sz val="11"/>
        <color theme="1"/>
        <rFont val="Calibri"/>
        <family val="2"/>
        <scheme val="minor"/>
      </rPr>
      <t>FOXP1</t>
    </r>
    <r>
      <rPr>
        <sz val="11"/>
        <color theme="1"/>
        <rFont val="Calibri"/>
        <family val="2"/>
        <scheme val="minor"/>
      </rPr>
      <t xml:space="preserve"> expression in the resistant group. </t>
    </r>
    <r>
      <rPr>
        <b/>
        <sz val="11"/>
        <color theme="1"/>
        <rFont val="Calibri"/>
        <family val="2"/>
        <scheme val="minor"/>
      </rPr>
      <t xml:space="preserve">4) Low </t>
    </r>
    <r>
      <rPr>
        <sz val="11"/>
        <color theme="1"/>
        <rFont val="Calibri"/>
        <family val="2"/>
        <scheme val="minor"/>
      </rPr>
      <t xml:space="preserve">nuclear </t>
    </r>
    <r>
      <rPr>
        <b/>
        <sz val="11"/>
        <color theme="1"/>
        <rFont val="Calibri"/>
        <family val="2"/>
        <scheme val="minor"/>
      </rPr>
      <t>FOXP1</t>
    </r>
    <r>
      <rPr>
        <sz val="11"/>
        <color theme="1"/>
        <rFont val="Calibri"/>
        <family val="2"/>
        <scheme val="minor"/>
      </rPr>
      <t xml:space="preserve"> expression was associated with chemotherapy resistance and short survival time of patients with </t>
    </r>
    <r>
      <rPr>
        <b/>
        <sz val="11"/>
        <color theme="1"/>
        <rFont val="Calibri"/>
        <family val="2"/>
        <scheme val="minor"/>
      </rPr>
      <t>ovarian</t>
    </r>
    <r>
      <rPr>
        <sz val="11"/>
        <color theme="1"/>
        <rFont val="Calibri"/>
        <family val="2"/>
        <scheme val="minor"/>
      </rPr>
      <t xml:space="preserve"> cancer. </t>
    </r>
    <r>
      <rPr>
        <b/>
        <sz val="11"/>
        <color theme="1"/>
        <rFont val="Calibri"/>
        <family val="2"/>
        <scheme val="minor"/>
      </rPr>
      <t xml:space="preserve">5) </t>
    </r>
    <r>
      <rPr>
        <sz val="11"/>
        <color theme="1"/>
        <rFont val="Calibri"/>
        <family val="2"/>
        <scheme val="minor"/>
      </rPr>
      <t xml:space="preserve">Knockdown of </t>
    </r>
    <r>
      <rPr>
        <b/>
        <sz val="11"/>
        <color theme="1"/>
        <rFont val="Calibri"/>
        <family val="2"/>
        <scheme val="minor"/>
      </rPr>
      <t>FOXP1</t>
    </r>
    <r>
      <rPr>
        <sz val="11"/>
        <color theme="1"/>
        <rFont val="Calibri"/>
        <family val="2"/>
        <scheme val="minor"/>
      </rPr>
      <t xml:space="preserve"> expression in A2780 or SKOV3 ovarian cancer cells decreased spheroid formation, expression of </t>
    </r>
    <r>
      <rPr>
        <b/>
        <sz val="11"/>
        <color theme="1"/>
        <rFont val="Calibri"/>
        <family val="2"/>
        <scheme val="minor"/>
      </rPr>
      <t>stemness</t>
    </r>
    <r>
      <rPr>
        <sz val="11"/>
        <color theme="1"/>
        <rFont val="Calibri"/>
        <family val="2"/>
        <scheme val="minor"/>
      </rPr>
      <t xml:space="preserve">-related genes and epithelial to mesenchymal transition-related genes, cell migration, and resistance to Paclitaxel or </t>
    </r>
    <r>
      <rPr>
        <b/>
        <sz val="11"/>
        <color theme="1"/>
        <rFont val="Calibri"/>
        <family val="2"/>
        <scheme val="minor"/>
      </rPr>
      <t>Cisplatin</t>
    </r>
    <r>
      <rPr>
        <sz val="11"/>
        <color theme="1"/>
        <rFont val="Calibri"/>
        <family val="2"/>
        <scheme val="minor"/>
      </rPr>
      <t xml:space="preserve"> treatment,</t>
    </r>
    <r>
      <rPr>
        <b/>
        <sz val="11"/>
        <color theme="1"/>
        <rFont val="Calibri"/>
        <family val="2"/>
        <scheme val="minor"/>
      </rPr>
      <t xml:space="preserve"> 6)</t>
    </r>
    <r>
      <rPr>
        <sz val="11"/>
        <color theme="1"/>
        <rFont val="Calibri"/>
        <family val="2"/>
        <scheme val="minor"/>
      </rPr>
      <t xml:space="preserve"> overexpression of FOXP1 did the opposite. </t>
    </r>
    <r>
      <rPr>
        <b/>
        <sz val="11"/>
        <color theme="1"/>
        <rFont val="Calibri"/>
        <family val="2"/>
        <scheme val="minor"/>
      </rPr>
      <t xml:space="preserve">7) </t>
    </r>
    <r>
      <rPr>
        <sz val="11"/>
        <color theme="1"/>
        <rFont val="Calibri"/>
        <family val="2"/>
        <scheme val="minor"/>
      </rPr>
      <t xml:space="preserve">overexpression of </t>
    </r>
    <r>
      <rPr>
        <b/>
        <sz val="11"/>
        <color theme="1"/>
        <rFont val="Calibri"/>
        <family val="2"/>
        <scheme val="minor"/>
      </rPr>
      <t>FOXP1</t>
    </r>
    <r>
      <rPr>
        <sz val="11"/>
        <color theme="1"/>
        <rFont val="Calibri"/>
        <family val="2"/>
        <scheme val="minor"/>
      </rPr>
      <t xml:space="preserve"> increased promoter activity of </t>
    </r>
    <r>
      <rPr>
        <b/>
        <sz val="11"/>
        <color theme="1"/>
        <rFont val="Calibri"/>
        <family val="2"/>
        <scheme val="minor"/>
      </rPr>
      <t>ABCG2, OCT4, NANOG</t>
    </r>
    <r>
      <rPr>
        <sz val="11"/>
        <color theme="1"/>
        <rFont val="Calibri"/>
        <family val="2"/>
        <scheme val="minor"/>
      </rPr>
      <t xml:space="preserve">, and </t>
    </r>
    <r>
      <rPr>
        <b/>
        <sz val="11"/>
        <color theme="1"/>
        <rFont val="Calibri"/>
        <family val="2"/>
        <scheme val="minor"/>
      </rPr>
      <t>SOX2</t>
    </r>
    <r>
      <rPr>
        <sz val="11"/>
        <color theme="1"/>
        <rFont val="Calibri"/>
        <family val="2"/>
        <scheme val="minor"/>
      </rPr>
      <t xml:space="preserve">, among which the increases in </t>
    </r>
    <r>
      <rPr>
        <b/>
        <sz val="11"/>
        <color theme="1"/>
        <rFont val="Calibri"/>
        <family val="2"/>
        <scheme val="minor"/>
      </rPr>
      <t>ABCG2, OCT4,</t>
    </r>
    <r>
      <rPr>
        <sz val="11"/>
        <color theme="1"/>
        <rFont val="Calibri"/>
        <family val="2"/>
        <scheme val="minor"/>
      </rPr>
      <t xml:space="preserve"> and </t>
    </r>
    <r>
      <rPr>
        <b/>
        <sz val="11"/>
        <color theme="1"/>
        <rFont val="Calibri"/>
        <family val="2"/>
        <scheme val="minor"/>
      </rPr>
      <t>SOX2</t>
    </r>
    <r>
      <rPr>
        <sz val="11"/>
        <color theme="1"/>
        <rFont val="Calibri"/>
        <family val="2"/>
        <scheme val="minor"/>
      </rPr>
      <t xml:space="preserve"> promoter activity were dependent on the presence of FOXP1-binding site. </t>
    </r>
    <r>
      <rPr>
        <b/>
        <sz val="11"/>
        <color theme="1"/>
        <rFont val="Calibri"/>
        <family val="2"/>
        <scheme val="minor"/>
      </rPr>
      <t>8)</t>
    </r>
    <r>
      <rPr>
        <sz val="11"/>
        <color theme="1"/>
        <rFont val="Calibri"/>
        <family val="2"/>
        <scheme val="minor"/>
      </rPr>
      <t xml:space="preserve"> In xenotransplantation of A2780 ovarian cancer cells into nude mice, knockdown of FOXP1 expression significantly decreased tumor size. These results strongly suggest FOXP1 functions as an oncogene by promoting cancer stem cell-like characteristics in ovarian cancer cells. </t>
    </r>
  </si>
  <si>
    <r>
      <rPr>
        <b/>
        <sz val="11"/>
        <color theme="1"/>
        <rFont val="Calibri"/>
        <family val="2"/>
        <scheme val="minor"/>
      </rPr>
      <t xml:space="preserve">1) </t>
    </r>
    <r>
      <rPr>
        <sz val="11"/>
        <color theme="1"/>
        <rFont val="Calibri"/>
        <family val="2"/>
        <scheme val="minor"/>
      </rPr>
      <t xml:space="preserve">FSTL1 is overexpressed in </t>
    </r>
    <r>
      <rPr>
        <b/>
        <sz val="11"/>
        <color theme="1"/>
        <rFont val="Calibri"/>
        <family val="2"/>
        <scheme val="minor"/>
      </rPr>
      <t>ESCCs,</t>
    </r>
    <r>
      <rPr>
        <sz val="11"/>
        <color theme="1"/>
        <rFont val="Calibri"/>
        <family val="2"/>
        <scheme val="minor"/>
      </rPr>
      <t xml:space="preserve"> where it correlates with poor overall survival. </t>
    </r>
    <r>
      <rPr>
        <b/>
        <sz val="11"/>
        <color theme="1"/>
        <rFont val="Calibri"/>
        <family val="2"/>
        <scheme val="minor"/>
      </rPr>
      <t xml:space="preserve">2) </t>
    </r>
    <r>
      <rPr>
        <sz val="11"/>
        <color theme="1"/>
        <rFont val="Calibri"/>
        <family val="2"/>
        <scheme val="minor"/>
      </rPr>
      <t xml:space="preserve">Genetic amplification of FSTL1 or chromosome 3q, where it is located, occurred frequently in ESCC. </t>
    </r>
    <r>
      <rPr>
        <b/>
        <sz val="11"/>
        <color theme="1"/>
        <rFont val="Calibri"/>
        <family val="2"/>
        <scheme val="minor"/>
      </rPr>
      <t xml:space="preserve">3) </t>
    </r>
    <r>
      <rPr>
        <sz val="11"/>
        <color theme="1"/>
        <rFont val="Calibri"/>
        <family val="2"/>
        <scheme val="minor"/>
      </rPr>
      <t>Elevating FSTL1 levels by various means was sufficient to drive ESCC cell proliferation, clonogenicity, migration, invasion, self-renewal, and</t>
    </r>
    <r>
      <rPr>
        <b/>
        <sz val="11"/>
        <color theme="1"/>
        <rFont val="Calibri"/>
        <family val="2"/>
        <scheme val="minor"/>
      </rPr>
      <t> cisplatin</t>
    </r>
    <r>
      <rPr>
        <sz val="11"/>
        <color theme="1"/>
        <rFont val="Calibri"/>
        <family val="2"/>
        <scheme val="minor"/>
      </rPr>
      <t> resistance in vitro and tumorigenicity and distant metastasis in vivo. </t>
    </r>
    <r>
      <rPr>
        <b/>
        <sz val="11"/>
        <color theme="1"/>
        <rFont val="Calibri"/>
        <family val="2"/>
        <scheme val="minor"/>
      </rPr>
      <t xml:space="preserve">4) </t>
    </r>
    <r>
      <rPr>
        <sz val="11"/>
        <color theme="1"/>
        <rFont val="Calibri"/>
        <family val="2"/>
        <scheme val="minor"/>
      </rPr>
      <t xml:space="preserve">Conversely, FSTL1 attenuation by shRNA or neutralizing antibody elicited the opposite effects in ESCC cells. </t>
    </r>
    <r>
      <rPr>
        <b/>
        <sz val="11"/>
        <color theme="1"/>
        <rFont val="Calibri"/>
        <family val="2"/>
        <scheme val="minor"/>
      </rPr>
      <t xml:space="preserve">5) </t>
    </r>
    <r>
      <rPr>
        <sz val="11"/>
        <color theme="1"/>
        <rFont val="Calibri"/>
        <family val="2"/>
        <scheme val="minor"/>
      </rPr>
      <t xml:space="preserve">FSTL1 drives ESCC oncogenesis and metastasis through various pathways, with deregulation of NFκB and BMP signaling figuring prominently. </t>
    </r>
  </si>
  <si>
    <r>
      <rPr>
        <b/>
        <sz val="11"/>
        <color theme="1"/>
        <rFont val="Calibri"/>
        <family val="2"/>
        <scheme val="minor"/>
      </rPr>
      <t>1)</t>
    </r>
    <r>
      <rPr>
        <sz val="11"/>
        <color theme="1"/>
        <rFont val="Calibri"/>
        <family val="2"/>
        <scheme val="minor"/>
      </rPr>
      <t xml:space="preserve"> the expression of FBP1 was significantly higher in EOC tissues than in normal epithelial ovarian or in epithelial ovarian adenoma tissue. </t>
    </r>
    <r>
      <rPr>
        <b/>
        <sz val="11"/>
        <color theme="1"/>
        <rFont val="Calibri"/>
        <family val="2"/>
        <scheme val="minor"/>
      </rPr>
      <t>2)</t>
    </r>
    <r>
      <rPr>
        <sz val="11"/>
        <color theme="1"/>
        <rFont val="Calibri"/>
        <family val="2"/>
        <scheme val="minor"/>
      </rPr>
      <t xml:space="preserve"> FBP1 expression was significantly correlated with the grade of epithelial ovarian cancer. </t>
    </r>
    <r>
      <rPr>
        <b/>
        <sz val="11"/>
        <color theme="1"/>
        <rFont val="Calibri"/>
        <family val="2"/>
        <scheme val="minor"/>
      </rPr>
      <t xml:space="preserve">3) </t>
    </r>
    <r>
      <rPr>
        <sz val="11"/>
        <color theme="1"/>
        <rFont val="Calibri"/>
        <family val="2"/>
        <scheme val="minor"/>
      </rPr>
      <t xml:space="preserve">Carboplatin inhibited the expression of FBP1 in epithelial ovarian cancer cells. </t>
    </r>
    <r>
      <rPr>
        <b/>
        <sz val="11"/>
        <color theme="1"/>
        <rFont val="Calibri"/>
        <family val="2"/>
        <scheme val="minor"/>
      </rPr>
      <t xml:space="preserve">4) </t>
    </r>
    <r>
      <rPr>
        <sz val="11"/>
        <color theme="1"/>
        <rFont val="Calibri"/>
        <family val="2"/>
        <scheme val="minor"/>
      </rPr>
      <t xml:space="preserve">FBP1 knockdown increases the sensitivity of ovarian cancer cells to carboplatin. </t>
    </r>
    <r>
      <rPr>
        <b/>
        <sz val="11"/>
        <color theme="1"/>
        <rFont val="Calibri"/>
        <family val="2"/>
        <scheme val="minor"/>
      </rPr>
      <t xml:space="preserve">5) </t>
    </r>
    <r>
      <rPr>
        <sz val="11"/>
        <color theme="1"/>
        <rFont val="Calibri"/>
        <family val="2"/>
        <scheme val="minor"/>
      </rPr>
      <t xml:space="preserve">the expression of β-catenin and MMP-9 were lower in FBP1 knockdown cells compared with control EOC cells. </t>
    </r>
  </si>
  <si>
    <r>
      <rPr>
        <b/>
        <sz val="11"/>
        <color theme="1"/>
        <rFont val="Calibri"/>
        <family val="2"/>
        <scheme val="minor"/>
      </rPr>
      <t>1)</t>
    </r>
    <r>
      <rPr>
        <sz val="11"/>
        <color theme="1"/>
        <rFont val="Calibri"/>
        <family val="2"/>
        <scheme val="minor"/>
      </rPr>
      <t xml:space="preserve"> Treatment with</t>
    </r>
    <r>
      <rPr>
        <b/>
        <sz val="11"/>
        <color theme="1"/>
        <rFont val="Calibri"/>
        <family val="2"/>
        <scheme val="minor"/>
      </rPr>
      <t xml:space="preserve"> cisplatin</t>
    </r>
    <r>
      <rPr>
        <sz val="11"/>
        <color theme="1"/>
        <rFont val="Calibri"/>
        <family val="2"/>
        <scheme val="minor"/>
      </rPr>
      <t xml:space="preserve"> and tumor necrosis factor-related apoptosis-inducing ligand (TRAIL) in TNBC cell lines resulted in increased </t>
    </r>
    <r>
      <rPr>
        <b/>
        <sz val="11"/>
        <color theme="1"/>
        <rFont val="Calibri"/>
        <family val="2"/>
        <scheme val="minor"/>
      </rPr>
      <t>FZD8</t>
    </r>
    <r>
      <rPr>
        <sz val="11"/>
        <color theme="1"/>
        <rFont val="Calibri"/>
        <family val="2"/>
        <scheme val="minor"/>
      </rPr>
      <t xml:space="preserve"> expression in residual tumors of xenograft models. </t>
    </r>
    <r>
      <rPr>
        <b/>
        <sz val="11"/>
        <color theme="1"/>
        <rFont val="Calibri"/>
        <family val="2"/>
        <scheme val="minor"/>
      </rPr>
      <t>2)</t>
    </r>
    <r>
      <rPr>
        <sz val="11"/>
        <color theme="1"/>
        <rFont val="Calibri"/>
        <family val="2"/>
        <scheme val="minor"/>
      </rPr>
      <t xml:space="preserve"> Inhibition of FZD8 by siRNA in the presence of cisplatin plus TRAIL reduced β-catenin and survivin levels and increased apoptosis in vitro and in vivo. </t>
    </r>
    <r>
      <rPr>
        <b/>
        <sz val="11"/>
        <color theme="1"/>
        <rFont val="Calibri"/>
        <family val="2"/>
        <scheme val="minor"/>
      </rPr>
      <t xml:space="preserve">3) </t>
    </r>
    <r>
      <rPr>
        <sz val="11"/>
        <color theme="1"/>
        <rFont val="Calibri"/>
        <family val="2"/>
        <scheme val="minor"/>
      </rPr>
      <t>c-Myc overexpression has been linked to FZD8 overexpression in TNBC cell lines, associating c-Myc-driven transcription to chemoresistance and TNBC CSC survival.</t>
    </r>
  </si>
  <si>
    <r>
      <rPr>
        <b/>
        <sz val="11"/>
        <color theme="1"/>
        <rFont val="Calibri"/>
        <family val="2"/>
        <scheme val="minor"/>
      </rPr>
      <t>1) cisplatin</t>
    </r>
    <r>
      <rPr>
        <sz val="11"/>
        <color theme="1"/>
        <rFont val="Calibri"/>
        <family val="2"/>
        <scheme val="minor"/>
      </rPr>
      <t xml:space="preserve">-resistant ovarian cancer C13 cells not only present an increased glucose-uptake and consumption, </t>
    </r>
    <r>
      <rPr>
        <b/>
        <sz val="11"/>
        <color theme="1"/>
        <rFont val="Calibri"/>
        <family val="2"/>
        <scheme val="minor"/>
      </rPr>
      <t>2)</t>
    </r>
    <r>
      <rPr>
        <sz val="11"/>
        <color theme="1"/>
        <rFont val="Calibri"/>
        <family val="2"/>
        <scheme val="minor"/>
      </rPr>
      <t xml:space="preserve"> but also exhibit increased expression and enzymatic activity of the Pentose Phosphate pathway (PPP) enzyme Glucose-6-Phosphate Dehydrogenase (</t>
    </r>
    <r>
      <rPr>
        <b/>
        <sz val="11"/>
        <color theme="1"/>
        <rFont val="Calibri"/>
        <family val="2"/>
        <scheme val="minor"/>
      </rPr>
      <t>G6PDH</t>
    </r>
    <r>
      <rPr>
        <sz val="11"/>
        <color theme="1"/>
        <rFont val="Calibri"/>
        <family val="2"/>
        <scheme val="minor"/>
      </rPr>
      <t xml:space="preserve">). </t>
    </r>
    <r>
      <rPr>
        <b/>
        <sz val="11"/>
        <color theme="1"/>
        <rFont val="Calibri"/>
        <family val="2"/>
        <scheme val="minor"/>
      </rPr>
      <t>3) cisplatin</t>
    </r>
    <r>
      <rPr>
        <sz val="11"/>
        <color theme="1"/>
        <rFont val="Calibri"/>
        <family val="2"/>
        <scheme val="minor"/>
      </rPr>
      <t xml:space="preserve">-resistant cells are more sensitive to </t>
    </r>
    <r>
      <rPr>
        <b/>
        <sz val="11"/>
        <color theme="1"/>
        <rFont val="Calibri"/>
        <family val="2"/>
        <scheme val="minor"/>
      </rPr>
      <t>G6PDH</t>
    </r>
    <r>
      <rPr>
        <sz val="11"/>
        <color theme="1"/>
        <rFont val="Calibri"/>
        <family val="2"/>
        <scheme val="minor"/>
      </rPr>
      <t xml:space="preserve"> inhibition. </t>
    </r>
    <r>
      <rPr>
        <b/>
        <sz val="11"/>
        <color theme="1"/>
        <rFont val="Calibri"/>
        <family val="2"/>
        <scheme val="minor"/>
      </rPr>
      <t>4)</t>
    </r>
    <r>
      <rPr>
        <sz val="11"/>
        <color theme="1"/>
        <rFont val="Calibri"/>
        <family val="2"/>
        <scheme val="minor"/>
      </rPr>
      <t xml:space="preserve">  blocking the TGFβ1-FOXM1-HMGA1-</t>
    </r>
    <r>
      <rPr>
        <b/>
        <sz val="11"/>
        <color theme="1"/>
        <rFont val="Calibri"/>
        <family val="2"/>
        <scheme val="minor"/>
      </rPr>
      <t>G6PD</t>
    </r>
    <r>
      <rPr>
        <sz val="11"/>
        <color theme="1"/>
        <rFont val="Calibri"/>
        <family val="2"/>
        <scheme val="minor"/>
      </rPr>
      <t xml:space="preserve"> axis by knocking down FOXM1, HMGA1, or </t>
    </r>
    <r>
      <rPr>
        <b/>
        <sz val="11"/>
        <color theme="1"/>
        <rFont val="Calibri"/>
        <family val="2"/>
        <scheme val="minor"/>
      </rPr>
      <t>G6PD</t>
    </r>
    <r>
      <rPr>
        <sz val="11"/>
        <color theme="1"/>
        <rFont val="Calibri"/>
        <family val="2"/>
        <scheme val="minor"/>
      </rPr>
      <t xml:space="preserve"> individually impaired TGFβ1-induced </t>
    </r>
    <r>
      <rPr>
        <b/>
        <sz val="11"/>
        <color theme="1"/>
        <rFont val="Calibri"/>
        <family val="2"/>
        <scheme val="minor"/>
      </rPr>
      <t>cisplatin</t>
    </r>
    <r>
      <rPr>
        <sz val="11"/>
        <color theme="1"/>
        <rFont val="Calibri"/>
        <family val="2"/>
        <scheme val="minor"/>
      </rPr>
      <t xml:space="preserve"> resistance in </t>
    </r>
    <r>
      <rPr>
        <b/>
        <sz val="11"/>
        <color theme="1"/>
        <rFont val="Calibri"/>
        <family val="2"/>
        <scheme val="minor"/>
      </rPr>
      <t>lung</t>
    </r>
    <r>
      <rPr>
        <sz val="11"/>
        <color theme="1"/>
        <rFont val="Calibri"/>
        <family val="2"/>
        <scheme val="minor"/>
      </rPr>
      <t xml:space="preserve"> cancer H1299 and H226 cells. </t>
    </r>
    <r>
      <rPr>
        <b/>
        <sz val="11"/>
        <color theme="1"/>
        <rFont val="Calibri"/>
        <family val="2"/>
        <scheme val="minor"/>
      </rPr>
      <t>5)</t>
    </r>
    <r>
      <rPr>
        <sz val="11"/>
        <color theme="1"/>
        <rFont val="Calibri"/>
        <family val="2"/>
        <scheme val="minor"/>
      </rPr>
      <t xml:space="preserve"> silencing FOXM1, HMGA1, or </t>
    </r>
    <r>
      <rPr>
        <b/>
        <sz val="11"/>
        <color theme="1"/>
        <rFont val="Calibri"/>
        <family val="2"/>
        <scheme val="minor"/>
      </rPr>
      <t>G6PD</t>
    </r>
    <r>
      <rPr>
        <sz val="11"/>
        <color theme="1"/>
        <rFont val="Calibri"/>
        <family val="2"/>
        <scheme val="minor"/>
      </rPr>
      <t xml:space="preserve"> prevented TGFβ1 from eliminating ROS in </t>
    </r>
    <r>
      <rPr>
        <b/>
        <sz val="11"/>
        <color theme="1"/>
        <rFont val="Calibri"/>
        <family val="2"/>
        <scheme val="minor"/>
      </rPr>
      <t>cisplatin</t>
    </r>
    <r>
      <rPr>
        <sz val="11"/>
        <color theme="1"/>
        <rFont val="Calibri"/>
        <family val="2"/>
        <scheme val="minor"/>
      </rPr>
      <t xml:space="preserve">-treated cells. </t>
    </r>
    <r>
      <rPr>
        <b/>
        <sz val="11"/>
        <color theme="1"/>
        <rFont val="Calibri"/>
        <family val="2"/>
        <scheme val="minor"/>
      </rPr>
      <t>6)</t>
    </r>
    <r>
      <rPr>
        <sz val="11"/>
        <color theme="1"/>
        <rFont val="Calibri"/>
        <family val="2"/>
        <scheme val="minor"/>
      </rPr>
      <t xml:space="preserve"> immunohistochemical analysis in 216 </t>
    </r>
    <r>
      <rPr>
        <b/>
        <sz val="11"/>
        <color theme="1"/>
        <rFont val="Calibri"/>
        <family val="2"/>
        <scheme val="minor"/>
      </rPr>
      <t>NSCLC</t>
    </r>
    <r>
      <rPr>
        <sz val="11"/>
        <color theme="1"/>
        <rFont val="Calibri"/>
        <family val="2"/>
        <scheme val="minor"/>
      </rPr>
      <t xml:space="preserve"> patients was performed: positive correlations among the expression levels of </t>
    </r>
    <r>
      <rPr>
        <b/>
        <sz val="11"/>
        <color theme="1"/>
        <rFont val="Calibri"/>
        <family val="2"/>
        <scheme val="minor"/>
      </rPr>
      <t xml:space="preserve">FOXM1, HMGA1, </t>
    </r>
    <r>
      <rPr>
        <sz val="11"/>
        <color theme="1"/>
        <rFont val="Calibri"/>
        <family val="2"/>
        <scheme val="minor"/>
      </rPr>
      <t>and</t>
    </r>
    <r>
      <rPr>
        <b/>
        <sz val="11"/>
        <color theme="1"/>
        <rFont val="Calibri"/>
        <family val="2"/>
        <scheme val="minor"/>
      </rPr>
      <t xml:space="preserve"> G6PD </t>
    </r>
    <r>
      <rPr>
        <sz val="11"/>
        <color theme="1"/>
        <rFont val="Calibri"/>
        <family val="2"/>
        <scheme val="minor"/>
      </rPr>
      <t xml:space="preserve">in NSCLC tissues; Kaplan-Meier analysis showed that OS was worse among patients with high </t>
    </r>
    <r>
      <rPr>
        <b/>
        <sz val="11"/>
        <color theme="1"/>
        <rFont val="Calibri"/>
        <family val="2"/>
        <scheme val="minor"/>
      </rPr>
      <t>FOXM1, HMGA1</t>
    </r>
    <r>
      <rPr>
        <sz val="11"/>
        <color theme="1"/>
        <rFont val="Calibri"/>
        <family val="2"/>
        <scheme val="minor"/>
      </rPr>
      <t>, or</t>
    </r>
    <r>
      <rPr>
        <b/>
        <sz val="11"/>
        <color theme="1"/>
        <rFont val="Calibri"/>
        <family val="2"/>
        <scheme val="minor"/>
      </rPr>
      <t xml:space="preserve"> G6PD</t>
    </r>
    <r>
      <rPr>
        <sz val="11"/>
        <color theme="1"/>
        <rFont val="Calibri"/>
        <family val="2"/>
        <scheme val="minor"/>
      </rPr>
      <t xml:space="preserve"> staining than among those with low staining. </t>
    </r>
  </si>
  <si>
    <r>
      <rPr>
        <b/>
        <sz val="11"/>
        <color theme="1"/>
        <rFont val="Calibri"/>
        <family val="2"/>
        <scheme val="minor"/>
      </rPr>
      <t xml:space="preserve">1) </t>
    </r>
    <r>
      <rPr>
        <sz val="11"/>
        <color theme="1"/>
        <rFont val="Calibri"/>
        <family val="2"/>
        <scheme val="minor"/>
      </rPr>
      <t>we unexpectedly observed that</t>
    </r>
    <r>
      <rPr>
        <b/>
        <sz val="11"/>
        <color theme="1"/>
        <rFont val="Calibri"/>
        <family val="2"/>
        <scheme val="minor"/>
      </rPr>
      <t xml:space="preserve"> GABPA</t>
    </r>
    <r>
      <rPr>
        <sz val="11"/>
        <color theme="1"/>
        <rFont val="Calibri"/>
        <family val="2"/>
        <scheme val="minor"/>
      </rPr>
      <t xml:space="preserve"> ablation inhibited TERT expression, but robustly increased proliferation, stem, and invasive phenotypes and </t>
    </r>
    <r>
      <rPr>
        <b/>
        <sz val="11"/>
        <color theme="1"/>
        <rFont val="Calibri"/>
        <family val="2"/>
        <scheme val="minor"/>
      </rPr>
      <t>cisplatin resistance</t>
    </r>
    <r>
      <rPr>
        <sz val="11"/>
        <color theme="1"/>
        <rFont val="Calibri"/>
        <family val="2"/>
        <scheme val="minor"/>
      </rPr>
      <t xml:space="preserve"> in </t>
    </r>
    <r>
      <rPr>
        <b/>
        <sz val="11"/>
        <color theme="1"/>
        <rFont val="Calibri"/>
        <family val="2"/>
        <scheme val="minor"/>
      </rPr>
      <t>bladder BC</t>
    </r>
    <r>
      <rPr>
        <sz val="11"/>
        <color theme="1"/>
        <rFont val="Calibri"/>
        <family val="2"/>
        <scheme val="minor"/>
      </rPr>
      <t xml:space="preserve"> cells, while its overexpression exhibited opposite effects, and inhibited in vivo metastasizing in a xenograft transplant model. </t>
    </r>
    <r>
      <rPr>
        <b/>
        <sz val="11"/>
        <color theme="1"/>
        <rFont val="Calibri"/>
        <family val="2"/>
        <scheme val="minor"/>
      </rPr>
      <t>2)</t>
    </r>
    <r>
      <rPr>
        <sz val="11"/>
        <color theme="1"/>
        <rFont val="Calibri"/>
        <family val="2"/>
        <scheme val="minor"/>
      </rPr>
      <t xml:space="preserve"> The overall survival (OS) was significantly longer in patients with high-GABPA expression. </t>
    </r>
    <r>
      <rPr>
        <b/>
        <sz val="11"/>
        <color theme="1"/>
        <rFont val="Calibri"/>
        <family val="2"/>
        <scheme val="minor"/>
      </rPr>
      <t xml:space="preserve">3) </t>
    </r>
    <r>
      <rPr>
        <sz val="11"/>
        <color theme="1"/>
        <rFont val="Calibri"/>
        <family val="2"/>
        <scheme val="minor"/>
      </rPr>
      <t>the gene expression levels of NRF1, GA-binding protein transcription factor‑α (</t>
    </r>
    <r>
      <rPr>
        <b/>
        <sz val="11"/>
        <color theme="1"/>
        <rFont val="Calibri"/>
        <family val="2"/>
        <scheme val="minor"/>
      </rPr>
      <t>GABPA</t>
    </r>
    <r>
      <rPr>
        <sz val="11"/>
        <color theme="1"/>
        <rFont val="Calibri"/>
        <family val="2"/>
        <scheme val="minor"/>
      </rPr>
      <t xml:space="preserve">), TFAM and TFB1M were higher in the </t>
    </r>
    <r>
      <rPr>
        <b/>
        <sz val="11"/>
        <color theme="1"/>
        <rFont val="Calibri"/>
        <family val="2"/>
        <scheme val="minor"/>
      </rPr>
      <t>OC</t>
    </r>
    <r>
      <rPr>
        <sz val="11"/>
        <color theme="1"/>
        <rFont val="Calibri"/>
        <family val="2"/>
        <scheme val="minor"/>
      </rPr>
      <t xml:space="preserve"> SKOV3/</t>
    </r>
    <r>
      <rPr>
        <b/>
        <sz val="11"/>
        <color theme="1"/>
        <rFont val="Calibri"/>
        <family val="2"/>
        <scheme val="minor"/>
      </rPr>
      <t>DDP</t>
    </r>
    <r>
      <rPr>
        <sz val="11"/>
        <color theme="1"/>
        <rFont val="Calibri"/>
        <family val="2"/>
        <scheme val="minor"/>
      </rPr>
      <t xml:space="preserve"> cells than in the SKOV3 cells. </t>
    </r>
    <r>
      <rPr>
        <b/>
        <sz val="11"/>
        <color theme="1"/>
        <rFont val="Calibri"/>
        <family val="2"/>
        <scheme val="minor"/>
      </rPr>
      <t xml:space="preserve">4) </t>
    </r>
    <r>
      <rPr>
        <sz val="11"/>
        <color theme="1"/>
        <rFont val="Calibri"/>
        <family val="2"/>
        <scheme val="minor"/>
      </rPr>
      <t>Downstream targets</t>
    </r>
    <r>
      <rPr>
        <b/>
        <sz val="11"/>
        <color theme="1"/>
        <rFont val="Calibri"/>
        <family val="2"/>
        <scheme val="minor"/>
      </rPr>
      <t xml:space="preserve"> FoxA1</t>
    </r>
    <r>
      <rPr>
        <sz val="11"/>
        <color theme="1"/>
        <rFont val="Calibri"/>
        <family val="2"/>
        <scheme val="minor"/>
      </rPr>
      <t xml:space="preserve"> and </t>
    </r>
    <r>
      <rPr>
        <b/>
        <sz val="11"/>
        <color theme="1"/>
        <rFont val="Calibri"/>
        <family val="2"/>
        <scheme val="minor"/>
      </rPr>
      <t>GATA3</t>
    </r>
    <r>
      <rPr>
        <sz val="11"/>
        <color theme="1"/>
        <rFont val="Calibri"/>
        <family val="2"/>
        <scheme val="minor"/>
      </rPr>
      <t xml:space="preserve"> induce </t>
    </r>
    <r>
      <rPr>
        <b/>
        <sz val="11"/>
        <color theme="1"/>
        <rFont val="Calibri"/>
        <family val="2"/>
        <scheme val="minor"/>
      </rPr>
      <t>CDKN1A</t>
    </r>
    <r>
      <rPr>
        <sz val="11"/>
        <color theme="1"/>
        <rFont val="Calibri"/>
        <family val="2"/>
        <scheme val="minor"/>
      </rPr>
      <t xml:space="preserve"> and </t>
    </r>
    <r>
      <rPr>
        <b/>
        <sz val="11"/>
        <color theme="1"/>
        <rFont val="Calibri"/>
        <family val="2"/>
        <scheme val="minor"/>
      </rPr>
      <t>CDKN1B</t>
    </r>
    <r>
      <rPr>
        <sz val="11"/>
        <color theme="1"/>
        <rFont val="Calibri"/>
        <family val="2"/>
        <scheme val="minor"/>
      </rPr>
      <t xml:space="preserve"> expression transcriptionally. </t>
    </r>
  </si>
  <si>
    <r>
      <rPr>
        <b/>
        <sz val="11"/>
        <color theme="1"/>
        <rFont val="Calibri"/>
        <family val="2"/>
        <scheme val="minor"/>
      </rPr>
      <t xml:space="preserve">1) </t>
    </r>
    <r>
      <rPr>
        <sz val="11"/>
        <color theme="1"/>
        <rFont val="Calibri"/>
        <family val="2"/>
        <scheme val="minor"/>
      </rPr>
      <t>Antisense</t>
    </r>
    <r>
      <rPr>
        <b/>
        <sz val="11"/>
        <color theme="1"/>
        <rFont val="Calibri"/>
        <family val="2"/>
        <scheme val="minor"/>
      </rPr>
      <t xml:space="preserve"> GADD45</t>
    </r>
    <r>
      <rPr>
        <sz val="11"/>
        <color theme="1"/>
        <rFont val="Calibri"/>
        <family val="2"/>
        <scheme val="minor"/>
      </rPr>
      <t xml:space="preserve"> expression results in decreased DNA repair and sensitizes cells to u.v.-irradiation or cisplatin. </t>
    </r>
    <r>
      <rPr>
        <b/>
        <sz val="11"/>
        <color theme="1"/>
        <rFont val="Calibri"/>
        <family val="2"/>
        <scheme val="minor"/>
      </rPr>
      <t xml:space="preserve">2) </t>
    </r>
    <r>
      <rPr>
        <sz val="11"/>
        <color theme="1"/>
        <rFont val="Calibri"/>
        <family val="2"/>
        <scheme val="minor"/>
      </rPr>
      <t xml:space="preserve">Of FFPE samples of 61 </t>
    </r>
    <r>
      <rPr>
        <b/>
        <sz val="11"/>
        <color theme="1"/>
        <rFont val="Calibri"/>
        <family val="2"/>
        <scheme val="minor"/>
      </rPr>
      <t>Gastric</t>
    </r>
    <r>
      <rPr>
        <sz val="11"/>
        <color theme="1"/>
        <rFont val="Calibri"/>
        <family val="2"/>
        <scheme val="minor"/>
      </rPr>
      <t xml:space="preserve"> Cancerpatients who received a 5-fluorouracil (5-FU)– and </t>
    </r>
    <r>
      <rPr>
        <b/>
        <sz val="11"/>
        <color theme="1"/>
        <rFont val="Calibri"/>
        <family val="2"/>
        <scheme val="minor"/>
      </rPr>
      <t>cisplatin</t>
    </r>
    <r>
      <rPr>
        <sz val="11"/>
        <color theme="1"/>
        <rFont val="Calibri"/>
        <family val="2"/>
        <scheme val="minor"/>
      </rPr>
      <t xml:space="preserve">-based chemotherapy, high DPD levels were more frequently found in nonresponding patients and were associated with worse survival. </t>
    </r>
    <r>
      <rPr>
        <b/>
        <sz val="11"/>
        <color theme="1"/>
        <rFont val="Calibri"/>
        <family val="2"/>
        <scheme val="minor"/>
      </rPr>
      <t>3) GADD45A</t>
    </r>
    <r>
      <rPr>
        <sz val="11"/>
        <color theme="1"/>
        <rFont val="Calibri"/>
        <family val="2"/>
        <scheme val="minor"/>
      </rPr>
      <t xml:space="preserve"> and Thymidine Phosphorylase (TP) levels showed weak associations with response, but GADD45A expression correlated with survival. There was no association with response for TS expression, but tumors with a high TS level were associated with worse survival. The combination of GADD45A and TP revealed the strongest predictive effect. High expression values of TP and/or GADD45A were exclusively found in </t>
    </r>
    <r>
      <rPr>
        <b/>
        <sz val="11"/>
        <color theme="1"/>
        <rFont val="Calibri"/>
        <family val="2"/>
        <scheme val="minor"/>
      </rPr>
      <t>nonresponding</t>
    </r>
    <r>
      <rPr>
        <sz val="11"/>
        <color theme="1"/>
        <rFont val="Calibri"/>
        <family val="2"/>
        <scheme val="minor"/>
      </rPr>
      <t xml:space="preserve"> patients (P = 0.002) and were associated with a significantly poorer survival (P = 0.04).</t>
    </r>
  </si>
  <si>
    <r>
      <rPr>
        <b/>
        <sz val="11"/>
        <color theme="1"/>
        <rFont val="Calibri"/>
        <family val="2"/>
        <scheme val="minor"/>
      </rPr>
      <t xml:space="preserve">1) </t>
    </r>
    <r>
      <rPr>
        <sz val="11"/>
        <color theme="1"/>
        <rFont val="Calibri"/>
        <family val="2"/>
        <scheme val="minor"/>
      </rPr>
      <t>Acts as a negative regulator of G1 to S cell cycle phase progression by inhibiting cyclin-dependent kinases. </t>
    </r>
    <r>
      <rPr>
        <b/>
        <sz val="11"/>
        <color theme="1"/>
        <rFont val="Calibri"/>
        <family val="2"/>
        <scheme val="minor"/>
      </rPr>
      <t>2)</t>
    </r>
    <r>
      <rPr>
        <sz val="11"/>
        <color theme="1"/>
        <rFont val="Calibri"/>
        <family val="2"/>
        <scheme val="minor"/>
      </rPr>
      <t xml:space="preserve"> May play a role in mitochondrial protein synthesis.</t>
    </r>
  </si>
  <si>
    <r>
      <rPr>
        <b/>
        <sz val="11"/>
        <color theme="1"/>
        <rFont val="Calibri"/>
        <family val="2"/>
        <scheme val="minor"/>
      </rPr>
      <t xml:space="preserve">1) </t>
    </r>
    <r>
      <rPr>
        <sz val="11"/>
        <color theme="1"/>
        <rFont val="Calibri"/>
        <family val="2"/>
        <scheme val="minor"/>
      </rPr>
      <t>NAC1 expression was markedly negatively associated with growth arrest and DNA-damage-inducible 45γ-interacting protein 1 (</t>
    </r>
    <r>
      <rPr>
        <b/>
        <sz val="11"/>
        <color theme="1"/>
        <rFont val="Calibri"/>
        <family val="2"/>
        <scheme val="minor"/>
      </rPr>
      <t>GADD45GIP1</t>
    </r>
    <r>
      <rPr>
        <sz val="11"/>
        <color theme="1"/>
        <rFont val="Calibri"/>
        <family val="2"/>
        <scheme val="minor"/>
      </rPr>
      <t xml:space="preserve">) expression in ovarian cancer. </t>
    </r>
    <r>
      <rPr>
        <b/>
        <sz val="11"/>
        <color theme="1"/>
        <rFont val="Calibri"/>
        <family val="2"/>
        <scheme val="minor"/>
      </rPr>
      <t>2)</t>
    </r>
    <r>
      <rPr>
        <sz val="11"/>
        <color theme="1"/>
        <rFont val="Calibri"/>
        <family val="2"/>
        <scheme val="minor"/>
      </rPr>
      <t xml:space="preserve"> Increased NAC1 expression or decreased </t>
    </r>
    <r>
      <rPr>
        <b/>
        <sz val="11"/>
        <color theme="1"/>
        <rFont val="Calibri"/>
        <family val="2"/>
        <scheme val="minor"/>
      </rPr>
      <t xml:space="preserve">GADD45GIP1 </t>
    </r>
    <r>
      <rPr>
        <sz val="11"/>
        <color theme="1"/>
        <rFont val="Calibri"/>
        <family val="2"/>
        <scheme val="minor"/>
      </rPr>
      <t xml:space="preserve">expression was significantly associated with decreased progression-free survival (P=0.0041). </t>
    </r>
    <r>
      <rPr>
        <b/>
        <sz val="11"/>
        <color theme="1"/>
        <rFont val="Calibri"/>
        <family val="2"/>
        <scheme val="minor"/>
      </rPr>
      <t xml:space="preserve">3) </t>
    </r>
    <r>
      <rPr>
        <sz val="11"/>
        <color theme="1"/>
        <rFont val="Calibri"/>
        <family val="2"/>
        <scheme val="minor"/>
      </rPr>
      <t xml:space="preserve">knockdown of NAC1 by RNAi significantly increased GADD45GIP1 expression and </t>
    </r>
    <r>
      <rPr>
        <b/>
        <sz val="11"/>
        <color theme="1"/>
        <rFont val="Calibri"/>
        <family val="2"/>
        <scheme val="minor"/>
      </rPr>
      <t>cisplatin</t>
    </r>
    <r>
      <rPr>
        <sz val="11"/>
        <color theme="1"/>
        <rFont val="Calibri"/>
        <family val="2"/>
        <scheme val="minor"/>
      </rPr>
      <t xml:space="preserve"> cytotoxicity in SKOV3 cells. </t>
    </r>
    <r>
      <rPr>
        <b/>
        <sz val="11"/>
        <color theme="1"/>
        <rFont val="Calibri"/>
        <family val="2"/>
        <scheme val="minor"/>
      </rPr>
      <t>4)</t>
    </r>
    <r>
      <rPr>
        <sz val="11"/>
        <color theme="1"/>
        <rFont val="Calibri"/>
        <family val="2"/>
        <scheme val="minor"/>
      </rPr>
      <t xml:space="preserve"> Overexpression of NAC1 in TOV-21G cells increased the resistance to </t>
    </r>
    <r>
      <rPr>
        <b/>
        <sz val="11"/>
        <color theme="1"/>
        <rFont val="Calibri"/>
        <family val="2"/>
        <scheme val="minor"/>
      </rPr>
      <t>cisplatin</t>
    </r>
    <r>
      <rPr>
        <sz val="11"/>
        <color theme="1"/>
        <rFont val="Calibri"/>
        <family val="2"/>
        <scheme val="minor"/>
      </rPr>
      <t xml:space="preserve">. </t>
    </r>
    <r>
      <rPr>
        <b/>
        <sz val="11"/>
        <color theme="1"/>
        <rFont val="Calibri"/>
        <family val="2"/>
        <scheme val="minor"/>
      </rPr>
      <t xml:space="preserve">5) </t>
    </r>
    <r>
      <rPr>
        <sz val="11"/>
        <color theme="1"/>
        <rFont val="Calibri"/>
        <family val="2"/>
        <scheme val="minor"/>
      </rPr>
      <t xml:space="preserve">NAC1-dependent suppression of senescence, mediated through </t>
    </r>
    <r>
      <rPr>
        <b/>
        <sz val="11"/>
        <color theme="1"/>
        <rFont val="Calibri"/>
        <family val="2"/>
        <scheme val="minor"/>
      </rPr>
      <t>GADD45GIP1</t>
    </r>
    <r>
      <rPr>
        <sz val="11"/>
        <color theme="1"/>
        <rFont val="Calibri"/>
        <family val="2"/>
        <scheme val="minor"/>
      </rPr>
      <t xml:space="preserve">, serves an important role in promoting cisplatin resistance. </t>
    </r>
  </si>
  <si>
    <r>
      <rPr>
        <b/>
        <sz val="11"/>
        <color theme="1"/>
        <rFont val="Calibri"/>
        <family val="2"/>
        <scheme val="minor"/>
      </rPr>
      <t xml:space="preserve">1) </t>
    </r>
    <r>
      <rPr>
        <sz val="11"/>
        <color theme="1"/>
        <rFont val="Calibri"/>
        <family val="2"/>
        <scheme val="minor"/>
      </rPr>
      <t>γ-</t>
    </r>
    <r>
      <rPr>
        <b/>
        <sz val="11"/>
        <color theme="1"/>
        <rFont val="Calibri"/>
        <family val="2"/>
        <scheme val="minor"/>
      </rPr>
      <t>Glutamylcysteine synthetase</t>
    </r>
    <r>
      <rPr>
        <sz val="11"/>
        <color theme="1"/>
        <rFont val="Calibri"/>
        <family val="2"/>
        <scheme val="minor"/>
      </rPr>
      <t xml:space="preserve"> gene overexpression results in increased activity of the ATP-dependent glutathione S-conjugate export pump and </t>
    </r>
    <r>
      <rPr>
        <b/>
        <sz val="11"/>
        <color theme="1"/>
        <rFont val="Calibri"/>
        <family val="2"/>
        <scheme val="minor"/>
      </rPr>
      <t>cisplatin</t>
    </r>
    <r>
      <rPr>
        <sz val="11"/>
        <color theme="1"/>
        <rFont val="Calibri"/>
        <family val="2"/>
        <scheme val="minor"/>
      </rPr>
      <t xml:space="preserve"> resistance in human small-cell </t>
    </r>
    <r>
      <rPr>
        <b/>
        <sz val="11"/>
        <color theme="1"/>
        <rFont val="Calibri"/>
        <family val="2"/>
        <scheme val="minor"/>
      </rPr>
      <t>lung</t>
    </r>
    <r>
      <rPr>
        <sz val="11"/>
        <color theme="1"/>
        <rFont val="Calibri"/>
        <family val="2"/>
        <scheme val="minor"/>
      </rPr>
      <t xml:space="preserve"> cancer cell line, SBC-3. </t>
    </r>
    <r>
      <rPr>
        <b/>
        <sz val="11"/>
        <color theme="1"/>
        <rFont val="Calibri"/>
        <family val="2"/>
        <scheme val="minor"/>
      </rPr>
      <t xml:space="preserve">2) </t>
    </r>
    <r>
      <rPr>
        <sz val="11"/>
        <color theme="1"/>
        <rFont val="Calibri"/>
        <family val="2"/>
        <scheme val="minor"/>
      </rPr>
      <t xml:space="preserve">Of patients (n = 22) with advanced </t>
    </r>
    <r>
      <rPr>
        <b/>
        <sz val="11"/>
        <color theme="1"/>
        <rFont val="Calibri"/>
        <family val="2"/>
        <scheme val="minor"/>
      </rPr>
      <t>lung</t>
    </r>
    <r>
      <rPr>
        <sz val="11"/>
        <color theme="1"/>
        <rFont val="Calibri"/>
        <family val="2"/>
        <scheme val="minor"/>
      </rPr>
      <t xml:space="preserve"> adenocarcinoma</t>
    </r>
    <r>
      <rPr>
        <b/>
        <sz val="11"/>
        <color theme="1"/>
        <rFont val="Calibri"/>
        <family val="2"/>
        <scheme val="minor"/>
      </rPr>
      <t xml:space="preserve">, </t>
    </r>
    <r>
      <rPr>
        <sz val="11"/>
        <color theme="1"/>
        <rFont val="Calibri"/>
        <family val="2"/>
        <scheme val="minor"/>
      </rPr>
      <t xml:space="preserve">high expression of </t>
    </r>
    <r>
      <rPr>
        <b/>
        <sz val="11"/>
        <color theme="1"/>
        <rFont val="Calibri"/>
        <family val="2"/>
        <scheme val="minor"/>
      </rPr>
      <t xml:space="preserve">GCLC </t>
    </r>
    <r>
      <rPr>
        <sz val="11"/>
        <color theme="1"/>
        <rFont val="Calibri"/>
        <family val="2"/>
        <scheme val="minor"/>
      </rPr>
      <t xml:space="preserve">was a risk factor for poorer post-recurrence survival after </t>
    </r>
    <r>
      <rPr>
        <b/>
        <sz val="11"/>
        <color theme="1"/>
        <rFont val="Calibri"/>
        <family val="2"/>
        <scheme val="minor"/>
      </rPr>
      <t>cisplatin</t>
    </r>
    <r>
      <rPr>
        <sz val="11"/>
        <color theme="1"/>
        <rFont val="Calibri"/>
        <family val="2"/>
        <scheme val="minor"/>
      </rPr>
      <t>-based chemotherapy (hazard ratio, 6.26; 95% confidence interval, 1.37–28.7; P = 0.018).</t>
    </r>
    <r>
      <rPr>
        <b/>
        <sz val="11"/>
        <color theme="1"/>
        <rFont val="Calibri"/>
        <family val="2"/>
        <scheme val="minor"/>
      </rPr>
      <t xml:space="preserve"> 3)</t>
    </r>
    <r>
      <rPr>
        <sz val="11"/>
        <color theme="1"/>
        <rFont val="Calibri"/>
        <family val="2"/>
        <scheme val="minor"/>
      </rPr>
      <t xml:space="preserve"> shGCLC downregulated the protein expression of GCLC, decreased intracellular GSH level, and promoted cisplatin-induced apoptosis.  </t>
    </r>
  </si>
  <si>
    <r>
      <rPr>
        <b/>
        <sz val="11"/>
        <color theme="1"/>
        <rFont val="Calibri"/>
        <family val="2"/>
        <scheme val="minor"/>
      </rPr>
      <t>1)</t>
    </r>
    <r>
      <rPr>
        <sz val="11"/>
        <color theme="1"/>
        <rFont val="Calibri"/>
        <family val="2"/>
        <scheme val="minor"/>
      </rPr>
      <t xml:space="preserve"> We inhibited each subunit of </t>
    </r>
    <r>
      <rPr>
        <b/>
        <sz val="11"/>
        <color theme="1"/>
        <rFont val="Calibri"/>
        <family val="2"/>
        <scheme val="minor"/>
      </rPr>
      <t>GCL</t>
    </r>
    <r>
      <rPr>
        <sz val="11"/>
        <color theme="1"/>
        <rFont val="Calibri"/>
        <family val="2"/>
        <scheme val="minor"/>
      </rPr>
      <t xml:space="preserve"> mRNA using a specific ribozyme (</t>
    </r>
    <r>
      <rPr>
        <b/>
        <sz val="11"/>
        <color theme="1"/>
        <rFont val="Calibri"/>
        <family val="2"/>
        <scheme val="minor"/>
      </rPr>
      <t>M-Rz and C-Rz</t>
    </r>
    <r>
      <rPr>
        <sz val="11"/>
        <color theme="1"/>
        <rFont val="Calibri"/>
        <family val="2"/>
        <scheme val="minor"/>
      </rPr>
      <t xml:space="preserve">) in the </t>
    </r>
    <r>
      <rPr>
        <b/>
        <sz val="11"/>
        <color theme="1"/>
        <rFont val="Calibri"/>
        <family val="2"/>
        <scheme val="minor"/>
      </rPr>
      <t>pulmonary</t>
    </r>
    <r>
      <rPr>
        <sz val="11"/>
        <color theme="1"/>
        <rFont val="Calibri"/>
        <family val="2"/>
        <scheme val="minor"/>
      </rPr>
      <t xml:space="preserve"> adenocarcinoma cell line A549. </t>
    </r>
    <r>
      <rPr>
        <b/>
        <sz val="11"/>
        <color theme="1"/>
        <rFont val="Calibri"/>
        <family val="2"/>
        <scheme val="minor"/>
      </rPr>
      <t>2)</t>
    </r>
    <r>
      <rPr>
        <sz val="11"/>
        <color theme="1"/>
        <rFont val="Calibri"/>
        <family val="2"/>
        <scheme val="minor"/>
      </rPr>
      <t xml:space="preserve"> </t>
    </r>
    <r>
      <rPr>
        <b/>
        <sz val="11"/>
        <color theme="1"/>
        <rFont val="Calibri"/>
        <family val="2"/>
        <scheme val="minor"/>
      </rPr>
      <t>CDDP</t>
    </r>
    <r>
      <rPr>
        <sz val="11"/>
        <color theme="1"/>
        <rFont val="Calibri"/>
        <family val="2"/>
        <scheme val="minor"/>
      </rPr>
      <t xml:space="preserve">-resistance was more effectively ameliorated when </t>
    </r>
    <r>
      <rPr>
        <b/>
        <sz val="11"/>
        <color theme="1"/>
        <rFont val="Calibri"/>
        <family val="2"/>
        <scheme val="minor"/>
      </rPr>
      <t>GCLM</t>
    </r>
    <r>
      <rPr>
        <sz val="11"/>
        <color theme="1"/>
        <rFont val="Calibri"/>
        <family val="2"/>
        <scheme val="minor"/>
      </rPr>
      <t xml:space="preserve"> rather than </t>
    </r>
    <r>
      <rPr>
        <b/>
        <sz val="11"/>
        <color theme="1"/>
        <rFont val="Calibri"/>
        <family val="2"/>
        <scheme val="minor"/>
      </rPr>
      <t>GCLC</t>
    </r>
    <r>
      <rPr>
        <sz val="11"/>
        <color theme="1"/>
        <rFont val="Calibri"/>
        <family val="2"/>
        <scheme val="minor"/>
      </rPr>
      <t xml:space="preserve"> was inhibited. GCLM is a potentially more effective pharmacologic target for ameliorating CDDP-resistance in non-small cell lung cancer than GCLC. </t>
    </r>
    <r>
      <rPr>
        <b/>
        <sz val="11"/>
        <color theme="1"/>
        <rFont val="Calibri"/>
        <family val="2"/>
        <scheme val="minor"/>
      </rPr>
      <t xml:space="preserve">3) </t>
    </r>
    <r>
      <rPr>
        <sz val="11"/>
        <color theme="1"/>
        <rFont val="Calibri"/>
        <family val="2"/>
        <scheme val="minor"/>
      </rPr>
      <t>The endogenous expression levels of</t>
    </r>
    <r>
      <rPr>
        <b/>
        <sz val="11"/>
        <color theme="1"/>
        <rFont val="Calibri"/>
        <family val="2"/>
        <scheme val="minor"/>
      </rPr>
      <t xml:space="preserve"> Nrf2</t>
    </r>
    <r>
      <rPr>
        <sz val="11"/>
        <color theme="1"/>
        <rFont val="Calibri"/>
        <family val="2"/>
        <scheme val="minor"/>
      </rPr>
      <t xml:space="preserve"> as well as its target genes including </t>
    </r>
    <r>
      <rPr>
        <b/>
        <sz val="11"/>
        <color theme="1"/>
        <rFont val="Calibri"/>
        <family val="2"/>
        <scheme val="minor"/>
      </rPr>
      <t>GCLC, GCLM</t>
    </r>
    <r>
      <rPr>
        <sz val="11"/>
        <color theme="1"/>
        <rFont val="Calibri"/>
        <family val="2"/>
        <scheme val="minor"/>
      </rPr>
      <t xml:space="preserve">, HO-1, NQO1 and MRP1 were much higher in </t>
    </r>
    <r>
      <rPr>
        <b/>
        <sz val="11"/>
        <color theme="1"/>
        <rFont val="Calibri"/>
        <family val="2"/>
        <scheme val="minor"/>
      </rPr>
      <t>A549/DDP</t>
    </r>
    <r>
      <rPr>
        <sz val="11"/>
        <color theme="1"/>
        <rFont val="Calibri"/>
        <family val="2"/>
        <scheme val="minor"/>
      </rPr>
      <t xml:space="preserve"> cells than those of A549 cells and the susceptibility of A549/DDP cells to cisplatin was partially restored by silencing Nrf2. </t>
    </r>
    <r>
      <rPr>
        <b/>
        <sz val="11"/>
        <color theme="1"/>
        <rFont val="Calibri"/>
        <family val="2"/>
        <scheme val="minor"/>
      </rPr>
      <t>4)</t>
    </r>
    <r>
      <rPr>
        <sz val="11"/>
        <color theme="1"/>
        <rFont val="Calibri"/>
        <family val="2"/>
        <scheme val="minor"/>
      </rPr>
      <t xml:space="preserve"> We examined the gene expression of </t>
    </r>
    <r>
      <rPr>
        <b/>
        <sz val="11"/>
        <color theme="1"/>
        <rFont val="Calibri"/>
        <family val="2"/>
        <scheme val="minor"/>
      </rPr>
      <t>GCLM</t>
    </r>
    <r>
      <rPr>
        <sz val="11"/>
        <color theme="1"/>
        <rFont val="Calibri"/>
        <family val="2"/>
        <scheme val="minor"/>
      </rPr>
      <t xml:space="preserve"> and GCLC in four human SCLC xenografts: the overexpression of GCLM is correlated with CDDP-resistance in SCLC xenografts in vivo.</t>
    </r>
  </si>
  <si>
    <r>
      <rPr>
        <b/>
        <sz val="11"/>
        <color theme="1"/>
        <rFont val="Calibri"/>
        <family val="2"/>
        <scheme val="minor"/>
      </rPr>
      <t xml:space="preserve">1) </t>
    </r>
    <r>
      <rPr>
        <sz val="11"/>
        <color theme="1"/>
        <rFont val="Calibri"/>
        <family val="2"/>
        <scheme val="minor"/>
      </rPr>
      <t xml:space="preserve">Increasing levels of serum GDF15 was significantly associated with FIGO stage and lymphonodus metastasis. </t>
    </r>
    <r>
      <rPr>
        <b/>
        <sz val="11"/>
        <color theme="1"/>
        <rFont val="Calibri"/>
        <family val="2"/>
        <scheme val="minor"/>
      </rPr>
      <t>2)</t>
    </r>
    <r>
      <rPr>
        <sz val="11"/>
        <color theme="1"/>
        <rFont val="Calibri"/>
        <family val="2"/>
        <scheme val="minor"/>
      </rPr>
      <t xml:space="preserve"> The chemo-resistant EOC patients (median, 1225.0 pg/mL) showed significantly higher GDF15 than chemo-sensitive patients (median, 824.2 pg/mL; P = 0.013).</t>
    </r>
    <r>
      <rPr>
        <b/>
        <sz val="11"/>
        <color theme="1"/>
        <rFont val="Calibri"/>
        <family val="2"/>
        <scheme val="minor"/>
      </rPr>
      <t xml:space="preserve"> 3) </t>
    </r>
    <r>
      <rPr>
        <sz val="11"/>
        <color theme="1"/>
        <rFont val="Calibri"/>
        <family val="2"/>
        <scheme val="minor"/>
      </rPr>
      <t xml:space="preserve">Highly expressed GDF15 was an independent negative prognostic indicator in the PFS (P = 0.026) of the 122 EOC cases in the multivariate analysis. </t>
    </r>
    <r>
      <rPr>
        <b/>
        <sz val="11"/>
        <color theme="1"/>
        <rFont val="Calibri"/>
        <family val="2"/>
        <scheme val="minor"/>
      </rPr>
      <t xml:space="preserve">4) </t>
    </r>
    <r>
      <rPr>
        <sz val="11"/>
        <color theme="1"/>
        <rFont val="Calibri"/>
        <family val="2"/>
        <scheme val="minor"/>
      </rPr>
      <t xml:space="preserve">knockdown of GDF15 in </t>
    </r>
    <r>
      <rPr>
        <b/>
        <sz val="11"/>
        <color theme="1"/>
        <rFont val="Calibri"/>
        <family val="2"/>
        <scheme val="minor"/>
      </rPr>
      <t>cisplatin</t>
    </r>
    <r>
      <rPr>
        <sz val="11"/>
        <color theme="1"/>
        <rFont val="Calibri"/>
        <family val="2"/>
        <scheme val="minor"/>
      </rPr>
      <t xml:space="preserve">-resistant A2780cis in vivo resulted in enhanced subcutaneous tumor growth in mice but increased sensitivity to </t>
    </r>
    <r>
      <rPr>
        <b/>
        <sz val="11"/>
        <color theme="1"/>
        <rFont val="Calibri"/>
        <family val="2"/>
        <scheme val="minor"/>
      </rPr>
      <t>carboplatin</t>
    </r>
    <r>
      <rPr>
        <sz val="11"/>
        <color theme="1"/>
        <rFont val="Calibri"/>
        <family val="2"/>
        <scheme val="minor"/>
      </rPr>
      <t xml:space="preserve"> treatment. </t>
    </r>
    <r>
      <rPr>
        <b/>
        <sz val="11"/>
        <color theme="1"/>
        <rFont val="Calibri"/>
        <family val="2"/>
        <scheme val="minor"/>
      </rPr>
      <t xml:space="preserve">5) </t>
    </r>
    <r>
      <rPr>
        <sz val="11"/>
        <color theme="1"/>
        <rFont val="Calibri"/>
        <family val="2"/>
        <scheme val="minor"/>
      </rPr>
      <t xml:space="preserve">GDF15 may contribute to carboplatin resistance by suppressing tumor growth through p27. </t>
    </r>
    <r>
      <rPr>
        <b/>
        <sz val="11"/>
        <color theme="1"/>
        <rFont val="Calibri"/>
        <family val="2"/>
        <scheme val="minor"/>
      </rPr>
      <t>6)</t>
    </r>
    <r>
      <rPr>
        <sz val="11"/>
        <color theme="1"/>
        <rFont val="Calibri"/>
        <family val="2"/>
        <scheme val="minor"/>
      </rPr>
      <t xml:space="preserve"> </t>
    </r>
    <r>
      <rPr>
        <b/>
        <sz val="11"/>
        <color theme="1"/>
        <rFont val="Calibri"/>
        <family val="2"/>
        <scheme val="minor"/>
      </rPr>
      <t>Twist</t>
    </r>
    <r>
      <rPr>
        <sz val="11"/>
        <color theme="1"/>
        <rFont val="Calibri"/>
        <family val="2"/>
        <scheme val="minor"/>
      </rPr>
      <t xml:space="preserve"> knockdown significantly decreased </t>
    </r>
    <r>
      <rPr>
        <b/>
        <sz val="11"/>
        <color theme="1"/>
        <rFont val="Calibri"/>
        <family val="2"/>
        <scheme val="minor"/>
      </rPr>
      <t>GDF15</t>
    </r>
    <r>
      <rPr>
        <sz val="11"/>
        <color theme="1"/>
        <rFont val="Calibri"/>
        <family val="2"/>
        <scheme val="minor"/>
      </rPr>
      <t xml:space="preserve"> expression, cell invasion, matrix metalloproteinase‑2 expression/activity and the IC50 values of </t>
    </r>
    <r>
      <rPr>
        <b/>
        <sz val="11"/>
        <color theme="1"/>
        <rFont val="Calibri"/>
        <family val="2"/>
        <scheme val="minor"/>
      </rPr>
      <t>cisplatin</t>
    </r>
    <r>
      <rPr>
        <sz val="11"/>
        <color theme="1"/>
        <rFont val="Calibri"/>
        <family val="2"/>
        <scheme val="minor"/>
      </rPr>
      <t xml:space="preserve">, which was completely reversed by overexpression of </t>
    </r>
    <r>
      <rPr>
        <b/>
        <sz val="11"/>
        <color theme="1"/>
        <rFont val="Calibri"/>
        <family val="2"/>
        <scheme val="minor"/>
      </rPr>
      <t>GDF15</t>
    </r>
    <r>
      <rPr>
        <sz val="11"/>
        <color theme="1"/>
        <rFont val="Calibri"/>
        <family val="2"/>
        <scheme val="minor"/>
      </rPr>
      <t xml:space="preserve">. </t>
    </r>
  </si>
  <si>
    <r>
      <rPr>
        <b/>
        <sz val="11"/>
        <color theme="1"/>
        <rFont val="Calibri"/>
        <family val="2"/>
        <scheme val="minor"/>
      </rPr>
      <t>1)</t>
    </r>
    <r>
      <rPr>
        <sz val="11"/>
        <color theme="1"/>
        <rFont val="Calibri"/>
        <family val="2"/>
        <scheme val="minor"/>
      </rPr>
      <t xml:space="preserve"> GFRA1 contributes to the development of cisplatin-induced chemoresistance in </t>
    </r>
    <r>
      <rPr>
        <b/>
        <sz val="11"/>
        <color theme="1"/>
        <rFont val="Calibri"/>
        <family val="2"/>
        <scheme val="minor"/>
      </rPr>
      <t>osteo</t>
    </r>
    <r>
      <rPr>
        <sz val="11"/>
        <color theme="1"/>
        <rFont val="Calibri"/>
        <family val="2"/>
        <scheme val="minor"/>
      </rPr>
      <t xml:space="preserve">sarcoma by facilitating autophagy via SRC-AMP-activated protein kinase (AMPK) signaling. </t>
    </r>
    <r>
      <rPr>
        <b/>
        <sz val="11"/>
        <color theme="1"/>
        <rFont val="Calibri"/>
        <family val="2"/>
        <scheme val="minor"/>
      </rPr>
      <t>2)</t>
    </r>
    <r>
      <rPr>
        <sz val="11"/>
        <color theme="1"/>
        <rFont val="Calibri"/>
        <family val="2"/>
        <scheme val="minor"/>
      </rPr>
      <t xml:space="preserve"> high expression of sialyltransferase ST3GAL1 was associated with poor clinical outcome in patients with late stage </t>
    </r>
    <r>
      <rPr>
        <b/>
        <sz val="11"/>
        <color theme="1"/>
        <rFont val="Calibri"/>
        <family val="2"/>
        <scheme val="minor"/>
      </rPr>
      <t>breast</t>
    </r>
    <r>
      <rPr>
        <sz val="11"/>
        <color theme="1"/>
        <rFont val="Calibri"/>
        <family val="2"/>
        <scheme val="minor"/>
      </rPr>
      <t xml:space="preserve"> cancer and high expression of both ST3GAL1 and </t>
    </r>
    <r>
      <rPr>
        <b/>
        <sz val="11"/>
        <color theme="1"/>
        <rFont val="Calibri"/>
        <family val="2"/>
        <scheme val="minor"/>
      </rPr>
      <t>GFRA1</t>
    </r>
    <r>
      <rPr>
        <sz val="11"/>
        <color theme="1"/>
        <rFont val="Calibri"/>
        <family val="2"/>
        <scheme val="minor"/>
      </rPr>
      <t xml:space="preserve"> adversely impacted outcome in those with high grade tumors.</t>
    </r>
  </si>
  <si>
    <r>
      <rPr>
        <b/>
        <sz val="11"/>
        <color theme="1"/>
        <rFont val="Calibri"/>
        <family val="2"/>
        <scheme val="minor"/>
      </rPr>
      <t>1)</t>
    </r>
    <r>
      <rPr>
        <sz val="11"/>
        <color theme="1"/>
        <rFont val="Calibri"/>
        <family val="2"/>
        <scheme val="minor"/>
      </rPr>
      <t xml:space="preserve"> RNASET2 and </t>
    </r>
    <r>
      <rPr>
        <b/>
        <sz val="11"/>
        <color theme="1"/>
        <rFont val="Calibri"/>
        <family val="2"/>
        <scheme val="minor"/>
      </rPr>
      <t xml:space="preserve">GGNBP2 </t>
    </r>
    <r>
      <rPr>
        <sz val="11"/>
        <color theme="1"/>
        <rFont val="Calibri"/>
        <family val="2"/>
        <scheme val="minor"/>
      </rPr>
      <t>mRNA levels were significantly lower in A2780-CBP (</t>
    </r>
    <r>
      <rPr>
        <b/>
        <sz val="11"/>
        <color theme="1"/>
        <rFont val="Calibri"/>
        <family val="2"/>
        <scheme val="minor"/>
      </rPr>
      <t>carboplatin-resistant</t>
    </r>
    <r>
      <rPr>
        <sz val="11"/>
        <color theme="1"/>
        <rFont val="Calibri"/>
        <family val="2"/>
        <scheme val="minor"/>
      </rPr>
      <t xml:space="preserve">) and A2780-DDP (cisplatin-resistant) ovarian cancer cells than in the parental A2780 cells </t>
    </r>
    <r>
      <rPr>
        <b/>
        <sz val="11"/>
        <color theme="1"/>
        <rFont val="Calibri"/>
        <family val="2"/>
        <scheme val="minor"/>
      </rPr>
      <t xml:space="preserve">2) </t>
    </r>
    <r>
      <rPr>
        <sz val="11"/>
        <color theme="1"/>
        <rFont val="Calibri"/>
        <family val="2"/>
        <scheme val="minor"/>
      </rPr>
      <t xml:space="preserve">and were downregulated in drug-resistant ovarian cancer tissues compared with their drug-sensitive counterparts. </t>
    </r>
  </si>
  <si>
    <r>
      <rPr>
        <b/>
        <sz val="11"/>
        <color theme="1"/>
        <rFont val="Calibri"/>
        <family val="2"/>
        <scheme val="minor"/>
      </rPr>
      <t>1) cisplatin</t>
    </r>
    <r>
      <rPr>
        <sz val="11"/>
        <color theme="1"/>
        <rFont val="Calibri"/>
        <family val="2"/>
        <scheme val="minor"/>
      </rPr>
      <t xml:space="preserve"> treatment of </t>
    </r>
    <r>
      <rPr>
        <b/>
        <sz val="11"/>
        <color theme="1"/>
        <rFont val="Calibri"/>
        <family val="2"/>
        <scheme val="minor"/>
      </rPr>
      <t>HeLa</t>
    </r>
    <r>
      <rPr>
        <sz val="11"/>
        <color theme="1"/>
        <rFont val="Calibri"/>
        <family val="2"/>
        <scheme val="minor"/>
      </rPr>
      <t xml:space="preserve"> cells was accompanied by an early 3-fold induction of GGT synthesis. </t>
    </r>
    <r>
      <rPr>
        <b/>
        <sz val="11"/>
        <color theme="1"/>
        <rFont val="Calibri"/>
        <family val="2"/>
        <scheme val="minor"/>
      </rPr>
      <t>2)</t>
    </r>
    <r>
      <rPr>
        <sz val="11"/>
        <color theme="1"/>
        <rFont val="Calibri"/>
        <family val="2"/>
        <scheme val="minor"/>
      </rPr>
      <t xml:space="preserve"> Both cell lines showed comparable intracellular GSH levels and cisplatin resistance when cultured in high (250 microM) or low (50 microM) cysteine-containing medium. </t>
    </r>
    <r>
      <rPr>
        <b/>
        <sz val="11"/>
        <color theme="1"/>
        <rFont val="Calibri"/>
        <family val="2"/>
        <scheme val="minor"/>
      </rPr>
      <t>3)</t>
    </r>
    <r>
      <rPr>
        <sz val="11"/>
        <color theme="1"/>
        <rFont val="Calibri"/>
        <family val="2"/>
        <scheme val="minor"/>
      </rPr>
      <t xml:space="preserve"> When 50 microM of GSH were included in the low-cysteine culture medium only HeLa-GGT cells partially recovered their intracellular GSH and exhibited an increased resistance to</t>
    </r>
    <r>
      <rPr>
        <b/>
        <sz val="11"/>
        <color theme="1"/>
        <rFont val="Calibri"/>
        <family val="2"/>
        <scheme val="minor"/>
      </rPr>
      <t xml:space="preserve"> cisplatin</t>
    </r>
    <r>
      <rPr>
        <sz val="11"/>
        <color theme="1"/>
        <rFont val="Calibri"/>
        <family val="2"/>
        <scheme val="minor"/>
      </rPr>
      <t>.</t>
    </r>
    <r>
      <rPr>
        <b/>
        <sz val="11"/>
        <color theme="1"/>
        <rFont val="Calibri"/>
        <family val="2"/>
        <scheme val="minor"/>
      </rPr>
      <t xml:space="preserve"> 4)</t>
    </r>
    <r>
      <rPr>
        <sz val="11"/>
        <color theme="1"/>
        <rFont val="Calibri"/>
        <family val="2"/>
        <scheme val="minor"/>
      </rPr>
      <t xml:space="preserve"> Cisplatin treatment also inhibited GGT-dependent production of reactive oxygen species, a process depending on the availability of cysteinylglycine produced during GSH catabolism. </t>
    </r>
    <r>
      <rPr>
        <b/>
        <sz val="11"/>
        <color theme="1"/>
        <rFont val="Calibri"/>
        <family val="2"/>
        <scheme val="minor"/>
      </rPr>
      <t>5)</t>
    </r>
    <r>
      <rPr>
        <sz val="11"/>
        <color theme="1"/>
        <rFont val="Calibri"/>
        <family val="2"/>
        <scheme val="minor"/>
      </rPr>
      <t xml:space="preserve"> cisplatin forms adducts with cysteinylglycine 10 times more rapidly than with GSH, and that these adducts were formed only in the extracellular medium of HeLa GGT cells. </t>
    </r>
    <r>
      <rPr>
        <b/>
        <sz val="11"/>
        <color theme="1"/>
        <rFont val="Calibri"/>
        <family val="2"/>
        <scheme val="minor"/>
      </rPr>
      <t xml:space="preserve">6) </t>
    </r>
    <r>
      <rPr>
        <sz val="11"/>
        <color theme="1"/>
        <rFont val="Calibri"/>
        <family val="2"/>
        <scheme val="minor"/>
      </rPr>
      <t>Low GGT activity resulted in high cisplatin sensitivity, as observed in RPTEC-SV40 cells or after siRNA mediated knock-down of GGT in RPTEC/TERT1 cells that have high GGT activity.</t>
    </r>
  </si>
  <si>
    <r>
      <rPr>
        <b/>
        <sz val="11"/>
        <color theme="1"/>
        <rFont val="Calibri"/>
        <family val="2"/>
        <scheme val="minor"/>
      </rPr>
      <t>1) GJA1</t>
    </r>
    <r>
      <rPr>
        <sz val="11"/>
        <color theme="1"/>
        <rFont val="Calibri"/>
        <family val="2"/>
        <scheme val="minor"/>
      </rPr>
      <t xml:space="preserve"> (encoding </t>
    </r>
    <r>
      <rPr>
        <b/>
        <sz val="11"/>
        <color theme="1"/>
        <rFont val="Calibri"/>
        <family val="2"/>
        <scheme val="minor"/>
      </rPr>
      <t>connexin 43 (Cx43</t>
    </r>
    <r>
      <rPr>
        <sz val="11"/>
        <color theme="1"/>
        <rFont val="Calibri"/>
        <family val="2"/>
        <scheme val="minor"/>
      </rPr>
      <t xml:space="preserve">)) and TWIST1, which are highly upregulated in cisplatin-resistant cells. </t>
    </r>
    <r>
      <rPr>
        <b/>
        <sz val="11"/>
        <color theme="1"/>
        <rFont val="Calibri"/>
        <family val="2"/>
        <scheme val="minor"/>
      </rPr>
      <t xml:space="preserve">2) paradoxically, </t>
    </r>
    <r>
      <rPr>
        <sz val="11"/>
        <color theme="1"/>
        <rFont val="Calibri"/>
        <family val="2"/>
        <scheme val="minor"/>
      </rPr>
      <t>inhibition of Cx43 function in high expressing cells led to an increase in drug resistance</t>
    </r>
    <r>
      <rPr>
        <b/>
        <sz val="11"/>
        <color theme="1"/>
        <rFont val="Calibri"/>
        <family val="2"/>
        <scheme val="minor"/>
      </rPr>
      <t xml:space="preserve"> - </t>
    </r>
    <r>
      <rPr>
        <sz val="11"/>
        <color theme="1"/>
        <rFont val="Calibri"/>
        <family val="2"/>
        <scheme val="minor"/>
      </rPr>
      <t xml:space="preserve">Ga-p junction inhibitor, α-GA treatment of ACRP cells, led to a significant increase in </t>
    </r>
    <r>
      <rPr>
        <b/>
        <sz val="11"/>
        <color theme="1"/>
        <rFont val="Calibri"/>
        <family val="2"/>
        <scheme val="minor"/>
      </rPr>
      <t>cisplatin resistance</t>
    </r>
    <r>
      <rPr>
        <sz val="11"/>
        <color theme="1"/>
        <rFont val="Calibri"/>
        <family val="2"/>
        <scheme val="minor"/>
      </rPr>
      <t xml:space="preserve">. </t>
    </r>
    <r>
      <rPr>
        <b/>
        <sz val="11"/>
        <color theme="1"/>
        <rFont val="Calibri"/>
        <family val="2"/>
        <scheme val="minor"/>
      </rPr>
      <t>3)</t>
    </r>
    <r>
      <rPr>
        <sz val="11"/>
        <color theme="1"/>
        <rFont val="Calibri"/>
        <family val="2"/>
        <scheme val="minor"/>
      </rPr>
      <t xml:space="preserve"> cisplatin toxicity can also be mediated by functional gap junction intercellular communication (GJIC) </t>
    </r>
    <r>
      <rPr>
        <b/>
        <sz val="11"/>
        <color theme="1"/>
        <rFont val="Calibri"/>
        <family val="2"/>
        <scheme val="minor"/>
      </rPr>
      <t xml:space="preserve">(Bystander Effect) - </t>
    </r>
    <r>
      <rPr>
        <sz val="11"/>
        <color theme="1"/>
        <rFont val="Calibri"/>
        <family val="2"/>
        <scheme val="minor"/>
      </rPr>
      <t xml:space="preserve">cisplatin cytotoxicity is mediated by </t>
    </r>
    <r>
      <rPr>
        <b/>
        <sz val="11"/>
        <color theme="1"/>
        <rFont val="Calibri"/>
        <family val="2"/>
        <scheme val="minor"/>
      </rPr>
      <t>cellular density</t>
    </r>
    <r>
      <rPr>
        <sz val="11"/>
        <color theme="1"/>
        <rFont val="Calibri"/>
        <family val="2"/>
        <scheme val="minor"/>
      </rPr>
      <t xml:space="preserve"> (gap junction intercellular communication (GJIC)). </t>
    </r>
    <r>
      <rPr>
        <b/>
        <sz val="11"/>
        <color theme="1"/>
        <rFont val="Calibri"/>
        <family val="2"/>
        <scheme val="minor"/>
      </rPr>
      <t xml:space="preserve">4) </t>
    </r>
    <r>
      <rPr>
        <sz val="11"/>
        <color theme="1"/>
        <rFont val="Calibri"/>
        <family val="2"/>
        <scheme val="minor"/>
      </rPr>
      <t xml:space="preserve">At high or gap junction forming density, this effect is ablated when GJA1 or Connexin 43 (Cx43) is targeted, leading to </t>
    </r>
    <r>
      <rPr>
        <b/>
        <sz val="11"/>
        <color theme="1"/>
        <rFont val="Calibri"/>
        <family val="2"/>
        <scheme val="minor"/>
      </rPr>
      <t>cisplatin</t>
    </r>
    <r>
      <rPr>
        <sz val="11"/>
        <color theme="1"/>
        <rFont val="Calibri"/>
        <family val="2"/>
        <scheme val="minor"/>
      </rPr>
      <t xml:space="preserve"> resistance. </t>
    </r>
    <r>
      <rPr>
        <b/>
        <sz val="11"/>
        <color theme="1"/>
        <rFont val="Calibri"/>
        <family val="2"/>
        <scheme val="minor"/>
      </rPr>
      <t xml:space="preserve">5) </t>
    </r>
    <r>
      <rPr>
        <sz val="11"/>
        <color theme="1"/>
        <rFont val="Calibri"/>
        <family val="2"/>
        <scheme val="minor"/>
      </rPr>
      <t xml:space="preserve">reduced expression of both connexin 43 and E-cadherin significantly correlated to poor differentiation, advanced TNM stage, and lymph note metastasis of NSCLCs. </t>
    </r>
    <r>
      <rPr>
        <b/>
        <sz val="11"/>
        <color theme="1"/>
        <rFont val="Calibri"/>
        <family val="2"/>
        <scheme val="minor"/>
      </rPr>
      <t xml:space="preserve">6) </t>
    </r>
    <r>
      <rPr>
        <sz val="11"/>
        <color theme="1"/>
        <rFont val="Calibri"/>
        <family val="2"/>
        <scheme val="minor"/>
      </rPr>
      <t xml:space="preserve">Connexin 43 and E-cadherin expression significantly correlated with each other. Over-expression of connexin 43 significantly induced E-cadherin expression. </t>
    </r>
    <r>
      <rPr>
        <b/>
        <sz val="11"/>
        <color theme="1"/>
        <rFont val="Calibri"/>
        <family val="2"/>
        <scheme val="minor"/>
      </rPr>
      <t>7)</t>
    </r>
    <r>
      <rPr>
        <sz val="11"/>
        <color theme="1"/>
        <rFont val="Calibri"/>
        <family val="2"/>
        <scheme val="minor"/>
      </rPr>
      <t xml:space="preserve"> Better survival was associated with a high expression of Cx43 in unstratified and luminal tumors but with a low expression in Her2e subtype. </t>
    </r>
  </si>
  <si>
    <r>
      <rPr>
        <b/>
        <sz val="11"/>
        <color theme="1"/>
        <rFont val="Calibri"/>
        <family val="2"/>
        <scheme val="minor"/>
      </rPr>
      <t>1)</t>
    </r>
    <r>
      <rPr>
        <sz val="11"/>
        <color theme="1"/>
        <rFont val="Calibri"/>
        <family val="2"/>
        <scheme val="minor"/>
      </rPr>
      <t xml:space="preserve"> The Hedgehog pathway is molecularly linked to increased resistance to </t>
    </r>
    <r>
      <rPr>
        <b/>
        <sz val="11"/>
        <color theme="1"/>
        <rFont val="Calibri"/>
        <family val="2"/>
        <scheme val="minor"/>
      </rPr>
      <t>cisplatin</t>
    </r>
    <r>
      <rPr>
        <sz val="11"/>
        <color theme="1"/>
        <rFont val="Calibri"/>
        <family val="2"/>
        <scheme val="minor"/>
      </rPr>
      <t xml:space="preserve"> and increased repair of platinum-DNA damage, through C-JUN. </t>
    </r>
    <r>
      <rPr>
        <b/>
        <sz val="11"/>
        <color theme="1"/>
        <rFont val="Calibri"/>
        <family val="2"/>
        <scheme val="minor"/>
      </rPr>
      <t>2) GLI1</t>
    </r>
    <r>
      <rPr>
        <sz val="11"/>
        <color theme="1"/>
        <rFont val="Calibri"/>
        <family val="2"/>
        <scheme val="minor"/>
      </rPr>
      <t>, which has five known isoforms, is a positive transcriptional regulator in Hedgehog.</t>
    </r>
    <r>
      <rPr>
        <b/>
        <sz val="11"/>
        <color theme="1"/>
        <rFont val="Calibri"/>
        <family val="2"/>
        <scheme val="minor"/>
      </rPr>
      <t xml:space="preserve"> 3) </t>
    </r>
    <r>
      <rPr>
        <sz val="11"/>
        <color theme="1"/>
        <rFont val="Calibri"/>
        <family val="2"/>
        <scheme val="minor"/>
      </rPr>
      <t xml:space="preserve">only one of five isoforms of GLI1 may be responsible for the Hedgehog link with C-JUN and thus, increased platinum-DNA adduct repair. </t>
    </r>
    <r>
      <rPr>
        <b/>
        <sz val="11"/>
        <color theme="1"/>
        <rFont val="Calibri"/>
        <family val="2"/>
        <scheme val="minor"/>
      </rPr>
      <t xml:space="preserve">4) </t>
    </r>
    <r>
      <rPr>
        <sz val="11"/>
        <color theme="1"/>
        <rFont val="Calibri"/>
        <family val="2"/>
        <scheme val="minor"/>
      </rPr>
      <t xml:space="preserve">significant differences were also revealed in the expression levels of SMO (P=0.013) and GLI1 (P=0.0005) between the platinum drug-sensitive and drug-resistant groups. </t>
    </r>
    <r>
      <rPr>
        <b/>
        <sz val="11"/>
        <color theme="1"/>
        <rFont val="Calibri"/>
        <family val="2"/>
        <scheme val="minor"/>
      </rPr>
      <t>5)</t>
    </r>
    <r>
      <rPr>
        <sz val="11"/>
        <color theme="1"/>
        <rFont val="Calibri"/>
        <family val="2"/>
        <scheme val="minor"/>
      </rPr>
      <t xml:space="preserve"> The overexpression of SMO and GLI1 was further confirmed in the cisplatin-resistant ovarian cancer cell line A2780/DDP.</t>
    </r>
    <r>
      <rPr>
        <b/>
        <sz val="11"/>
        <color theme="1"/>
        <rFont val="Calibri"/>
        <family val="2"/>
        <scheme val="minor"/>
      </rPr>
      <t xml:space="preserve"> 6)</t>
    </r>
    <r>
      <rPr>
        <sz val="11"/>
        <color theme="1"/>
        <rFont val="Calibri"/>
        <family val="2"/>
        <scheme val="minor"/>
      </rPr>
      <t xml:space="preserve"> Inhibition of Gli1 expression decreases ABCB1 and ABCG2 gene expression levels and enhances the response of ovarian cancer cells to certain chemotherapeutic drugs. </t>
    </r>
  </si>
  <si>
    <r>
      <rPr>
        <b/>
        <sz val="11"/>
        <color theme="1"/>
        <rFont val="Calibri"/>
        <family val="2"/>
        <scheme val="minor"/>
      </rPr>
      <t>1) MiR-182-5p</t>
    </r>
    <r>
      <rPr>
        <sz val="11"/>
        <color theme="1"/>
        <rFont val="Calibri"/>
        <family val="2"/>
        <scheme val="minor"/>
      </rPr>
      <t xml:space="preserve"> was down-regulated in </t>
    </r>
    <r>
      <rPr>
        <b/>
        <sz val="11"/>
        <color theme="1"/>
        <rFont val="Calibri"/>
        <family val="2"/>
        <scheme val="minor"/>
      </rPr>
      <t>cisplatin</t>
    </r>
    <r>
      <rPr>
        <sz val="11"/>
        <color theme="1"/>
        <rFont val="Calibri"/>
        <family val="2"/>
        <scheme val="minor"/>
      </rPr>
      <t xml:space="preserve">-resistant </t>
    </r>
    <r>
      <rPr>
        <b/>
        <sz val="11"/>
        <color theme="1"/>
        <rFont val="Calibri"/>
        <family val="2"/>
        <scheme val="minor"/>
      </rPr>
      <t>Lung</t>
    </r>
    <r>
      <rPr>
        <sz val="11"/>
        <color theme="1"/>
        <rFont val="Calibri"/>
        <family val="2"/>
        <scheme val="minor"/>
      </rPr>
      <t xml:space="preserve"> Adenocarcinoma cells and directly targeted GLI2. </t>
    </r>
    <r>
      <rPr>
        <b/>
        <sz val="11"/>
        <color theme="1"/>
        <rFont val="Calibri"/>
        <family val="2"/>
        <scheme val="minor"/>
      </rPr>
      <t xml:space="preserve">2) </t>
    </r>
    <r>
      <rPr>
        <sz val="11"/>
        <color theme="1"/>
        <rFont val="Calibri"/>
        <family val="2"/>
        <scheme val="minor"/>
      </rPr>
      <t xml:space="preserve">Interference with miR-182-5p or </t>
    </r>
    <r>
      <rPr>
        <b/>
        <sz val="11"/>
        <color theme="1"/>
        <rFont val="Calibri"/>
        <family val="2"/>
        <scheme val="minor"/>
      </rPr>
      <t>GLI2</t>
    </r>
    <r>
      <rPr>
        <sz val="11"/>
        <color theme="1"/>
        <rFont val="Calibri"/>
        <family val="2"/>
        <scheme val="minor"/>
      </rPr>
      <t xml:space="preserve"> silencing resulted in modulation of cell proliferation, clonogenic potential, and cisplatin-sensitivity. </t>
    </r>
    <r>
      <rPr>
        <b/>
        <sz val="11"/>
        <color theme="1"/>
        <rFont val="Calibri"/>
        <family val="2"/>
        <scheme val="minor"/>
      </rPr>
      <t xml:space="preserve">3) </t>
    </r>
    <r>
      <rPr>
        <sz val="11"/>
        <color theme="1"/>
        <rFont val="Calibri"/>
        <family val="2"/>
        <scheme val="minor"/>
      </rPr>
      <t xml:space="preserve">Analysis of stem cell genes upregulated in recurrent high-grade </t>
    </r>
    <r>
      <rPr>
        <b/>
        <sz val="11"/>
        <color theme="1"/>
        <rFont val="Calibri"/>
        <family val="2"/>
        <scheme val="minor"/>
      </rPr>
      <t>ovarian</t>
    </r>
    <r>
      <rPr>
        <sz val="11"/>
        <color theme="1"/>
        <rFont val="Calibri"/>
        <family val="2"/>
        <scheme val="minor"/>
      </rPr>
      <t xml:space="preserve"> adenocarcinomas tumors reveals both primary mediators of the </t>
    </r>
    <r>
      <rPr>
        <b/>
        <sz val="11"/>
        <color theme="1"/>
        <rFont val="Calibri"/>
        <family val="2"/>
        <scheme val="minor"/>
      </rPr>
      <t>hedgehog</t>
    </r>
    <r>
      <rPr>
        <sz val="11"/>
        <color theme="1"/>
        <rFont val="Calibri"/>
        <family val="2"/>
        <scheme val="minor"/>
      </rPr>
      <t xml:space="preserve"> pathway </t>
    </r>
    <r>
      <rPr>
        <b/>
        <sz val="11"/>
        <color theme="1"/>
        <rFont val="Calibri"/>
        <family val="2"/>
        <scheme val="minor"/>
      </rPr>
      <t>(GLI1,2</t>
    </r>
    <r>
      <rPr>
        <sz val="11"/>
        <color theme="1"/>
        <rFont val="Calibri"/>
        <family val="2"/>
        <scheme val="minor"/>
      </rPr>
      <t xml:space="preserve">) to be increased after chemotherapy. </t>
    </r>
    <r>
      <rPr>
        <b/>
        <sz val="11"/>
        <color theme="1"/>
        <rFont val="Calibri"/>
        <family val="2"/>
        <scheme val="minor"/>
      </rPr>
      <t xml:space="preserve">4) </t>
    </r>
    <r>
      <rPr>
        <sz val="11"/>
        <color theme="1"/>
        <rFont val="Calibri"/>
        <family val="2"/>
        <scheme val="minor"/>
      </rPr>
      <t>A2780cp20 cells were found to express GLI1 2.05-fold higher and GLI2 1.40-fold higher (p&lt;0.001) than their parental line (A2780ip2), suggesting these hedgehog pathway members may be involved in mediating</t>
    </r>
    <r>
      <rPr>
        <b/>
        <sz val="11"/>
        <color theme="1"/>
        <rFont val="Calibri"/>
        <family val="2"/>
        <scheme val="minor"/>
      </rPr>
      <t xml:space="preserve"> platinum</t>
    </r>
    <r>
      <rPr>
        <sz val="11"/>
        <color theme="1"/>
        <rFont val="Calibri"/>
        <family val="2"/>
        <scheme val="minor"/>
      </rPr>
      <t xml:space="preserve"> resistance. </t>
    </r>
    <r>
      <rPr>
        <b/>
        <sz val="11"/>
        <color theme="1"/>
        <rFont val="Calibri"/>
        <family val="2"/>
        <scheme val="minor"/>
      </rPr>
      <t>5)</t>
    </r>
    <r>
      <rPr>
        <sz val="11"/>
        <color theme="1"/>
        <rFont val="Calibri"/>
        <family val="2"/>
        <scheme val="minor"/>
      </rPr>
      <t xml:space="preserve"> increased sensitivity to cisplatin was observed in both A2780cp20 and ES2 cell lines after knockdown of Gli2, but not Gli1. </t>
    </r>
  </si>
  <si>
    <r>
      <rPr>
        <b/>
        <sz val="11"/>
        <color theme="1"/>
        <rFont val="Calibri"/>
        <family val="2"/>
        <scheme val="minor"/>
      </rPr>
      <t>1)</t>
    </r>
    <r>
      <rPr>
        <sz val="11"/>
        <color theme="1"/>
        <rFont val="Calibri"/>
        <family val="2"/>
        <scheme val="minor"/>
      </rPr>
      <t xml:space="preserve"> increasing </t>
    </r>
    <r>
      <rPr>
        <b/>
        <sz val="11"/>
        <color theme="1"/>
        <rFont val="Calibri"/>
        <family val="2"/>
        <scheme val="minor"/>
      </rPr>
      <t>c-Myc</t>
    </r>
    <r>
      <rPr>
        <sz val="11"/>
        <color theme="1"/>
        <rFont val="Calibri"/>
        <family val="2"/>
        <scheme val="minor"/>
      </rPr>
      <t xml:space="preserve"> expression in both sensitive cell lines after 24 and 48hr cisplatin treatment (2uM). </t>
    </r>
    <r>
      <rPr>
        <b/>
        <sz val="11"/>
        <color theme="1"/>
        <rFont val="Calibri"/>
        <family val="2"/>
        <scheme val="minor"/>
      </rPr>
      <t xml:space="preserve">2) </t>
    </r>
    <r>
      <rPr>
        <sz val="11"/>
        <color theme="1"/>
        <rFont val="Calibri"/>
        <family val="2"/>
        <scheme val="minor"/>
      </rPr>
      <t xml:space="preserve">c-Myc expression is upregulated in platinum resistant compared to sensitive </t>
    </r>
    <r>
      <rPr>
        <b/>
        <sz val="11"/>
        <color theme="1"/>
        <rFont val="Calibri"/>
        <family val="2"/>
        <scheme val="minor"/>
      </rPr>
      <t>ovarian</t>
    </r>
    <r>
      <rPr>
        <sz val="11"/>
        <color theme="1"/>
        <rFont val="Calibri"/>
        <family val="2"/>
        <scheme val="minor"/>
      </rPr>
      <t xml:space="preserve"> cancer cell lines. </t>
    </r>
    <r>
      <rPr>
        <b/>
        <sz val="11"/>
        <color theme="1"/>
        <rFont val="Calibri"/>
        <family val="2"/>
        <scheme val="minor"/>
      </rPr>
      <t xml:space="preserve">3) </t>
    </r>
    <r>
      <rPr>
        <sz val="11"/>
        <color theme="1"/>
        <rFont val="Calibri"/>
        <family val="2"/>
        <scheme val="minor"/>
      </rPr>
      <t xml:space="preserve">In platinum-sensitive </t>
    </r>
    <r>
      <rPr>
        <b/>
        <sz val="11"/>
        <color theme="1"/>
        <rFont val="Calibri"/>
        <family val="2"/>
        <scheme val="minor"/>
      </rPr>
      <t>ovarian cancer</t>
    </r>
    <r>
      <rPr>
        <sz val="11"/>
        <color theme="1"/>
        <rFont val="Calibri"/>
        <family val="2"/>
        <scheme val="minor"/>
      </rPr>
      <t xml:space="preserve"> cell lines the metabolism of both, glucose and glutamine was initially up-regulated in response to platinum treatment. </t>
    </r>
    <r>
      <rPr>
        <b/>
        <sz val="11"/>
        <color theme="1"/>
        <rFont val="Calibri"/>
        <family val="2"/>
        <scheme val="minor"/>
      </rPr>
      <t xml:space="preserve">4) </t>
    </r>
    <r>
      <rPr>
        <sz val="11"/>
        <color theme="1"/>
        <rFont val="Calibri"/>
        <family val="2"/>
        <scheme val="minor"/>
      </rPr>
      <t xml:space="preserve">Platinum resistant cells were approximately 4-times more sensitive to </t>
    </r>
    <r>
      <rPr>
        <b/>
        <sz val="11"/>
        <color theme="1"/>
        <rFont val="Calibri"/>
        <family val="2"/>
        <scheme val="minor"/>
      </rPr>
      <t>glutamine deprivation</t>
    </r>
    <r>
      <rPr>
        <sz val="11"/>
        <color theme="1"/>
        <rFont val="Calibri"/>
        <family val="2"/>
        <scheme val="minor"/>
      </rPr>
      <t xml:space="preserve"> compared to sensitive cells, with an upregulated expression of glutamine transporter </t>
    </r>
    <r>
      <rPr>
        <b/>
        <sz val="11"/>
        <color theme="1"/>
        <rFont val="Calibri"/>
        <family val="2"/>
        <scheme val="minor"/>
      </rPr>
      <t>ASCT2</t>
    </r>
    <r>
      <rPr>
        <sz val="11"/>
        <color theme="1"/>
        <rFont val="Calibri"/>
        <family val="2"/>
        <scheme val="minor"/>
      </rPr>
      <t xml:space="preserve"> and </t>
    </r>
    <r>
      <rPr>
        <b/>
        <sz val="11"/>
        <color theme="1"/>
        <rFont val="Calibri"/>
        <family val="2"/>
        <scheme val="minor"/>
      </rPr>
      <t>glutaminase</t>
    </r>
    <r>
      <rPr>
        <sz val="11"/>
        <color theme="1"/>
        <rFont val="Calibri"/>
        <family val="2"/>
        <scheme val="minor"/>
      </rPr>
      <t xml:space="preserve">. </t>
    </r>
    <r>
      <rPr>
        <b/>
        <sz val="11"/>
        <color theme="1"/>
        <rFont val="Calibri"/>
        <family val="2"/>
        <scheme val="minor"/>
      </rPr>
      <t xml:space="preserve">5) </t>
    </r>
    <r>
      <rPr>
        <sz val="11"/>
        <color theme="1"/>
        <rFont val="Calibri"/>
        <family val="2"/>
        <scheme val="minor"/>
      </rPr>
      <t xml:space="preserve">This resulted in a higher </t>
    </r>
    <r>
      <rPr>
        <b/>
        <sz val="11"/>
        <color theme="1"/>
        <rFont val="Calibri"/>
        <family val="2"/>
        <scheme val="minor"/>
      </rPr>
      <t>oxygen consumption rate</t>
    </r>
    <r>
      <rPr>
        <sz val="11"/>
        <color theme="1"/>
        <rFont val="Calibri"/>
        <family val="2"/>
        <scheme val="minor"/>
      </rPr>
      <t xml:space="preserve"> compared to platinum-sensitive cell lines reflecting the increased dependency of glutamine utilization through the tricarboxylic acid cycle. </t>
    </r>
    <r>
      <rPr>
        <b/>
        <sz val="11"/>
        <color theme="1"/>
        <rFont val="Calibri"/>
        <family val="2"/>
        <scheme val="minor"/>
      </rPr>
      <t xml:space="preserve">6) </t>
    </r>
    <r>
      <rPr>
        <sz val="11"/>
        <color theme="1"/>
        <rFont val="Calibri"/>
        <family val="2"/>
        <scheme val="minor"/>
      </rPr>
      <t>The important role of glutamine metabolism was confirmed by stable overexpression of</t>
    </r>
    <r>
      <rPr>
        <b/>
        <sz val="11"/>
        <color theme="1"/>
        <rFont val="Calibri"/>
        <family val="2"/>
        <scheme val="minor"/>
      </rPr>
      <t xml:space="preserve"> glutaminase</t>
    </r>
    <r>
      <rPr>
        <sz val="11"/>
        <color theme="1"/>
        <rFont val="Calibri"/>
        <family val="2"/>
        <scheme val="minor"/>
      </rPr>
      <t xml:space="preserve">, which conferred platinum resistance. </t>
    </r>
    <r>
      <rPr>
        <b/>
        <sz val="11"/>
        <color theme="1"/>
        <rFont val="Calibri"/>
        <family val="2"/>
        <scheme val="minor"/>
      </rPr>
      <t xml:space="preserve">7) </t>
    </r>
    <r>
      <rPr>
        <sz val="11"/>
        <color theme="1"/>
        <rFont val="Calibri"/>
        <family val="2"/>
        <scheme val="minor"/>
      </rPr>
      <t xml:space="preserve">shRNA knockdown of glutaminase in platinum resistant cells resulted in re-sensitization to platinum treatment. </t>
    </r>
    <r>
      <rPr>
        <b/>
        <sz val="11"/>
        <color theme="1"/>
        <rFont val="Calibri"/>
        <family val="2"/>
        <scheme val="minor"/>
      </rPr>
      <t xml:space="preserve">8) </t>
    </r>
    <r>
      <rPr>
        <sz val="11"/>
        <color theme="1"/>
        <rFont val="Calibri"/>
        <family val="2"/>
        <scheme val="minor"/>
      </rPr>
      <t xml:space="preserve">combining the glutaminase inhibitor BPTES with platinum synergistically inhibited platinum sensitive and resistant ovarian cancers in vitro.  </t>
    </r>
    <r>
      <rPr>
        <b/>
        <sz val="11"/>
        <color theme="1"/>
        <rFont val="Calibri"/>
        <family val="2"/>
        <scheme val="minor"/>
      </rPr>
      <t>9) c-Myc</t>
    </r>
    <r>
      <rPr>
        <sz val="11"/>
        <color theme="1"/>
        <rFont val="Calibri"/>
        <family val="2"/>
        <scheme val="minor"/>
      </rPr>
      <t xml:space="preserve"> is the upstream regulator increasing the dependency of platinum resistant ovarian cancer cell lines on glutamine metabolism via the TCA cycle and in the regulation of</t>
    </r>
    <r>
      <rPr>
        <b/>
        <sz val="11"/>
        <color theme="1"/>
        <rFont val="Calibri"/>
        <family val="2"/>
        <scheme val="minor"/>
      </rPr>
      <t xml:space="preserve"> oxidative phosphorylation</t>
    </r>
    <r>
      <rPr>
        <sz val="11"/>
        <color theme="1"/>
        <rFont val="Calibri"/>
        <family val="2"/>
        <scheme val="minor"/>
      </rPr>
      <t xml:space="preserve">. </t>
    </r>
    <r>
      <rPr>
        <b/>
        <sz val="11"/>
        <color theme="1"/>
        <rFont val="Calibri"/>
        <family val="2"/>
        <scheme val="minor"/>
      </rPr>
      <t>10) A</t>
    </r>
    <r>
      <rPr>
        <sz val="11"/>
        <color theme="1"/>
        <rFont val="Calibri"/>
        <family val="2"/>
        <scheme val="minor"/>
      </rPr>
      <t xml:space="preserve"> significant correlation between higher levels of glutaminase gene expression and reduced </t>
    </r>
    <r>
      <rPr>
        <b/>
        <sz val="11"/>
        <color theme="1"/>
        <rFont val="Calibri"/>
        <family val="2"/>
        <scheme val="minor"/>
      </rPr>
      <t xml:space="preserve">progression free and overall survival. </t>
    </r>
  </si>
  <si>
    <r>
      <rPr>
        <b/>
        <sz val="11"/>
        <color theme="1"/>
        <rFont val="Calibri"/>
        <family val="2"/>
        <scheme val="minor"/>
      </rPr>
      <t>1)</t>
    </r>
    <r>
      <rPr>
        <sz val="11"/>
        <color theme="1"/>
        <rFont val="Calibri"/>
        <family val="2"/>
        <scheme val="minor"/>
      </rPr>
      <t xml:space="preserve"> The cross-resistance to </t>
    </r>
    <r>
      <rPr>
        <b/>
        <sz val="11"/>
        <color theme="1"/>
        <rFont val="Calibri"/>
        <family val="2"/>
        <scheme val="minor"/>
      </rPr>
      <t>cisplatin</t>
    </r>
    <r>
      <rPr>
        <sz val="11"/>
        <color theme="1"/>
        <rFont val="Calibri"/>
        <family val="2"/>
        <scheme val="minor"/>
      </rPr>
      <t xml:space="preserve"> is due to increased expression and altered N-linked glycosylation of MRP1 or MRP4. </t>
    </r>
    <r>
      <rPr>
        <b/>
        <sz val="11"/>
        <color theme="1"/>
        <rFont val="Calibri"/>
        <family val="2"/>
        <scheme val="minor"/>
      </rPr>
      <t>2)</t>
    </r>
    <r>
      <rPr>
        <sz val="11"/>
        <color theme="1"/>
        <rFont val="Calibri"/>
        <family val="2"/>
        <scheme val="minor"/>
      </rPr>
      <t xml:space="preserve"> Pre-treatment with tunicamycin, which inhibits the biosynthesis of N-linked oligosaccharides, results in Pt-resistance in sensitive cells and increased the electrophoretic mobility of MRP1 and MRP4, reproducing the association between decreased glycosylation of MRP1 and MRP4 and decreased Pt accumulation observed in the resistant Ovarian IGROV-1/OHP cells. </t>
    </r>
    <r>
      <rPr>
        <b/>
        <sz val="11"/>
        <color theme="1"/>
        <rFont val="Calibri"/>
        <family val="2"/>
        <scheme val="minor"/>
      </rPr>
      <t>3)</t>
    </r>
    <r>
      <rPr>
        <sz val="11"/>
        <color theme="1"/>
        <rFont val="Calibri"/>
        <family val="2"/>
        <scheme val="minor"/>
      </rPr>
      <t xml:space="preserve"> The observed N-glycosylation defect of Pt-resistant cells was linked to reduced levels of N-acetylglucosamine-1-phosphotransferase (</t>
    </r>
    <r>
      <rPr>
        <b/>
        <sz val="11"/>
        <color theme="1"/>
        <rFont val="Calibri"/>
        <family val="2"/>
        <scheme val="minor"/>
      </rPr>
      <t>GNPTG</t>
    </r>
    <r>
      <rPr>
        <sz val="11"/>
        <color theme="1"/>
        <rFont val="Calibri"/>
        <family val="2"/>
        <scheme val="minor"/>
      </rPr>
      <t>) and mannosyl (alpha-1,6-)-glycoprotein beta-1,6-N-acetyl-glucosaminyltransferase (</t>
    </r>
    <r>
      <rPr>
        <b/>
        <sz val="11"/>
        <color theme="1"/>
        <rFont val="Calibri"/>
        <family val="2"/>
        <scheme val="minor"/>
      </rPr>
      <t>MGAT5</t>
    </r>
    <r>
      <rPr>
        <sz val="11"/>
        <color theme="1"/>
        <rFont val="Calibri"/>
        <family val="2"/>
        <scheme val="minor"/>
      </rPr>
      <t xml:space="preserve">).  </t>
    </r>
  </si>
  <si>
    <r>
      <rPr>
        <b/>
        <sz val="11"/>
        <color theme="1"/>
        <rFont val="Calibri"/>
        <family val="2"/>
        <scheme val="minor"/>
      </rPr>
      <t>1)</t>
    </r>
    <r>
      <rPr>
        <sz val="11"/>
        <color theme="1"/>
        <rFont val="Calibri"/>
        <family val="2"/>
        <scheme val="minor"/>
      </rPr>
      <t xml:space="preserve"> </t>
    </r>
    <r>
      <rPr>
        <b/>
        <sz val="11"/>
        <color theme="1"/>
        <rFont val="Calibri"/>
        <family val="2"/>
        <scheme val="minor"/>
      </rPr>
      <t>Colorectal</t>
    </r>
    <r>
      <rPr>
        <sz val="11"/>
        <color theme="1"/>
        <rFont val="Calibri"/>
        <family val="2"/>
        <scheme val="minor"/>
      </rPr>
      <t xml:space="preserve"> HT29 cells were resistant to 10 µM </t>
    </r>
    <r>
      <rPr>
        <b/>
        <sz val="11"/>
        <color theme="1"/>
        <rFont val="Calibri"/>
        <family val="2"/>
        <scheme val="minor"/>
      </rPr>
      <t>cisplatin</t>
    </r>
    <r>
      <rPr>
        <sz val="11"/>
        <color theme="1"/>
        <rFont val="Calibri"/>
        <family val="2"/>
        <scheme val="minor"/>
      </rPr>
      <t xml:space="preserve"> treatment, whereas the expression of </t>
    </r>
    <r>
      <rPr>
        <b/>
        <sz val="11"/>
        <color theme="1"/>
        <rFont val="Calibri"/>
        <family val="2"/>
        <scheme val="minor"/>
      </rPr>
      <t>GOLPH3</t>
    </r>
    <r>
      <rPr>
        <sz val="11"/>
        <color theme="1"/>
        <rFont val="Calibri"/>
        <family val="2"/>
        <scheme val="minor"/>
      </rPr>
      <t xml:space="preserve">, P-glycoprotein, phosphorylated extracellular signal-regulated kinase (pERK)1/2 and β-catenin protein was significantly upregulated compared with the control group. </t>
    </r>
    <r>
      <rPr>
        <b/>
        <sz val="11"/>
        <color theme="1"/>
        <rFont val="Calibri"/>
        <family val="2"/>
        <scheme val="minor"/>
      </rPr>
      <t xml:space="preserve">2) </t>
    </r>
    <r>
      <rPr>
        <sz val="11"/>
        <color theme="1"/>
        <rFont val="Calibri"/>
        <family val="2"/>
        <scheme val="minor"/>
      </rPr>
      <t xml:space="preserve">With cisplatin treatment, silencing GOLPH3 gene expression downregulated the expression of these proteins, reduced cell proliferation and tumorigenicity, induced apoptosis and reversed the resistance of HT29 cells to cisplatin. </t>
    </r>
    <r>
      <rPr>
        <b/>
        <sz val="11"/>
        <color theme="1"/>
        <rFont val="Calibri"/>
        <family val="2"/>
        <scheme val="minor"/>
      </rPr>
      <t>3)</t>
    </r>
    <r>
      <rPr>
        <sz val="11"/>
        <color theme="1"/>
        <rFont val="Calibri"/>
        <family val="2"/>
        <scheme val="minor"/>
      </rPr>
      <t xml:space="preserve"> the change in pERK1/2 and β-catenin expression demonstrated that the mechanism of GOLPH3 overexpression involved in cisplatin resistance was associated with activation of the mitogen-activated protein kinase/ERK and Wnt/β‑catenin signaling pathways in HT29 cells. </t>
    </r>
    <r>
      <rPr>
        <b/>
        <sz val="11"/>
        <color theme="1"/>
        <rFont val="Calibri"/>
        <family val="2"/>
        <scheme val="minor"/>
      </rPr>
      <t>4)</t>
    </r>
    <r>
      <rPr>
        <sz val="11"/>
        <color theme="1"/>
        <rFont val="Calibri"/>
        <family val="2"/>
        <scheme val="minor"/>
      </rPr>
      <t xml:space="preserve"> The tumorigenicity experiment in nude mice also demonstrated that silencing GOLPH3 expression increased the sensitivity of HT29 cells to cisplatin in vivo.</t>
    </r>
    <r>
      <rPr>
        <b/>
        <sz val="11"/>
        <color theme="1"/>
        <rFont val="Calibri"/>
        <family val="2"/>
        <scheme val="minor"/>
      </rPr>
      <t xml:space="preserve"> 5) </t>
    </r>
    <r>
      <rPr>
        <sz val="11"/>
        <color theme="1"/>
        <rFont val="Calibri"/>
        <family val="2"/>
        <scheme val="minor"/>
      </rPr>
      <t xml:space="preserve">GOLPH3 is overexpressed in </t>
    </r>
    <r>
      <rPr>
        <b/>
        <sz val="11"/>
        <color theme="1"/>
        <rFont val="Calibri"/>
        <family val="2"/>
        <scheme val="minor"/>
      </rPr>
      <t>colorectal</t>
    </r>
    <r>
      <rPr>
        <sz val="11"/>
        <color theme="1"/>
        <rFont val="Calibri"/>
        <family val="2"/>
        <scheme val="minor"/>
      </rPr>
      <t xml:space="preserve"> cancer tissues and promotes the proliferation of colon cancer cells. </t>
    </r>
    <r>
      <rPr>
        <b/>
        <sz val="11"/>
        <color theme="1"/>
        <rFont val="Calibri"/>
        <family val="2"/>
        <scheme val="minor"/>
      </rPr>
      <t xml:space="preserve">6) </t>
    </r>
    <r>
      <rPr>
        <sz val="11"/>
        <color theme="1"/>
        <rFont val="Calibri"/>
        <family val="2"/>
        <scheme val="minor"/>
      </rPr>
      <t xml:space="preserve">GOLPH3 was associated with poor prognosis in colorectal cancer. </t>
    </r>
    <r>
      <rPr>
        <b/>
        <sz val="11"/>
        <color theme="1"/>
        <rFont val="Calibri"/>
        <family val="2"/>
        <scheme val="minor"/>
      </rPr>
      <t xml:space="preserve">7) Ovarian </t>
    </r>
    <r>
      <rPr>
        <sz val="11"/>
        <color theme="1"/>
        <rFont val="Calibri"/>
        <family val="2"/>
        <scheme val="minor"/>
      </rPr>
      <t xml:space="preserve">cancer patients with low dispersed cytoplasmic GOLPH3 expression had significantly longer overall survival than patients with high dispersed cytoplasmic expression. </t>
    </r>
  </si>
  <si>
    <r>
      <rPr>
        <b/>
        <sz val="11"/>
        <color theme="1"/>
        <rFont val="Calibri"/>
        <family val="2"/>
        <scheme val="minor"/>
      </rPr>
      <t>1)</t>
    </r>
    <r>
      <rPr>
        <sz val="11"/>
        <color theme="1"/>
        <rFont val="Calibri"/>
        <family val="2"/>
        <scheme val="minor"/>
      </rPr>
      <t xml:space="preserve"> The expression of GOLPH3L was markedly upregulated in ovarian cancer cell lines and tissues, </t>
    </r>
    <r>
      <rPr>
        <b/>
        <sz val="11"/>
        <color theme="1"/>
        <rFont val="Calibri"/>
        <family val="2"/>
        <scheme val="minor"/>
      </rPr>
      <t xml:space="preserve">2) </t>
    </r>
    <r>
      <rPr>
        <sz val="11"/>
        <color theme="1"/>
        <rFont val="Calibri"/>
        <family val="2"/>
        <scheme val="minor"/>
      </rPr>
      <t xml:space="preserve">high GOLPH3L expression was associated with an aggressive phenotype and poor prognosis with ovarian cancer patients. </t>
    </r>
    <r>
      <rPr>
        <b/>
        <sz val="11"/>
        <color theme="1"/>
        <rFont val="Calibri"/>
        <family val="2"/>
        <scheme val="minor"/>
      </rPr>
      <t>3)</t>
    </r>
    <r>
      <rPr>
        <sz val="11"/>
        <color theme="1"/>
        <rFont val="Calibri"/>
        <family val="2"/>
        <scheme val="minor"/>
      </rPr>
      <t xml:space="preserve"> GOLPH3L overexpression confers CDDP resistance on ovarian cancer cells; </t>
    </r>
    <r>
      <rPr>
        <b/>
        <sz val="11"/>
        <color theme="1"/>
        <rFont val="Calibri"/>
        <family val="2"/>
        <scheme val="minor"/>
      </rPr>
      <t xml:space="preserve">4) </t>
    </r>
    <r>
      <rPr>
        <sz val="11"/>
        <color theme="1"/>
        <rFont val="Calibri"/>
        <family val="2"/>
        <scheme val="minor"/>
      </rPr>
      <t xml:space="preserve">inhibition of GOLPH3L sensitized ovarian cancer cell lines to CDDP cytotoxicity both in vitro and in vivo. </t>
    </r>
    <r>
      <rPr>
        <b/>
        <sz val="11"/>
        <color theme="1"/>
        <rFont val="Calibri"/>
        <family val="2"/>
        <scheme val="minor"/>
      </rPr>
      <t>5)</t>
    </r>
    <r>
      <rPr>
        <sz val="11"/>
        <color theme="1"/>
        <rFont val="Calibri"/>
        <family val="2"/>
        <scheme val="minor"/>
      </rPr>
      <t xml:space="preserve"> GOLPH3L upregulated the levels of nuclear p65 and phosphorylated inhibitor of nuclear factor Kappa-B kinase-β and IκBα, thereby activating canonical nuclear factor-κB (NF-κB) signaling.</t>
    </r>
  </si>
  <si>
    <r>
      <rPr>
        <b/>
        <sz val="11"/>
        <color theme="1"/>
        <rFont val="Calibri"/>
        <family val="2"/>
        <scheme val="minor"/>
      </rPr>
      <t>1)</t>
    </r>
    <r>
      <rPr>
        <sz val="11"/>
        <color theme="1"/>
        <rFont val="Calibri"/>
        <family val="2"/>
        <scheme val="minor"/>
      </rPr>
      <t xml:space="preserve"> </t>
    </r>
    <r>
      <rPr>
        <b/>
        <sz val="11"/>
        <color theme="1"/>
        <rFont val="Calibri"/>
        <family val="2"/>
        <scheme val="minor"/>
      </rPr>
      <t>GPBP1</t>
    </r>
    <r>
      <rPr>
        <sz val="11"/>
        <color theme="1"/>
        <rFont val="Calibri"/>
        <family val="2"/>
        <scheme val="minor"/>
      </rPr>
      <t xml:space="preserve"> knockdown resulted in the upregulation of distinct and canonical HR factors such as BRCA1 and RAD51B in response to BMN673. </t>
    </r>
    <r>
      <rPr>
        <b/>
        <sz val="11"/>
        <color theme="1"/>
        <rFont val="Calibri"/>
        <family val="2"/>
        <scheme val="minor"/>
      </rPr>
      <t xml:space="preserve">2) </t>
    </r>
    <r>
      <rPr>
        <sz val="11"/>
        <color theme="1"/>
        <rFont val="Calibri"/>
        <family val="2"/>
        <scheme val="minor"/>
      </rPr>
      <t xml:space="preserve">GPBP1 Loss Causes PARP and </t>
    </r>
    <r>
      <rPr>
        <b/>
        <sz val="11"/>
        <color theme="1"/>
        <rFont val="Calibri"/>
        <family val="2"/>
        <scheme val="minor"/>
      </rPr>
      <t>Platinum Resistance</t>
    </r>
    <r>
      <rPr>
        <sz val="11"/>
        <color theme="1"/>
        <rFont val="Calibri"/>
        <family val="2"/>
        <scheme val="minor"/>
      </rPr>
      <t xml:space="preserve"> by Regulating the Expression of Factors Involved in HR in MCF10A cells. </t>
    </r>
    <r>
      <rPr>
        <b/>
        <sz val="11"/>
        <color theme="1"/>
        <rFont val="Calibri"/>
        <family val="2"/>
        <scheme val="minor"/>
      </rPr>
      <t>3)</t>
    </r>
    <r>
      <rPr>
        <sz val="11"/>
        <color theme="1"/>
        <rFont val="Calibri"/>
        <family val="2"/>
        <scheme val="minor"/>
      </rPr>
      <t xml:space="preserve"> In the TCGA </t>
    </r>
    <r>
      <rPr>
        <b/>
        <sz val="11"/>
        <color theme="1"/>
        <rFont val="Calibri"/>
        <family val="2"/>
        <scheme val="minor"/>
      </rPr>
      <t>ovarian</t>
    </r>
    <r>
      <rPr>
        <sz val="11"/>
        <color theme="1"/>
        <rFont val="Calibri"/>
        <family val="2"/>
        <scheme val="minor"/>
      </rPr>
      <t xml:space="preserve"> cohort, survival analysis indicated that GPBP1 loss was associated with poor outcome and resistance to </t>
    </r>
    <r>
      <rPr>
        <b/>
        <sz val="11"/>
        <color theme="1"/>
        <rFont val="Calibri"/>
        <family val="2"/>
        <scheme val="minor"/>
      </rPr>
      <t>platinum</t>
    </r>
    <r>
      <rPr>
        <sz val="11"/>
        <color theme="1"/>
        <rFont val="Calibri"/>
        <family val="2"/>
        <scheme val="minor"/>
      </rPr>
      <t xml:space="preserve"> therapy. </t>
    </r>
  </si>
  <si>
    <r>
      <rPr>
        <b/>
        <sz val="11"/>
        <color theme="1"/>
        <rFont val="Calibri"/>
        <family val="2"/>
        <scheme val="minor"/>
      </rPr>
      <t xml:space="preserve">1) </t>
    </r>
    <r>
      <rPr>
        <sz val="11"/>
        <color theme="1"/>
        <rFont val="Calibri"/>
        <family val="2"/>
        <scheme val="minor"/>
      </rPr>
      <t xml:space="preserve">Using high-grade serous </t>
    </r>
    <r>
      <rPr>
        <b/>
        <sz val="11"/>
        <color theme="1"/>
        <rFont val="Calibri"/>
        <family val="2"/>
        <scheme val="minor"/>
      </rPr>
      <t xml:space="preserve">ovarian </t>
    </r>
    <r>
      <rPr>
        <sz val="11"/>
        <color theme="1"/>
        <rFont val="Calibri"/>
        <family val="2"/>
        <scheme val="minor"/>
      </rPr>
      <t xml:space="preserve">cancer (HGSC) patient material and cell lines: robust </t>
    </r>
    <r>
      <rPr>
        <b/>
        <sz val="11"/>
        <color theme="1"/>
        <rFont val="Calibri"/>
        <family val="2"/>
        <scheme val="minor"/>
      </rPr>
      <t>cisplatin</t>
    </r>
    <r>
      <rPr>
        <sz val="11"/>
        <color theme="1"/>
        <rFont val="Calibri"/>
        <family val="2"/>
        <scheme val="minor"/>
      </rPr>
      <t xml:space="preserve"> and </t>
    </r>
    <r>
      <rPr>
        <b/>
        <sz val="11"/>
        <color theme="1"/>
        <rFont val="Calibri"/>
        <family val="2"/>
        <scheme val="minor"/>
      </rPr>
      <t>carboplatin</t>
    </r>
    <r>
      <rPr>
        <sz val="11"/>
        <color theme="1"/>
        <rFont val="Calibri"/>
        <family val="2"/>
        <scheme val="minor"/>
      </rPr>
      <t xml:space="preserve">-induced </t>
    </r>
    <r>
      <rPr>
        <b/>
        <sz val="11"/>
        <color theme="1"/>
        <rFont val="Calibri"/>
        <family val="2"/>
        <scheme val="minor"/>
      </rPr>
      <t>ERK1/2-RSK1/2-EphA2-GPRC5A</t>
    </r>
    <r>
      <rPr>
        <sz val="11"/>
        <color theme="1"/>
        <rFont val="Calibri"/>
        <family val="2"/>
        <scheme val="minor"/>
      </rPr>
      <t xml:space="preserve"> signaling switch associated with cancer cell intrinsic and acquired chemoresistance. </t>
    </r>
    <r>
      <rPr>
        <b/>
        <sz val="11"/>
        <color theme="1"/>
        <rFont val="Calibri"/>
        <family val="2"/>
        <scheme val="minor"/>
      </rPr>
      <t>2)</t>
    </r>
    <r>
      <rPr>
        <sz val="11"/>
        <color theme="1"/>
        <rFont val="Calibri"/>
        <family val="2"/>
        <scheme val="minor"/>
      </rPr>
      <t xml:space="preserve"> inhibition or knockdown of RSK1/2 prevented oncogenic </t>
    </r>
    <r>
      <rPr>
        <b/>
        <sz val="11"/>
        <color theme="1"/>
        <rFont val="Calibri"/>
        <family val="2"/>
        <scheme val="minor"/>
      </rPr>
      <t>EphA2</t>
    </r>
    <r>
      <rPr>
        <sz val="11"/>
        <color theme="1"/>
        <rFont val="Calibri"/>
        <family val="2"/>
        <scheme val="minor"/>
      </rPr>
      <t xml:space="preserve">-S897 phosphorylation and </t>
    </r>
    <r>
      <rPr>
        <b/>
        <sz val="11"/>
        <color theme="1"/>
        <rFont val="Calibri"/>
        <family val="2"/>
        <scheme val="minor"/>
      </rPr>
      <t>EphA2-GPRC5A</t>
    </r>
    <r>
      <rPr>
        <sz val="11"/>
        <color theme="1"/>
        <rFont val="Calibri"/>
        <family val="2"/>
        <scheme val="minor"/>
      </rPr>
      <t xml:space="preserve"> co-regulation, leading to downregulation of EphA2. </t>
    </r>
    <r>
      <rPr>
        <b/>
        <sz val="11"/>
        <color theme="1"/>
        <rFont val="Calibri"/>
        <family val="2"/>
        <scheme val="minor"/>
      </rPr>
      <t xml:space="preserve">3) </t>
    </r>
    <r>
      <rPr>
        <sz val="11"/>
        <color theme="1"/>
        <rFont val="Calibri"/>
        <family val="2"/>
        <scheme val="minor"/>
      </rPr>
      <t xml:space="preserve">In combination with </t>
    </r>
    <r>
      <rPr>
        <b/>
        <sz val="11"/>
        <color theme="1"/>
        <rFont val="Calibri"/>
        <family val="2"/>
        <scheme val="minor"/>
      </rPr>
      <t>platinum</t>
    </r>
    <r>
      <rPr>
        <sz val="11"/>
        <color theme="1"/>
        <rFont val="Calibri"/>
        <family val="2"/>
        <scheme val="minor"/>
      </rPr>
      <t xml:space="preserve">, RSK inhibitors effectively sensitized even the most platinum-resistant EphA2high , GPRC5Ahigh cells. </t>
    </r>
    <r>
      <rPr>
        <b/>
        <sz val="11"/>
        <color theme="1"/>
        <rFont val="Calibri"/>
        <family val="2"/>
        <scheme val="minor"/>
      </rPr>
      <t xml:space="preserve">4) </t>
    </r>
    <r>
      <rPr>
        <sz val="11"/>
        <color theme="1"/>
        <rFont val="Calibri"/>
        <family val="2"/>
        <scheme val="minor"/>
      </rPr>
      <t xml:space="preserve">In HGSC patient tumors, </t>
    </r>
    <r>
      <rPr>
        <b/>
        <sz val="11"/>
        <color theme="1"/>
        <rFont val="Calibri"/>
        <family val="2"/>
        <scheme val="minor"/>
      </rPr>
      <t>GPRC5A</t>
    </r>
    <r>
      <rPr>
        <sz val="11"/>
        <color theme="1"/>
        <rFont val="Calibri"/>
        <family val="2"/>
        <scheme val="minor"/>
      </rPr>
      <t xml:space="preserve"> was expressed exclusively in cancer cells and associated with chemotherapy resistance and poor survival. </t>
    </r>
  </si>
  <si>
    <r>
      <rPr>
        <b/>
        <sz val="11"/>
        <color theme="1"/>
        <rFont val="Calibri"/>
        <family val="2"/>
        <scheme val="minor"/>
      </rPr>
      <t xml:space="preserve">1) </t>
    </r>
    <r>
      <rPr>
        <sz val="11"/>
        <color theme="1"/>
        <rFont val="Calibri"/>
        <family val="2"/>
        <scheme val="minor"/>
      </rPr>
      <t>Serum levels of GPX3 were found to be significantly lower in patients than controls (p = 1 × 10-2).</t>
    </r>
    <r>
      <rPr>
        <b/>
        <sz val="11"/>
        <color theme="1"/>
        <rFont val="Calibri"/>
        <family val="2"/>
        <scheme val="minor"/>
      </rPr>
      <t xml:space="preserve"> 2) </t>
    </r>
    <r>
      <rPr>
        <sz val="11"/>
        <color theme="1"/>
        <rFont val="Calibri"/>
        <family val="2"/>
        <scheme val="minor"/>
      </rPr>
      <t xml:space="preserve">this was found to be dependent on the stage of papillary serous </t>
    </r>
    <r>
      <rPr>
        <b/>
        <sz val="11"/>
        <color theme="1"/>
        <rFont val="Calibri"/>
        <family val="2"/>
        <scheme val="minor"/>
      </rPr>
      <t xml:space="preserve">ovarian </t>
    </r>
    <r>
      <rPr>
        <sz val="11"/>
        <color theme="1"/>
        <rFont val="Calibri"/>
        <family val="2"/>
        <scheme val="minor"/>
      </rPr>
      <t>cancer.</t>
    </r>
    <r>
      <rPr>
        <b/>
        <sz val="11"/>
        <color theme="1"/>
        <rFont val="Calibri"/>
        <family val="2"/>
        <scheme val="minor"/>
      </rPr>
      <t xml:space="preserve"> 3) </t>
    </r>
    <r>
      <rPr>
        <sz val="11"/>
        <color theme="1"/>
        <rFont val="Calibri"/>
        <family val="2"/>
        <scheme val="minor"/>
      </rPr>
      <t xml:space="preserve">GPX3 promoter region methylation in approximately one third of </t>
    </r>
    <r>
      <rPr>
        <b/>
        <sz val="11"/>
        <color theme="1"/>
        <rFont val="Calibri"/>
        <family val="2"/>
        <scheme val="minor"/>
      </rPr>
      <t>colorectal</t>
    </r>
    <r>
      <rPr>
        <sz val="11"/>
        <color theme="1"/>
        <rFont val="Calibri"/>
        <family val="2"/>
        <scheme val="minor"/>
      </rPr>
      <t xml:space="preserve"> cancer (CRC) samples. </t>
    </r>
    <r>
      <rPr>
        <b/>
        <sz val="11"/>
        <color theme="1"/>
        <rFont val="Calibri"/>
        <family val="2"/>
        <scheme val="minor"/>
      </rPr>
      <t xml:space="preserve">4) </t>
    </r>
    <r>
      <rPr>
        <sz val="11"/>
        <color theme="1"/>
        <rFont val="Calibri"/>
        <family val="2"/>
        <scheme val="minor"/>
      </rPr>
      <t>GPX3 methylation leads to reduced GPX3 expression and increased oxaliplatin and cisplatin sensitivity.</t>
    </r>
    <r>
      <rPr>
        <b/>
        <sz val="11"/>
        <color theme="1"/>
        <rFont val="Calibri"/>
        <family val="2"/>
        <scheme val="minor"/>
      </rPr>
      <t xml:space="preserve"> 5)</t>
    </r>
    <r>
      <rPr>
        <sz val="11"/>
        <color theme="1"/>
        <rFont val="Calibri"/>
        <family val="2"/>
        <scheme val="minor"/>
      </rPr>
      <t xml:space="preserve"> in cell lines with high baseline levels of GPX3 expression or with the ability to increase GPX3 expression, platinum resistance is increased.</t>
    </r>
    <r>
      <rPr>
        <b/>
        <sz val="11"/>
        <color theme="1"/>
        <rFont val="Calibri"/>
        <family val="2"/>
        <scheme val="minor"/>
      </rPr>
      <t xml:space="preserve"> 6) </t>
    </r>
    <r>
      <rPr>
        <sz val="11"/>
        <color theme="1"/>
        <rFont val="Calibri"/>
        <family val="2"/>
        <scheme val="minor"/>
      </rPr>
      <t xml:space="preserve">GPX3 methylation predicts tumor xenograft sensitivity to platinum with regression of GPX3 knockdown xenografts with platinum treatment but continued growth of GPX3 wild type xenografts in the presence of platinum. </t>
    </r>
  </si>
  <si>
    <r>
      <rPr>
        <b/>
        <sz val="11"/>
        <color theme="1"/>
        <rFont val="Calibri"/>
        <family val="2"/>
        <scheme val="minor"/>
      </rPr>
      <t>1) GPX4</t>
    </r>
    <r>
      <rPr>
        <sz val="11"/>
        <color theme="1"/>
        <rFont val="Calibri"/>
        <family val="2"/>
        <scheme val="minor"/>
      </rPr>
      <t xml:space="preserve"> was higher expressed in cancer tissues than normal and was negatively associated with prognosis of patients. </t>
    </r>
    <r>
      <rPr>
        <b/>
        <sz val="11"/>
        <color theme="1"/>
        <rFont val="Calibri"/>
        <family val="2"/>
        <scheme val="minor"/>
      </rPr>
      <t>2)</t>
    </r>
    <r>
      <rPr>
        <sz val="11"/>
        <color theme="1"/>
        <rFont val="Calibri"/>
        <family val="2"/>
        <scheme val="minor"/>
      </rPr>
      <t xml:space="preserve"> at upstream of GPX4 there was low DNA methylation sites and enhanced level of H3K4me3 and H3K27ac, indicating that high level of GPX4 in cancer may resulted from epigenetic regulation. </t>
    </r>
    <r>
      <rPr>
        <b/>
        <sz val="11"/>
        <color theme="1"/>
        <rFont val="Calibri"/>
        <family val="2"/>
        <scheme val="minor"/>
      </rPr>
      <t>3) GPX4</t>
    </r>
    <r>
      <rPr>
        <sz val="11"/>
        <color theme="1"/>
        <rFont val="Calibri"/>
        <family val="2"/>
        <scheme val="minor"/>
      </rPr>
      <t xml:space="preserve"> may potentially be involved in translation of protein, mitochondrial respiratory chain complex I assembly, electron transport oxidative phosphorylation, nonalcoholic fatty liver disease, and metabolic pathways. </t>
    </r>
    <r>
      <rPr>
        <b/>
        <sz val="11"/>
        <color theme="1"/>
        <rFont val="Calibri"/>
        <family val="2"/>
        <scheme val="minor"/>
      </rPr>
      <t>4) GPX4</t>
    </r>
    <r>
      <rPr>
        <sz val="11"/>
        <color theme="1"/>
        <rFont val="Calibri"/>
        <family val="2"/>
        <scheme val="minor"/>
      </rPr>
      <t xml:space="preserve"> inhibited ferroptosis in cancer cells, the inhibition of GPX4 via RSL3 could enhance the anticancer effect of </t>
    </r>
    <r>
      <rPr>
        <b/>
        <sz val="11"/>
        <color theme="1"/>
        <rFont val="Calibri"/>
        <family val="2"/>
        <scheme val="minor"/>
      </rPr>
      <t>cisplatin</t>
    </r>
    <r>
      <rPr>
        <sz val="11"/>
        <color theme="1"/>
        <rFont val="Calibri"/>
        <family val="2"/>
        <scheme val="minor"/>
      </rPr>
      <t xml:space="preserve"> in vitro and in vivo. </t>
    </r>
  </si>
  <si>
    <r>
      <rPr>
        <b/>
        <sz val="11"/>
        <color theme="1"/>
        <rFont val="Calibri"/>
        <family val="2"/>
        <scheme val="minor"/>
      </rPr>
      <t>1)</t>
    </r>
    <r>
      <rPr>
        <sz val="11"/>
        <color theme="1"/>
        <rFont val="Calibri"/>
        <family val="2"/>
        <scheme val="minor"/>
      </rPr>
      <t xml:space="preserve"> the development of platinum resistance correlated with upregulation of </t>
    </r>
    <r>
      <rPr>
        <b/>
        <sz val="11"/>
        <color theme="1"/>
        <rFont val="Calibri"/>
        <family val="2"/>
        <scheme val="minor"/>
      </rPr>
      <t>ROR2</t>
    </r>
    <r>
      <rPr>
        <sz val="11"/>
        <color theme="1"/>
        <rFont val="Calibri"/>
        <family val="2"/>
        <scheme val="minor"/>
      </rPr>
      <t xml:space="preserve">, whereas </t>
    </r>
    <r>
      <rPr>
        <b/>
        <sz val="11"/>
        <color theme="1"/>
        <rFont val="Calibri"/>
        <family val="2"/>
        <scheme val="minor"/>
      </rPr>
      <t>GREB1</t>
    </r>
    <r>
      <rPr>
        <sz val="11"/>
        <color theme="1"/>
        <rFont val="Calibri"/>
        <family val="2"/>
        <scheme val="minor"/>
      </rPr>
      <t xml:space="preserve"> was downregulated. </t>
    </r>
    <r>
      <rPr>
        <b/>
        <sz val="11"/>
        <color theme="1"/>
        <rFont val="Calibri"/>
        <family val="2"/>
        <scheme val="minor"/>
      </rPr>
      <t>2) GREB1</t>
    </r>
    <r>
      <rPr>
        <sz val="11"/>
        <color theme="1"/>
        <rFont val="Calibri"/>
        <family val="2"/>
        <scheme val="minor"/>
      </rPr>
      <t xml:space="preserve"> Expression Defines </t>
    </r>
    <r>
      <rPr>
        <b/>
        <sz val="11"/>
        <color theme="1"/>
        <rFont val="Calibri"/>
        <family val="2"/>
        <scheme val="minor"/>
      </rPr>
      <t>Platinum</t>
    </r>
    <r>
      <rPr>
        <sz val="11"/>
        <color theme="1"/>
        <rFont val="Calibri"/>
        <family val="2"/>
        <scheme val="minor"/>
      </rPr>
      <t xml:space="preserve"> Sensitivity and Correlates with Longer PFS in </t>
    </r>
    <r>
      <rPr>
        <b/>
        <sz val="11"/>
        <color theme="1"/>
        <rFont val="Calibri"/>
        <family val="2"/>
        <scheme val="minor"/>
      </rPr>
      <t>Ovarian</t>
    </r>
    <r>
      <rPr>
        <sz val="11"/>
        <color theme="1"/>
        <rFont val="Calibri"/>
        <family val="2"/>
        <scheme val="minor"/>
      </rPr>
      <t xml:space="preserve"> Cancer. </t>
    </r>
    <r>
      <rPr>
        <b/>
        <sz val="11"/>
        <color theme="1"/>
        <rFont val="Calibri"/>
        <family val="2"/>
        <scheme val="minor"/>
      </rPr>
      <t>3) GREB1</t>
    </r>
    <r>
      <rPr>
        <sz val="11"/>
        <color theme="1"/>
        <rFont val="Calibri"/>
        <family val="2"/>
        <scheme val="minor"/>
      </rPr>
      <t xml:space="preserve"> mRNA level was downregulated in cisplatin-resistant A2780cis compared to A2780 parental cells. </t>
    </r>
    <r>
      <rPr>
        <b/>
        <sz val="11"/>
        <color theme="1"/>
        <rFont val="Calibri"/>
        <family val="2"/>
        <scheme val="minor"/>
      </rPr>
      <t xml:space="preserve">4) </t>
    </r>
    <r>
      <rPr>
        <sz val="11"/>
        <color theme="1"/>
        <rFont val="Calibri"/>
        <family val="2"/>
        <scheme val="minor"/>
      </rPr>
      <t>from GDSC-</t>
    </r>
    <r>
      <rPr>
        <b/>
        <sz val="11"/>
        <color theme="1"/>
        <rFont val="Calibri"/>
        <family val="2"/>
        <scheme val="minor"/>
      </rPr>
      <t>Lung Adenocarcinoma</t>
    </r>
    <r>
      <rPr>
        <sz val="11"/>
        <color theme="1"/>
        <rFont val="Calibri"/>
        <family val="2"/>
        <scheme val="minor"/>
      </rPr>
      <t xml:space="preserve"> cell lines and the cohorts TCGA-</t>
    </r>
    <r>
      <rPr>
        <b/>
        <sz val="11"/>
        <color theme="1"/>
        <rFont val="Calibri"/>
        <family val="2"/>
        <scheme val="minor"/>
      </rPr>
      <t>LUAD</t>
    </r>
    <r>
      <rPr>
        <sz val="11"/>
        <color theme="1"/>
        <rFont val="Calibri"/>
        <family val="2"/>
        <scheme val="minor"/>
      </rPr>
      <t xml:space="preserve"> and Local-</t>
    </r>
    <r>
      <rPr>
        <b/>
        <sz val="11"/>
        <color theme="1"/>
        <rFont val="Calibri"/>
        <family val="2"/>
        <scheme val="minor"/>
      </rPr>
      <t>LUAD</t>
    </r>
    <r>
      <rPr>
        <sz val="11"/>
        <color theme="1"/>
        <rFont val="Calibri"/>
        <family val="2"/>
        <scheme val="minor"/>
      </rPr>
      <t xml:space="preserve">, we found only one gene (GREB1) with mutations related to decreased CDDP sensitivity as well as worse overall survival (OS) and progression-free survival (PFS). </t>
    </r>
    <r>
      <rPr>
        <b/>
        <sz val="11"/>
        <color theme="1"/>
        <rFont val="Calibri"/>
        <family val="2"/>
        <scheme val="minor"/>
      </rPr>
      <t>5)</t>
    </r>
    <r>
      <rPr>
        <sz val="11"/>
        <color theme="1"/>
        <rFont val="Calibri"/>
        <family val="2"/>
        <scheme val="minor"/>
      </rPr>
      <t xml:space="preserve"> The GREB1-mutant (GREB1-MT) group had a higher frequency of gene mutations. Additionally, gene set enrichment analysis (GSEA) and single-sample GSEA (ssGSEA) suggested reduced accumulation of intracellular drugs in the GREB1-MT group, in addition to increased drug efflux and enhanced DNA damage repair and intracellular detoxification. </t>
    </r>
  </si>
  <si>
    <r>
      <rPr>
        <b/>
        <sz val="11"/>
        <color theme="1"/>
        <rFont val="Calibri"/>
        <family val="2"/>
        <scheme val="minor"/>
      </rPr>
      <t xml:space="preserve">1) </t>
    </r>
    <r>
      <rPr>
        <sz val="11"/>
        <color theme="1"/>
        <rFont val="Calibri"/>
        <family val="2"/>
        <scheme val="minor"/>
      </rPr>
      <t xml:space="preserve">CDDP-induced GSN down-regulation is associated with its cleavage and apoptosis. </t>
    </r>
    <r>
      <rPr>
        <b/>
        <sz val="11"/>
        <color theme="1"/>
        <rFont val="Calibri"/>
        <family val="2"/>
        <scheme val="minor"/>
      </rPr>
      <t xml:space="preserve">2) </t>
    </r>
    <r>
      <rPr>
        <sz val="11"/>
        <color theme="1"/>
        <rFont val="Calibri"/>
        <family val="2"/>
        <scheme val="minor"/>
      </rPr>
      <t xml:space="preserve">C-terminal GSN fragment (C-GSN) sensitized chemoresistant cells to CDDP, intact GSN and its N-terminal fragment (N-GSN) attenuated this response. </t>
    </r>
    <r>
      <rPr>
        <b/>
        <sz val="11"/>
        <color theme="1"/>
        <rFont val="Calibri"/>
        <family val="2"/>
        <scheme val="minor"/>
      </rPr>
      <t xml:space="preserve">3) </t>
    </r>
    <r>
      <rPr>
        <sz val="11"/>
        <color theme="1"/>
        <rFont val="Calibri"/>
        <family val="2"/>
        <scheme val="minor"/>
      </rPr>
      <t xml:space="preserve">GSN silencing also facilitated CDDP-induced apoptosis in chemoresistant cells. </t>
    </r>
    <r>
      <rPr>
        <b/>
        <sz val="11"/>
        <color theme="1"/>
        <rFont val="Calibri"/>
        <family val="2"/>
        <scheme val="minor"/>
      </rPr>
      <t>4)</t>
    </r>
    <r>
      <rPr>
        <sz val="11"/>
        <color theme="1"/>
        <rFont val="Calibri"/>
        <family val="2"/>
        <scheme val="minor"/>
      </rPr>
      <t xml:space="preserve">  intact GSN (I-GSN) was prosurvival in the presence of CDDP through a FLICE-like inhibitory protein (FLIP)-Itch interaction. </t>
    </r>
    <r>
      <rPr>
        <b/>
        <sz val="11"/>
        <color theme="1"/>
        <rFont val="Calibri"/>
        <family val="2"/>
        <scheme val="minor"/>
      </rPr>
      <t>5)</t>
    </r>
    <r>
      <rPr>
        <sz val="11"/>
        <color theme="1"/>
        <rFont val="Calibri"/>
        <family val="2"/>
        <scheme val="minor"/>
      </rPr>
      <t xml:space="preserve">  In resistant cells, GSN was highly expressed and CDDP failed to abolish the I-GSN-FLIP-Itch interaction, resulting in the dysregulation of the downstream responses. </t>
    </r>
    <r>
      <rPr>
        <b/>
        <sz val="11"/>
        <color theme="1"/>
        <rFont val="Calibri"/>
        <family val="2"/>
        <scheme val="minor"/>
      </rPr>
      <t xml:space="preserve">6) </t>
    </r>
    <r>
      <rPr>
        <sz val="11"/>
        <color theme="1"/>
        <rFont val="Calibri"/>
        <family val="2"/>
        <scheme val="minor"/>
      </rPr>
      <t xml:space="preserve">GSN overexpression was significantly associated with more aggressive behavior and more cancer deaths in ovarian serous adenocarcinoma patients. </t>
    </r>
  </si>
  <si>
    <r>
      <rPr>
        <b/>
        <sz val="11"/>
        <color theme="1"/>
        <rFont val="Calibri"/>
        <family val="2"/>
        <scheme val="minor"/>
      </rPr>
      <t xml:space="preserve">1) </t>
    </r>
    <r>
      <rPr>
        <sz val="11"/>
        <color theme="1"/>
        <rFont val="Calibri"/>
        <family val="2"/>
        <scheme val="minor"/>
      </rPr>
      <t xml:space="preserve">Cisplatin resistance in IGROVCDDP cells is multifactorial and is mediated in part by the glutathione pathway and decreased accumulation of drug. Total cellular glutathione was not increased. </t>
    </r>
    <r>
      <rPr>
        <b/>
        <sz val="11"/>
        <color theme="1"/>
        <rFont val="Calibri"/>
        <family val="2"/>
        <scheme val="minor"/>
      </rPr>
      <t xml:space="preserve">2) </t>
    </r>
    <r>
      <rPr>
        <sz val="11"/>
        <color theme="1"/>
        <rFont val="Calibri"/>
        <family val="2"/>
        <scheme val="minor"/>
      </rPr>
      <t xml:space="preserve">However, the enzyme activity of GSR and GGT1 were up-regulated. </t>
    </r>
    <r>
      <rPr>
        <b/>
        <sz val="11"/>
        <color theme="1"/>
        <rFont val="Calibri"/>
        <family val="2"/>
        <scheme val="minor"/>
      </rPr>
      <t xml:space="preserve">3) </t>
    </r>
    <r>
      <rPr>
        <sz val="11"/>
        <color theme="1"/>
        <rFont val="Calibri"/>
        <family val="2"/>
        <scheme val="minor"/>
      </rPr>
      <t xml:space="preserve">High </t>
    </r>
    <r>
      <rPr>
        <b/>
        <sz val="11"/>
        <color theme="1"/>
        <rFont val="Calibri"/>
        <family val="2"/>
        <scheme val="minor"/>
      </rPr>
      <t>GSR</t>
    </r>
    <r>
      <rPr>
        <sz val="11"/>
        <color theme="1"/>
        <rFont val="Calibri"/>
        <family val="2"/>
        <scheme val="minor"/>
      </rPr>
      <t xml:space="preserve"> and HCP5 expression level were correlated with poor survival of Small cell lung cancer (SCLC)  patients.</t>
    </r>
  </si>
  <si>
    <r>
      <rPr>
        <b/>
        <sz val="11"/>
        <color theme="1"/>
        <rFont val="Calibri"/>
        <family val="2"/>
        <scheme val="minor"/>
      </rPr>
      <t xml:space="preserve">1) </t>
    </r>
    <r>
      <rPr>
        <sz val="11"/>
        <color theme="1"/>
        <rFont val="Calibri"/>
        <family val="2"/>
        <scheme val="minor"/>
      </rPr>
      <t>over-expressed</t>
    </r>
    <r>
      <rPr>
        <b/>
        <sz val="11"/>
        <color theme="1"/>
        <rFont val="Calibri"/>
        <family val="2"/>
        <scheme val="minor"/>
      </rPr>
      <t xml:space="preserve"> FAT1</t>
    </r>
    <r>
      <rPr>
        <sz val="11"/>
        <color theme="1"/>
        <rFont val="Calibri"/>
        <family val="2"/>
        <scheme val="minor"/>
      </rPr>
      <t xml:space="preserve"> characterized </t>
    </r>
    <r>
      <rPr>
        <b/>
        <sz val="11"/>
        <color theme="1"/>
        <rFont val="Calibri"/>
        <family val="2"/>
        <scheme val="minor"/>
      </rPr>
      <t>cisplatin</t>
    </r>
    <r>
      <rPr>
        <sz val="11"/>
        <color theme="1"/>
        <rFont val="Calibri"/>
        <family val="2"/>
        <scheme val="minor"/>
      </rPr>
      <t>-resistance (CispR), shFAT1 synchronously re-sensitized CispR cells to cisplatin, enhanced glutathione (GSH)/GSH synthetase (</t>
    </r>
    <r>
      <rPr>
        <b/>
        <sz val="11"/>
        <color theme="1"/>
        <rFont val="Calibri"/>
        <family val="2"/>
        <scheme val="minor"/>
      </rPr>
      <t>GSS</t>
    </r>
    <r>
      <rPr>
        <sz val="11"/>
        <color theme="1"/>
        <rFont val="Calibri"/>
        <family val="2"/>
        <scheme val="minor"/>
      </rPr>
      <t xml:space="preserve">)-mediated oxidative stress and deregulated </t>
    </r>
    <r>
      <rPr>
        <b/>
        <sz val="11"/>
        <color theme="1"/>
        <rFont val="Calibri"/>
        <family val="2"/>
        <scheme val="minor"/>
      </rPr>
      <t>LRP5/WNT2</t>
    </r>
    <r>
      <rPr>
        <sz val="11"/>
        <color theme="1"/>
        <rFont val="Calibri"/>
        <family val="2"/>
        <scheme val="minor"/>
      </rPr>
      <t xml:space="preserve"> signaling. </t>
    </r>
    <r>
      <rPr>
        <b/>
        <sz val="11"/>
        <color theme="1"/>
        <rFont val="Calibri"/>
        <family val="2"/>
        <scheme val="minor"/>
      </rPr>
      <t>2) GSS</t>
    </r>
    <r>
      <rPr>
        <sz val="11"/>
        <color theme="1"/>
        <rFont val="Calibri"/>
        <family val="2"/>
        <scheme val="minor"/>
      </rPr>
      <t xml:space="preserve"> genetic polymorphism rs725521 plays an important role in the response to </t>
    </r>
    <r>
      <rPr>
        <b/>
        <sz val="11"/>
        <color theme="1"/>
        <rFont val="Calibri"/>
        <family val="2"/>
        <scheme val="minor"/>
      </rPr>
      <t>platinum</t>
    </r>
    <r>
      <rPr>
        <sz val="11"/>
        <color theme="1"/>
        <rFont val="Calibri"/>
        <family val="2"/>
        <scheme val="minor"/>
      </rPr>
      <t xml:space="preserve">-based chemotherapy, while rs7265992 and rs725521 have important effect on the prognosis of </t>
    </r>
    <r>
      <rPr>
        <b/>
        <sz val="11"/>
        <color theme="1"/>
        <rFont val="Calibri"/>
        <family val="2"/>
        <scheme val="minor"/>
      </rPr>
      <t>SCLC</t>
    </r>
    <r>
      <rPr>
        <sz val="11"/>
        <color theme="1"/>
        <rFont val="Calibri"/>
        <family val="2"/>
        <scheme val="minor"/>
      </rPr>
      <t xml:space="preserve"> patients. </t>
    </r>
  </si>
  <si>
    <r>
      <t xml:space="preserve">1) Knockdown of </t>
    </r>
    <r>
      <rPr>
        <b/>
        <sz val="11"/>
        <color theme="1"/>
        <rFont val="Calibri"/>
        <family val="2"/>
        <scheme val="minor"/>
      </rPr>
      <t>GSTA1</t>
    </r>
    <r>
      <rPr>
        <sz val="11"/>
        <color theme="1"/>
        <rFont val="Calibri"/>
        <family val="2"/>
        <scheme val="minor"/>
      </rPr>
      <t xml:space="preserve">, which was up-regulated in </t>
    </r>
    <r>
      <rPr>
        <b/>
        <sz val="11"/>
        <color theme="1"/>
        <rFont val="Calibri"/>
        <family val="2"/>
        <scheme val="minor"/>
      </rPr>
      <t>CDDP</t>
    </r>
    <r>
      <rPr>
        <sz val="11"/>
        <color theme="1"/>
        <rFont val="Calibri"/>
        <family val="2"/>
        <scheme val="minor"/>
      </rPr>
      <t xml:space="preserve">-resistant </t>
    </r>
    <r>
      <rPr>
        <b/>
        <sz val="11"/>
        <color theme="1"/>
        <rFont val="Calibri"/>
        <family val="2"/>
        <scheme val="minor"/>
      </rPr>
      <t>ovarian</t>
    </r>
    <r>
      <rPr>
        <sz val="11"/>
        <color theme="1"/>
        <rFont val="Calibri"/>
        <family val="2"/>
        <scheme val="minor"/>
      </rPr>
      <t xml:space="preserve"> cancer cells, by GSTA1 siRNA restored </t>
    </r>
    <r>
      <rPr>
        <b/>
        <sz val="11"/>
        <color theme="1"/>
        <rFont val="Calibri"/>
        <family val="2"/>
        <scheme val="minor"/>
      </rPr>
      <t>cisplatin</t>
    </r>
    <r>
      <rPr>
        <sz val="11"/>
        <color theme="1"/>
        <rFont val="Calibri"/>
        <family val="2"/>
        <scheme val="minor"/>
      </rPr>
      <t xml:space="preserve"> sensitivity in NOY1-CR cells.</t>
    </r>
    <r>
      <rPr>
        <b/>
        <sz val="11"/>
        <color theme="1"/>
        <rFont val="Calibri"/>
        <family val="2"/>
        <scheme val="minor"/>
      </rPr>
      <t xml:space="preserve"> 2)</t>
    </r>
    <r>
      <rPr>
        <sz val="11"/>
        <color theme="1"/>
        <rFont val="Calibri"/>
        <family val="2"/>
        <scheme val="minor"/>
      </rPr>
      <t xml:space="preserve"> </t>
    </r>
    <r>
      <rPr>
        <b/>
        <sz val="11"/>
        <color theme="1"/>
        <rFont val="Calibri"/>
        <family val="2"/>
        <scheme val="minor"/>
      </rPr>
      <t>GSTA1</t>
    </r>
    <r>
      <rPr>
        <sz val="11"/>
        <color theme="1"/>
        <rFont val="Calibri"/>
        <family val="2"/>
        <scheme val="minor"/>
      </rPr>
      <t xml:space="preserve"> silencing enhanced </t>
    </r>
    <r>
      <rPr>
        <b/>
        <sz val="11"/>
        <color theme="1"/>
        <rFont val="Calibri"/>
        <family val="2"/>
        <scheme val="minor"/>
      </rPr>
      <t>DDP</t>
    </r>
    <r>
      <rPr>
        <sz val="11"/>
        <color theme="1"/>
        <rFont val="Calibri"/>
        <family val="2"/>
        <scheme val="minor"/>
      </rPr>
      <t xml:space="preserve"> cytotoxicity in SGC7901/DDP cells by 6‑fold, in A549/DDP cells by 5‑fold and in SKOV3/DDP cells by 2‑fold.  </t>
    </r>
  </si>
  <si>
    <r>
      <rPr>
        <b/>
        <sz val="11"/>
        <color theme="1"/>
        <rFont val="Calibri"/>
        <family val="2"/>
        <scheme val="minor"/>
      </rPr>
      <t>1)</t>
    </r>
    <r>
      <rPr>
        <sz val="11"/>
        <color theme="1"/>
        <rFont val="Calibri"/>
        <family val="2"/>
        <scheme val="minor"/>
      </rPr>
      <t xml:space="preserve"> increased </t>
    </r>
    <r>
      <rPr>
        <b/>
        <sz val="11"/>
        <color theme="1"/>
        <rFont val="Calibri"/>
        <family val="2"/>
        <scheme val="minor"/>
      </rPr>
      <t>hGSTK1</t>
    </r>
    <r>
      <rPr>
        <sz val="11"/>
        <color theme="1"/>
        <rFont val="Calibri"/>
        <family val="2"/>
        <scheme val="minor"/>
      </rPr>
      <t xml:space="preserve"> gene expression was detected only in resistant erythroleukemia K562/</t>
    </r>
    <r>
      <rPr>
        <b/>
        <sz val="11"/>
        <color theme="1"/>
        <rFont val="Calibri"/>
        <family val="2"/>
        <scheme val="minor"/>
      </rPr>
      <t>CDDP</t>
    </r>
    <r>
      <rPr>
        <sz val="11"/>
        <color theme="1"/>
        <rFont val="Calibri"/>
        <family val="2"/>
        <scheme val="minor"/>
      </rPr>
      <t xml:space="preserve"> and mammary adenocarcinoma MCF-7/</t>
    </r>
    <r>
      <rPr>
        <b/>
        <sz val="11"/>
        <color theme="1"/>
        <rFont val="Calibri"/>
        <family val="2"/>
        <scheme val="minor"/>
      </rPr>
      <t xml:space="preserve">CDDP </t>
    </r>
    <r>
      <rPr>
        <sz val="11"/>
        <color theme="1"/>
        <rFont val="Calibri"/>
        <family val="2"/>
        <scheme val="minor"/>
      </rPr>
      <t xml:space="preserve">cells. </t>
    </r>
    <r>
      <rPr>
        <b/>
        <sz val="11"/>
        <color theme="1"/>
        <rFont val="Calibri"/>
        <family val="2"/>
        <scheme val="minor"/>
      </rPr>
      <t xml:space="preserve">2) </t>
    </r>
    <r>
      <rPr>
        <sz val="11"/>
        <color theme="1"/>
        <rFont val="Calibri"/>
        <family val="2"/>
        <scheme val="minor"/>
      </rPr>
      <t xml:space="preserve">A prognostication model using expression levels of G6PD and 9 related genes (PSMA2, PSMB8, SHFM1, GSS, </t>
    </r>
    <r>
      <rPr>
        <b/>
        <sz val="11"/>
        <color theme="1"/>
        <rFont val="Calibri"/>
        <family val="2"/>
        <scheme val="minor"/>
      </rPr>
      <t>GSTK1</t>
    </r>
    <r>
      <rPr>
        <sz val="11"/>
        <color theme="1"/>
        <rFont val="Calibri"/>
        <family val="2"/>
        <scheme val="minor"/>
      </rPr>
      <t xml:space="preserve">, MGST2, POLD3, MSH2, MSH6) could independently predict LGG patient survival. </t>
    </r>
  </si>
  <si>
    <r>
      <rPr>
        <b/>
        <sz val="11"/>
        <color theme="1"/>
        <rFont val="Calibri"/>
        <family val="2"/>
        <scheme val="minor"/>
      </rPr>
      <t>1)</t>
    </r>
    <r>
      <rPr>
        <sz val="11"/>
        <color theme="1"/>
        <rFont val="Calibri"/>
        <family val="2"/>
        <scheme val="minor"/>
      </rPr>
      <t xml:space="preserve"> Of 170 untreated metastatic </t>
    </r>
    <r>
      <rPr>
        <b/>
        <sz val="11"/>
        <color theme="1"/>
        <rFont val="Calibri"/>
        <family val="2"/>
        <scheme val="minor"/>
      </rPr>
      <t>breast</t>
    </r>
    <r>
      <rPr>
        <sz val="11"/>
        <color theme="1"/>
        <rFont val="Calibri"/>
        <family val="2"/>
        <scheme val="minor"/>
      </rPr>
      <t xml:space="preserve"> cancer patient, the null genotypes of </t>
    </r>
    <r>
      <rPr>
        <b/>
        <sz val="11"/>
        <color theme="1"/>
        <rFont val="Calibri"/>
        <family val="2"/>
        <scheme val="minor"/>
      </rPr>
      <t>GSTT1</t>
    </r>
    <r>
      <rPr>
        <sz val="11"/>
        <color theme="1"/>
        <rFont val="Calibri"/>
        <family val="2"/>
        <scheme val="minor"/>
      </rPr>
      <t xml:space="preserve"> and </t>
    </r>
    <r>
      <rPr>
        <b/>
        <sz val="11"/>
        <color theme="1"/>
        <rFont val="Calibri"/>
        <family val="2"/>
        <scheme val="minor"/>
      </rPr>
      <t>GSTM1</t>
    </r>
    <r>
      <rPr>
        <sz val="11"/>
        <color theme="1"/>
        <rFont val="Calibri"/>
        <family val="2"/>
        <scheme val="minor"/>
      </rPr>
      <t xml:space="preserve"> were significantly correlated to poor OS compared with the present genotypes, respectively. </t>
    </r>
    <r>
      <rPr>
        <b/>
        <sz val="11"/>
        <color theme="1"/>
        <rFont val="Calibri"/>
        <family val="2"/>
        <scheme val="minor"/>
      </rPr>
      <t>2)</t>
    </r>
    <r>
      <rPr>
        <sz val="11"/>
        <color theme="1"/>
        <rFont val="Calibri"/>
        <family val="2"/>
        <scheme val="minor"/>
      </rPr>
      <t xml:space="preserve"> Inhibition of </t>
    </r>
    <r>
      <rPr>
        <b/>
        <sz val="11"/>
        <color theme="1"/>
        <rFont val="Calibri"/>
        <family val="2"/>
        <scheme val="minor"/>
      </rPr>
      <t>GSTM1</t>
    </r>
    <r>
      <rPr>
        <sz val="11"/>
        <color theme="1"/>
        <rFont val="Calibri"/>
        <family val="2"/>
        <scheme val="minor"/>
      </rPr>
      <t xml:space="preserve"> by new gabosine analogues is essential for overcoming </t>
    </r>
    <r>
      <rPr>
        <b/>
        <sz val="11"/>
        <color theme="1"/>
        <rFont val="Calibri"/>
        <family val="2"/>
        <scheme val="minor"/>
      </rPr>
      <t>cisplatin</t>
    </r>
    <r>
      <rPr>
        <sz val="11"/>
        <color theme="1"/>
        <rFont val="Calibri"/>
        <family val="2"/>
        <scheme val="minor"/>
      </rPr>
      <t xml:space="preserve"> resistance in </t>
    </r>
    <r>
      <rPr>
        <b/>
        <sz val="11"/>
        <color theme="1"/>
        <rFont val="Calibri"/>
        <family val="2"/>
        <scheme val="minor"/>
      </rPr>
      <t>lung</t>
    </r>
    <r>
      <rPr>
        <sz val="11"/>
        <color theme="1"/>
        <rFont val="Calibri"/>
        <family val="2"/>
        <scheme val="minor"/>
      </rPr>
      <t xml:space="preserve"> cancer cells, consistent with siRNA-mediated knockdown of </t>
    </r>
    <r>
      <rPr>
        <b/>
        <sz val="11"/>
        <color theme="1"/>
        <rFont val="Calibri"/>
        <family val="2"/>
        <scheme val="minor"/>
      </rPr>
      <t>GSTM1</t>
    </r>
    <r>
      <rPr>
        <sz val="11"/>
        <color theme="1"/>
        <rFont val="Calibri"/>
        <family val="2"/>
        <scheme val="minor"/>
      </rPr>
      <t xml:space="preserve"> gene. </t>
    </r>
  </si>
  <si>
    <r>
      <rPr>
        <b/>
        <sz val="11"/>
        <color theme="1"/>
        <rFont val="Calibri"/>
        <family val="2"/>
        <scheme val="minor"/>
      </rPr>
      <t xml:space="preserve">1) </t>
    </r>
    <r>
      <rPr>
        <sz val="11"/>
        <color theme="1"/>
        <rFont val="Calibri"/>
        <family val="2"/>
        <scheme val="minor"/>
      </rPr>
      <t xml:space="preserve">We observed suggestive associations between </t>
    </r>
    <r>
      <rPr>
        <b/>
        <sz val="11"/>
        <color theme="1"/>
        <rFont val="Calibri"/>
        <family val="2"/>
        <scheme val="minor"/>
      </rPr>
      <t>lung</t>
    </r>
    <r>
      <rPr>
        <sz val="11"/>
        <color theme="1"/>
        <rFont val="Calibri"/>
        <family val="2"/>
        <scheme val="minor"/>
      </rPr>
      <t xml:space="preserve"> cancer survival and </t>
    </r>
    <r>
      <rPr>
        <b/>
        <sz val="11"/>
        <color theme="1"/>
        <rFont val="Calibri"/>
        <family val="2"/>
        <scheme val="minor"/>
      </rPr>
      <t>GSTT1</t>
    </r>
    <r>
      <rPr>
        <sz val="11"/>
        <color theme="1"/>
        <rFont val="Calibri"/>
        <family val="2"/>
        <scheme val="minor"/>
      </rPr>
      <t xml:space="preserve"> copy number, and </t>
    </r>
    <r>
      <rPr>
        <b/>
        <sz val="11"/>
        <color theme="1"/>
        <rFont val="Calibri"/>
        <family val="2"/>
        <scheme val="minor"/>
      </rPr>
      <t>GSTA5, GSTM4</t>
    </r>
    <r>
      <rPr>
        <sz val="11"/>
        <color theme="1"/>
        <rFont val="Calibri"/>
        <family val="2"/>
        <scheme val="minor"/>
      </rPr>
      <t xml:space="preserve">, and </t>
    </r>
    <r>
      <rPr>
        <b/>
        <sz val="11"/>
        <color theme="1"/>
        <rFont val="Calibri"/>
        <family val="2"/>
        <scheme val="minor"/>
      </rPr>
      <t>ABCC4</t>
    </r>
    <r>
      <rPr>
        <sz val="11"/>
        <color theme="1"/>
        <rFont val="Calibri"/>
        <family val="2"/>
        <scheme val="minor"/>
      </rPr>
      <t xml:space="preserve"> SNPs, adjusted for covariates (P = 0.018, 0.002, and 0.002, respectively) or not (P = 0.005, 0.011, and 0.002). </t>
    </r>
    <r>
      <rPr>
        <b/>
        <sz val="11"/>
        <color theme="1"/>
        <rFont val="Calibri"/>
        <family val="2"/>
        <scheme val="minor"/>
      </rPr>
      <t>2)</t>
    </r>
    <r>
      <rPr>
        <sz val="11"/>
        <color theme="1"/>
        <rFont val="Calibri"/>
        <family val="2"/>
        <scheme val="minor"/>
      </rPr>
      <t xml:space="preserve"> One hundred lymphoblastoid cell lines were then treated with </t>
    </r>
    <r>
      <rPr>
        <b/>
        <sz val="11"/>
        <color theme="1"/>
        <rFont val="Calibri"/>
        <family val="2"/>
        <scheme val="minor"/>
      </rPr>
      <t>cisplatin</t>
    </r>
    <r>
      <rPr>
        <sz val="11"/>
        <color theme="1"/>
        <rFont val="Calibri"/>
        <family val="2"/>
        <scheme val="minor"/>
      </rPr>
      <t xml:space="preserve">, and IC(50) values were significantly associated with the </t>
    </r>
    <r>
      <rPr>
        <b/>
        <sz val="11"/>
        <color theme="1"/>
        <rFont val="Calibri"/>
        <family val="2"/>
        <scheme val="minor"/>
      </rPr>
      <t>GSTM4</t>
    </r>
    <r>
      <rPr>
        <sz val="11"/>
        <color theme="1"/>
        <rFont val="Calibri"/>
        <family val="2"/>
        <scheme val="minor"/>
      </rPr>
      <t xml:space="preserve"> SNP (P = 0.019).</t>
    </r>
    <r>
      <rPr>
        <b/>
        <sz val="11"/>
        <color theme="1"/>
        <rFont val="Calibri"/>
        <family val="2"/>
        <scheme val="minor"/>
      </rPr>
      <t xml:space="preserve"> 4) GSTM4</t>
    </r>
    <r>
      <rPr>
        <sz val="11"/>
        <color theme="1"/>
        <rFont val="Calibri"/>
        <family val="2"/>
        <scheme val="minor"/>
      </rPr>
      <t xml:space="preserve">, </t>
    </r>
    <r>
      <rPr>
        <b/>
        <sz val="11"/>
        <color theme="1"/>
        <rFont val="Calibri"/>
        <family val="2"/>
        <scheme val="minor"/>
      </rPr>
      <t>GSTT1</t>
    </r>
    <r>
      <rPr>
        <sz val="11"/>
        <color theme="1"/>
        <rFont val="Calibri"/>
        <family val="2"/>
        <scheme val="minor"/>
      </rPr>
      <t xml:space="preserve">, and </t>
    </r>
    <r>
      <rPr>
        <b/>
        <sz val="11"/>
        <color theme="1"/>
        <rFont val="Calibri"/>
        <family val="2"/>
        <scheme val="minor"/>
      </rPr>
      <t>ABCC4</t>
    </r>
    <r>
      <rPr>
        <sz val="11"/>
        <color theme="1"/>
        <rFont val="Calibri"/>
        <family val="2"/>
        <scheme val="minor"/>
      </rPr>
      <t xml:space="preserve"> overexpression significantly decreased </t>
    </r>
    <r>
      <rPr>
        <b/>
        <sz val="11"/>
        <color theme="1"/>
        <rFont val="Calibri"/>
        <family val="2"/>
        <scheme val="minor"/>
      </rPr>
      <t>cisplatin</t>
    </r>
    <r>
      <rPr>
        <sz val="11"/>
        <color theme="1"/>
        <rFont val="Calibri"/>
        <family val="2"/>
        <scheme val="minor"/>
      </rPr>
      <t xml:space="preserve"> sensitivity in </t>
    </r>
    <r>
      <rPr>
        <b/>
        <sz val="11"/>
        <color theme="1"/>
        <rFont val="Calibri"/>
        <family val="2"/>
        <scheme val="minor"/>
      </rPr>
      <t>lung</t>
    </r>
    <r>
      <rPr>
        <sz val="11"/>
        <color theme="1"/>
        <rFont val="Calibri"/>
        <family val="2"/>
        <scheme val="minor"/>
      </rPr>
      <t xml:space="preserve"> cancer and HEK293T cell lines.</t>
    </r>
  </si>
  <si>
    <r>
      <rPr>
        <b/>
        <sz val="11"/>
        <color theme="1"/>
        <rFont val="Calibri"/>
        <family val="2"/>
        <scheme val="minor"/>
      </rPr>
      <t xml:space="preserve">1) </t>
    </r>
    <r>
      <rPr>
        <sz val="11"/>
        <color theme="1"/>
        <rFont val="Calibri"/>
        <family val="2"/>
        <scheme val="minor"/>
      </rPr>
      <t xml:space="preserve">Of 87 surgically resected specimens, 55 (63.2%) were </t>
    </r>
    <r>
      <rPr>
        <b/>
        <sz val="11"/>
        <color theme="1"/>
        <rFont val="Calibri"/>
        <family val="2"/>
        <scheme val="minor"/>
      </rPr>
      <t xml:space="preserve">GST pi </t>
    </r>
    <r>
      <rPr>
        <sz val="11"/>
        <color theme="1"/>
        <rFont val="Calibri"/>
        <family val="2"/>
        <scheme val="minor"/>
      </rPr>
      <t xml:space="preserve">positive. </t>
    </r>
    <r>
      <rPr>
        <b/>
        <sz val="11"/>
        <color theme="1"/>
        <rFont val="Calibri"/>
        <family val="2"/>
        <scheme val="minor"/>
      </rPr>
      <t xml:space="preserve">2) </t>
    </r>
    <r>
      <rPr>
        <sz val="11"/>
        <color theme="1"/>
        <rFont val="Calibri"/>
        <family val="2"/>
        <scheme val="minor"/>
      </rPr>
      <t xml:space="preserve">Twenty-five of 28 patients (89.3%) who showed no response to chemotherapy had </t>
    </r>
    <r>
      <rPr>
        <b/>
        <sz val="11"/>
        <color theme="1"/>
        <rFont val="Calibri"/>
        <family val="2"/>
        <scheme val="minor"/>
      </rPr>
      <t>GST pi</t>
    </r>
    <r>
      <rPr>
        <sz val="11"/>
        <color theme="1"/>
        <rFont val="Calibri"/>
        <family val="2"/>
        <scheme val="minor"/>
      </rPr>
      <t xml:space="preserve">-positive tumor cells. </t>
    </r>
    <r>
      <rPr>
        <b/>
        <sz val="11"/>
        <color theme="1"/>
        <rFont val="Calibri"/>
        <family val="2"/>
        <scheme val="minor"/>
      </rPr>
      <t xml:space="preserve">3) </t>
    </r>
    <r>
      <rPr>
        <sz val="11"/>
        <color theme="1"/>
        <rFont val="Calibri"/>
        <family val="2"/>
        <scheme val="minor"/>
      </rPr>
      <t xml:space="preserve">The predictive value of positive </t>
    </r>
    <r>
      <rPr>
        <b/>
        <sz val="11"/>
        <color theme="1"/>
        <rFont val="Calibri"/>
        <family val="2"/>
        <scheme val="minor"/>
      </rPr>
      <t>GST pi</t>
    </r>
    <r>
      <rPr>
        <sz val="11"/>
        <color theme="1"/>
        <rFont val="Calibri"/>
        <family val="2"/>
        <scheme val="minor"/>
      </rPr>
      <t xml:space="preserve"> staining for drug resistance was 75.8% (25/33). </t>
    </r>
    <r>
      <rPr>
        <b/>
        <sz val="11"/>
        <color theme="1"/>
        <rFont val="Calibri"/>
        <family val="2"/>
        <scheme val="minor"/>
      </rPr>
      <t>4)</t>
    </r>
    <r>
      <rPr>
        <sz val="11"/>
        <color theme="1"/>
        <rFont val="Calibri"/>
        <family val="2"/>
        <scheme val="minor"/>
      </rPr>
      <t xml:space="preserve"> adenovirus-mediated Ad.GST-CD ::upp/5-FC directed by </t>
    </r>
    <r>
      <rPr>
        <b/>
        <sz val="11"/>
        <color theme="1"/>
        <rFont val="Calibri"/>
        <family val="2"/>
        <scheme val="minor"/>
      </rPr>
      <t>GSTP1</t>
    </r>
    <r>
      <rPr>
        <sz val="11"/>
        <color theme="1"/>
        <rFont val="Calibri"/>
        <family val="2"/>
        <scheme val="minor"/>
      </rPr>
      <t xml:space="preserve"> promoter (to shut down </t>
    </r>
    <r>
      <rPr>
        <b/>
        <sz val="11"/>
        <color theme="1"/>
        <rFont val="Calibri"/>
        <family val="2"/>
        <scheme val="minor"/>
      </rPr>
      <t>GSTP1</t>
    </r>
    <r>
      <rPr>
        <sz val="11"/>
        <color theme="1"/>
        <rFont val="Calibri"/>
        <family val="2"/>
        <scheme val="minor"/>
      </rPr>
      <t xml:space="preserve">) is an effective approach to overcome </t>
    </r>
    <r>
      <rPr>
        <b/>
        <sz val="11"/>
        <color theme="1"/>
        <rFont val="Calibri"/>
        <family val="2"/>
        <scheme val="minor"/>
      </rPr>
      <t>cisplatin</t>
    </r>
    <r>
      <rPr>
        <sz val="11"/>
        <color theme="1"/>
        <rFont val="Calibri"/>
        <family val="2"/>
        <scheme val="minor"/>
      </rPr>
      <t xml:space="preserve">-resistant ovarian cancer. </t>
    </r>
    <r>
      <rPr>
        <b/>
        <sz val="11"/>
        <color theme="1"/>
        <rFont val="Calibri"/>
        <family val="2"/>
        <scheme val="minor"/>
      </rPr>
      <t>5)</t>
    </r>
    <r>
      <rPr>
        <sz val="11"/>
        <color theme="1"/>
        <rFont val="Calibri"/>
        <family val="2"/>
        <scheme val="minor"/>
      </rPr>
      <t xml:space="preserve"> </t>
    </r>
    <r>
      <rPr>
        <b/>
        <sz val="11"/>
        <color theme="1"/>
        <rFont val="Calibri"/>
        <family val="2"/>
        <scheme val="minor"/>
      </rPr>
      <t>GST-pi</t>
    </r>
    <r>
      <rPr>
        <sz val="11"/>
        <color theme="1"/>
        <rFont val="Calibri"/>
        <family val="2"/>
        <scheme val="minor"/>
      </rPr>
      <t xml:space="preserve"> amplification was detected in 7 of 10 cell lines. Five were relatively </t>
    </r>
    <r>
      <rPr>
        <b/>
        <sz val="11"/>
        <color theme="1"/>
        <rFont val="Calibri"/>
        <family val="2"/>
        <scheme val="minor"/>
      </rPr>
      <t>cisplatin</t>
    </r>
    <r>
      <rPr>
        <sz val="11"/>
        <color theme="1"/>
        <rFont val="Calibri"/>
        <family val="2"/>
        <scheme val="minor"/>
      </rPr>
      <t xml:space="preserve"> resistant, and 2 were relatively </t>
    </r>
    <r>
      <rPr>
        <b/>
        <sz val="11"/>
        <color theme="1"/>
        <rFont val="Calibri"/>
        <family val="2"/>
        <scheme val="minor"/>
      </rPr>
      <t>cisplatin</t>
    </r>
    <r>
      <rPr>
        <sz val="11"/>
        <color theme="1"/>
        <rFont val="Calibri"/>
        <family val="2"/>
        <scheme val="minor"/>
      </rPr>
      <t xml:space="preserve"> sensitive (mean IC(50), 11.2 and 2.75 microM). </t>
    </r>
    <r>
      <rPr>
        <b/>
        <sz val="11"/>
        <color theme="1"/>
        <rFont val="Calibri"/>
        <family val="2"/>
        <scheme val="minor"/>
      </rPr>
      <t>6)</t>
    </r>
    <r>
      <rPr>
        <sz val="11"/>
        <color theme="1"/>
        <rFont val="Calibri"/>
        <family val="2"/>
        <scheme val="minor"/>
      </rPr>
      <t xml:space="preserve"> In 10 tumor specimens, 4 had no amplification of </t>
    </r>
    <r>
      <rPr>
        <b/>
        <sz val="11"/>
        <color theme="1"/>
        <rFont val="Calibri"/>
        <family val="2"/>
        <scheme val="minor"/>
      </rPr>
      <t>GST-pi</t>
    </r>
    <r>
      <rPr>
        <sz val="11"/>
        <color theme="1"/>
        <rFont val="Calibri"/>
        <family val="2"/>
        <scheme val="minor"/>
      </rPr>
      <t>. All 4 had a complete response to neoadjuvant chemotherapy; of the 2 patients showing GST-pi amplification: neither responded to chemotherapy, and both died of disease &lt;9 months from diagnosis.</t>
    </r>
  </si>
  <si>
    <r>
      <rPr>
        <b/>
        <sz val="11"/>
        <color theme="1"/>
        <rFont val="Calibri"/>
        <family val="2"/>
        <scheme val="minor"/>
      </rPr>
      <t>1)</t>
    </r>
    <r>
      <rPr>
        <sz val="11"/>
        <color theme="1"/>
        <rFont val="Calibri"/>
        <family val="2"/>
        <scheme val="minor"/>
      </rPr>
      <t xml:space="preserve"> As GSTM1. </t>
    </r>
    <r>
      <rPr>
        <b/>
        <sz val="11"/>
        <color theme="1"/>
        <rFont val="Calibri"/>
        <family val="2"/>
        <scheme val="minor"/>
      </rPr>
      <t xml:space="preserve">2) </t>
    </r>
    <r>
      <rPr>
        <sz val="11"/>
        <color theme="1"/>
        <rFont val="Calibri"/>
        <family val="2"/>
        <scheme val="minor"/>
      </rPr>
      <t xml:space="preserve">We observed suggestive associations between </t>
    </r>
    <r>
      <rPr>
        <b/>
        <sz val="11"/>
        <color theme="1"/>
        <rFont val="Calibri"/>
        <family val="2"/>
        <scheme val="minor"/>
      </rPr>
      <t>lung</t>
    </r>
    <r>
      <rPr>
        <sz val="11"/>
        <color theme="1"/>
        <rFont val="Calibri"/>
        <family val="2"/>
        <scheme val="minor"/>
      </rPr>
      <t xml:space="preserve"> cancer survival and </t>
    </r>
    <r>
      <rPr>
        <b/>
        <sz val="11"/>
        <color theme="1"/>
        <rFont val="Calibri"/>
        <family val="2"/>
        <scheme val="minor"/>
      </rPr>
      <t>GSTT1</t>
    </r>
    <r>
      <rPr>
        <sz val="11"/>
        <color theme="1"/>
        <rFont val="Calibri"/>
        <family val="2"/>
        <scheme val="minor"/>
      </rPr>
      <t xml:space="preserve"> copy number, and </t>
    </r>
    <r>
      <rPr>
        <b/>
        <sz val="11"/>
        <color theme="1"/>
        <rFont val="Calibri"/>
        <family val="2"/>
        <scheme val="minor"/>
      </rPr>
      <t>GSTA5, GSTM4</t>
    </r>
    <r>
      <rPr>
        <sz val="11"/>
        <color theme="1"/>
        <rFont val="Calibri"/>
        <family val="2"/>
        <scheme val="minor"/>
      </rPr>
      <t xml:space="preserve">, and </t>
    </r>
    <r>
      <rPr>
        <b/>
        <sz val="11"/>
        <color theme="1"/>
        <rFont val="Calibri"/>
        <family val="2"/>
        <scheme val="minor"/>
      </rPr>
      <t>ABCC4</t>
    </r>
    <r>
      <rPr>
        <sz val="11"/>
        <color theme="1"/>
        <rFont val="Calibri"/>
        <family val="2"/>
        <scheme val="minor"/>
      </rPr>
      <t xml:space="preserve"> SNPs, adjusted for covariates (P = 0.018, 0.002, and 0.002, respectively) or not (P = 0.005, 0.011, and 0.002). </t>
    </r>
    <r>
      <rPr>
        <b/>
        <sz val="11"/>
        <color theme="1"/>
        <rFont val="Calibri"/>
        <family val="2"/>
        <scheme val="minor"/>
      </rPr>
      <t>3) GSTM4</t>
    </r>
    <r>
      <rPr>
        <sz val="11"/>
        <color theme="1"/>
        <rFont val="Calibri"/>
        <family val="2"/>
        <scheme val="minor"/>
      </rPr>
      <t xml:space="preserve">, </t>
    </r>
    <r>
      <rPr>
        <b/>
        <sz val="11"/>
        <color theme="1"/>
        <rFont val="Calibri"/>
        <family val="2"/>
        <scheme val="minor"/>
      </rPr>
      <t>GSTT1</t>
    </r>
    <r>
      <rPr>
        <sz val="11"/>
        <color theme="1"/>
        <rFont val="Calibri"/>
        <family val="2"/>
        <scheme val="minor"/>
      </rPr>
      <t xml:space="preserve">, and </t>
    </r>
    <r>
      <rPr>
        <b/>
        <sz val="11"/>
        <color theme="1"/>
        <rFont val="Calibri"/>
        <family val="2"/>
        <scheme val="minor"/>
      </rPr>
      <t>ABCC4</t>
    </r>
    <r>
      <rPr>
        <sz val="11"/>
        <color theme="1"/>
        <rFont val="Calibri"/>
        <family val="2"/>
        <scheme val="minor"/>
      </rPr>
      <t xml:space="preserve"> overexpression significantly decreased </t>
    </r>
    <r>
      <rPr>
        <b/>
        <sz val="11"/>
        <color theme="1"/>
        <rFont val="Calibri"/>
        <family val="2"/>
        <scheme val="minor"/>
      </rPr>
      <t>cisplatin</t>
    </r>
    <r>
      <rPr>
        <sz val="11"/>
        <color theme="1"/>
        <rFont val="Calibri"/>
        <family val="2"/>
        <scheme val="minor"/>
      </rPr>
      <t xml:space="preserve"> sensitivity in </t>
    </r>
    <r>
      <rPr>
        <b/>
        <sz val="11"/>
        <color theme="1"/>
        <rFont val="Calibri"/>
        <family val="2"/>
        <scheme val="minor"/>
      </rPr>
      <t>lung</t>
    </r>
    <r>
      <rPr>
        <sz val="11"/>
        <color theme="1"/>
        <rFont val="Calibri"/>
        <family val="2"/>
        <scheme val="minor"/>
      </rPr>
      <t xml:space="preserve"> cancer and HEK293T cell lines.</t>
    </r>
  </si>
  <si>
    <r>
      <rPr>
        <b/>
        <sz val="11"/>
        <color theme="1"/>
        <rFont val="Calibri"/>
        <family val="2"/>
        <scheme val="minor"/>
      </rPr>
      <t xml:space="preserve">1) </t>
    </r>
    <r>
      <rPr>
        <sz val="11"/>
        <color theme="1"/>
        <rFont val="Calibri"/>
        <family val="2"/>
        <scheme val="minor"/>
      </rPr>
      <t>In the drug-resistant derivative cell lines there was overall a significant increase in the number and persistence of both</t>
    </r>
    <r>
      <rPr>
        <b/>
        <sz val="11"/>
        <color theme="1"/>
        <rFont val="Calibri"/>
        <family val="2"/>
        <scheme val="minor"/>
      </rPr>
      <t xml:space="preserve"> γ-H2AX</t>
    </r>
    <r>
      <rPr>
        <sz val="11"/>
        <color theme="1"/>
        <rFont val="Calibri"/>
        <family val="2"/>
        <scheme val="minor"/>
      </rPr>
      <t xml:space="preserve"> and Rad51 </t>
    </r>
    <r>
      <rPr>
        <b/>
        <sz val="11"/>
        <color theme="1"/>
        <rFont val="Calibri"/>
        <family val="2"/>
        <scheme val="minor"/>
      </rPr>
      <t>foci</t>
    </r>
    <r>
      <rPr>
        <sz val="11"/>
        <color theme="1"/>
        <rFont val="Calibri"/>
        <family val="2"/>
        <scheme val="minor"/>
      </rPr>
      <t xml:space="preserve"> in the nuclei of cells over a 72-hour period, when compared to the non-resistant parental cell lines (ANOVA p &lt; 0.0001). (Pt-resistant ovarian cancer cell line (A2780cis(R) vs sensitive A2780 parental). </t>
    </r>
    <r>
      <rPr>
        <b/>
        <sz val="11"/>
        <color theme="1"/>
        <rFont val="Calibri"/>
        <family val="2"/>
        <scheme val="minor"/>
      </rPr>
      <t xml:space="preserve">2) </t>
    </r>
    <r>
      <rPr>
        <sz val="11"/>
        <color theme="1"/>
        <rFont val="Calibri"/>
        <family val="2"/>
        <scheme val="minor"/>
      </rPr>
      <t xml:space="preserve">A high </t>
    </r>
    <r>
      <rPr>
        <b/>
        <sz val="11"/>
        <color theme="1"/>
        <rFont val="Calibri"/>
        <family val="2"/>
        <scheme val="minor"/>
      </rPr>
      <t xml:space="preserve">p-H2AX </t>
    </r>
    <r>
      <rPr>
        <sz val="11"/>
        <color theme="1"/>
        <rFont val="Calibri"/>
        <family val="2"/>
        <scheme val="minor"/>
      </rPr>
      <t xml:space="preserve">expression in CRC tissues was associated with tumor stage and perineurial invasion. 3) a high p-H2AX expression was associated with poor DMFS and OS. </t>
    </r>
  </si>
  <si>
    <r>
      <rPr>
        <b/>
        <sz val="11"/>
        <color theme="1"/>
        <rFont val="Calibri"/>
        <family val="2"/>
        <scheme val="minor"/>
      </rPr>
      <t>1) cisplatin</t>
    </r>
    <r>
      <rPr>
        <sz val="11"/>
        <color theme="1"/>
        <rFont val="Calibri"/>
        <family val="2"/>
        <scheme val="minor"/>
      </rPr>
      <t xml:space="preserve">-resistant </t>
    </r>
    <r>
      <rPr>
        <b/>
        <sz val="11"/>
        <color theme="1"/>
        <rFont val="Calibri"/>
        <family val="2"/>
        <scheme val="minor"/>
      </rPr>
      <t>ovarian</t>
    </r>
    <r>
      <rPr>
        <sz val="11"/>
        <color theme="1"/>
        <rFont val="Calibri"/>
        <family val="2"/>
        <scheme val="minor"/>
      </rPr>
      <t xml:space="preserve"> cancer cells (C13), are characterized by reduced mitochondrial activity and higher glucose-dependency when compared to the cisplatin-sensitive counterpart. </t>
    </r>
    <r>
      <rPr>
        <b/>
        <sz val="11"/>
        <color theme="1"/>
        <rFont val="Calibri"/>
        <family val="2"/>
        <scheme val="minor"/>
      </rPr>
      <t xml:space="preserve">2) </t>
    </r>
    <r>
      <rPr>
        <sz val="11"/>
        <color theme="1"/>
        <rFont val="Calibri"/>
        <family val="2"/>
        <scheme val="minor"/>
      </rPr>
      <t xml:space="preserve">C13 cells not only present an increased glucose-uptake and consumption, but also exhibit increased expression and enzymatic activity of the Pentose Phosphate pathway (PPP) enzyme Glucose-6-Phosphate Dehydrogenase (G6PDH). </t>
    </r>
    <r>
      <rPr>
        <b/>
        <sz val="11"/>
        <color theme="1"/>
        <rFont val="Calibri"/>
        <family val="2"/>
        <scheme val="minor"/>
      </rPr>
      <t xml:space="preserve"> 3) </t>
    </r>
    <r>
      <rPr>
        <sz val="11"/>
        <color theme="1"/>
        <rFont val="Calibri"/>
        <family val="2"/>
        <scheme val="minor"/>
      </rPr>
      <t xml:space="preserve">cisplatin-resistant cells are more sensitive to G6PDH inhibition. </t>
    </r>
  </si>
  <si>
    <r>
      <rPr>
        <b/>
        <sz val="11"/>
        <color theme="1"/>
        <rFont val="Calibri"/>
        <family val="2"/>
        <scheme val="minor"/>
      </rPr>
      <t xml:space="preserve">1) </t>
    </r>
    <r>
      <rPr>
        <sz val="11"/>
        <color theme="1"/>
        <rFont val="Calibri"/>
        <family val="2"/>
        <scheme val="minor"/>
      </rPr>
      <t xml:space="preserve">HB-EGF was over-expressed in a </t>
    </r>
    <r>
      <rPr>
        <b/>
        <sz val="11"/>
        <color theme="1"/>
        <rFont val="Calibri"/>
        <family val="2"/>
        <scheme val="minor"/>
      </rPr>
      <t>paclitaxel-</t>
    </r>
    <r>
      <rPr>
        <sz val="11"/>
        <color theme="1"/>
        <rFont val="Calibri"/>
        <family val="2"/>
        <scheme val="minor"/>
      </rPr>
      <t xml:space="preserve">resistant human ovarian carcinoma cell line (A2780/Taxol) and a </t>
    </r>
    <r>
      <rPr>
        <b/>
        <sz val="11"/>
        <color theme="1"/>
        <rFont val="Calibri"/>
        <family val="2"/>
        <scheme val="minor"/>
      </rPr>
      <t>cisplatin</t>
    </r>
    <r>
      <rPr>
        <sz val="11"/>
        <color theme="1"/>
        <rFont val="Calibri"/>
        <family val="2"/>
        <scheme val="minor"/>
      </rPr>
      <t xml:space="preserve">-resistant cell line (A2780/CDDP), as well as the xenograft mouse tissue samples with these cells. </t>
    </r>
    <r>
      <rPr>
        <b/>
        <sz val="11"/>
        <color theme="1"/>
        <rFont val="Calibri"/>
        <family val="2"/>
        <scheme val="minor"/>
      </rPr>
      <t>2)</t>
    </r>
    <r>
      <rPr>
        <sz val="11"/>
        <color theme="1"/>
        <rFont val="Calibri"/>
        <family val="2"/>
        <scheme val="minor"/>
      </rPr>
      <t xml:space="preserve"> HBEGF inhibitor CRM197 significantly induced anti-proliferative activity in a dose-dependent manner with the cell-cycle arrest at the G0/G1 phase and enhanced apoptosis in A2780/Taxol and A2780/</t>
    </r>
    <r>
      <rPr>
        <b/>
        <sz val="11"/>
        <color theme="1"/>
        <rFont val="Calibri"/>
        <family val="2"/>
        <scheme val="minor"/>
      </rPr>
      <t>CDDP</t>
    </r>
    <r>
      <rPr>
        <sz val="11"/>
        <color theme="1"/>
        <rFont val="Calibri"/>
        <family val="2"/>
        <scheme val="minor"/>
      </rPr>
      <t xml:space="preserve"> cells. </t>
    </r>
    <r>
      <rPr>
        <b/>
        <sz val="11"/>
        <color theme="1"/>
        <rFont val="Calibri"/>
        <family val="2"/>
        <scheme val="minor"/>
      </rPr>
      <t xml:space="preserve">3) </t>
    </r>
    <r>
      <rPr>
        <sz val="11"/>
        <color theme="1"/>
        <rFont val="Calibri"/>
        <family val="2"/>
        <scheme val="minor"/>
      </rPr>
      <t xml:space="preserve">CRM197 significantly suppressed the growth of drug-resistant ovarian cancer xenografts in vivo (p&lt;0.001). </t>
    </r>
    <r>
      <rPr>
        <b/>
        <sz val="11"/>
        <color theme="1"/>
        <rFont val="Calibri"/>
        <family val="2"/>
        <scheme val="minor"/>
      </rPr>
      <t xml:space="preserve">4) </t>
    </r>
    <r>
      <rPr>
        <sz val="11"/>
        <color theme="1"/>
        <rFont val="Calibri"/>
        <family val="2"/>
        <scheme val="minor"/>
      </rPr>
      <t xml:space="preserve">CRM197 markedly downregulates the expression of excision repair cross-complementing group 1 (P = 0.002) and DNA repair capacity in A2780/CDDP tumor (P &lt; 0.001). </t>
    </r>
    <r>
      <rPr>
        <b/>
        <sz val="11"/>
        <color theme="1"/>
        <rFont val="Calibri"/>
        <family val="2"/>
        <scheme val="minor"/>
      </rPr>
      <t xml:space="preserve">5) </t>
    </r>
    <r>
      <rPr>
        <sz val="11"/>
        <color theme="1"/>
        <rFont val="Calibri"/>
        <family val="2"/>
        <scheme val="minor"/>
      </rPr>
      <t xml:space="preserve">Public databases provided evidence linking high expression of BHLHE40 and HBEGF to poor prognosis of triple-negative </t>
    </r>
    <r>
      <rPr>
        <b/>
        <sz val="11"/>
        <color theme="1"/>
        <rFont val="Calibri"/>
        <family val="2"/>
        <scheme val="minor"/>
      </rPr>
      <t>breast</t>
    </r>
    <r>
      <rPr>
        <sz val="11"/>
        <color theme="1"/>
        <rFont val="Calibri"/>
        <family val="2"/>
        <scheme val="minor"/>
      </rPr>
      <t xml:space="preserve"> cancer.</t>
    </r>
  </si>
  <si>
    <r>
      <rPr>
        <b/>
        <sz val="11"/>
        <color theme="1"/>
        <rFont val="Calibri"/>
        <family val="2"/>
        <scheme val="minor"/>
      </rPr>
      <t>1)</t>
    </r>
    <r>
      <rPr>
        <sz val="11"/>
        <color theme="1"/>
        <rFont val="Calibri"/>
        <family val="2"/>
        <scheme val="minor"/>
      </rPr>
      <t xml:space="preserve"> HPIP is highly expressed in high-grade primary ovarian tumors. </t>
    </r>
    <r>
      <rPr>
        <b/>
        <sz val="11"/>
        <color theme="1"/>
        <rFont val="Calibri"/>
        <family val="2"/>
        <scheme val="minor"/>
      </rPr>
      <t xml:space="preserve">2) </t>
    </r>
    <r>
      <rPr>
        <sz val="11"/>
        <color theme="1"/>
        <rFont val="Calibri"/>
        <family val="2"/>
        <scheme val="minor"/>
      </rPr>
      <t xml:space="preserve">HPIP promotes the migration, invasion and EMT in OAW42 cells and induces EMT in these cells via activation of the PI3K/AKT pathway. </t>
    </r>
    <r>
      <rPr>
        <b/>
        <sz val="11"/>
        <color theme="1"/>
        <rFont val="Calibri"/>
        <family val="2"/>
        <scheme val="minor"/>
      </rPr>
      <t xml:space="preserve">3) </t>
    </r>
    <r>
      <rPr>
        <sz val="11"/>
        <color theme="1"/>
        <rFont val="Calibri"/>
        <family val="2"/>
        <scheme val="minor"/>
      </rPr>
      <t xml:space="preserve">HPIP expression confers </t>
    </r>
    <r>
      <rPr>
        <b/>
        <sz val="11"/>
        <color theme="1"/>
        <rFont val="Calibri"/>
        <family val="2"/>
        <scheme val="minor"/>
      </rPr>
      <t>cisplatin</t>
    </r>
    <r>
      <rPr>
        <sz val="11"/>
        <color theme="1"/>
        <rFont val="Calibri"/>
        <family val="2"/>
        <scheme val="minor"/>
      </rPr>
      <t xml:space="preserve"> resistance to SKOV3 cells after prolonged exposure </t>
    </r>
    <r>
      <rPr>
        <b/>
        <sz val="11"/>
        <color theme="1"/>
        <rFont val="Calibri"/>
        <family val="2"/>
        <scheme val="minor"/>
      </rPr>
      <t>4)</t>
    </r>
    <r>
      <rPr>
        <sz val="11"/>
        <color theme="1"/>
        <rFont val="Calibri"/>
        <family val="2"/>
        <scheme val="minor"/>
      </rPr>
      <t xml:space="preserve"> its subsequent knockdown decreases the viability of these cells. </t>
    </r>
  </si>
  <si>
    <r>
      <rPr>
        <b/>
        <sz val="11"/>
        <color theme="1"/>
        <rFont val="Calibri"/>
        <family val="2"/>
        <scheme val="minor"/>
      </rPr>
      <t xml:space="preserve">1) </t>
    </r>
    <r>
      <rPr>
        <sz val="11"/>
        <color theme="1"/>
        <rFont val="Calibri"/>
        <family val="2"/>
        <scheme val="minor"/>
      </rPr>
      <t xml:space="preserve">Knockdown of </t>
    </r>
    <r>
      <rPr>
        <b/>
        <sz val="11"/>
        <color theme="1"/>
        <rFont val="Calibri"/>
        <family val="2"/>
        <scheme val="minor"/>
      </rPr>
      <t>HDAC1</t>
    </r>
    <r>
      <rPr>
        <sz val="11"/>
        <color theme="1"/>
        <rFont val="Calibri"/>
        <family val="2"/>
        <scheme val="minor"/>
      </rPr>
      <t xml:space="preserve"> or DNMT1 expression, and pharmacological inhibition of DNMT or HDAC enzymatic activity, significantly increases RGS10 expression and cisplatin-mediated cell death. </t>
    </r>
    <r>
      <rPr>
        <b/>
        <sz val="11"/>
        <color theme="1"/>
        <rFont val="Calibri"/>
        <family val="2"/>
        <scheme val="minor"/>
      </rPr>
      <t xml:space="preserve">2) </t>
    </r>
    <r>
      <rPr>
        <sz val="11"/>
        <color theme="1"/>
        <rFont val="Calibri"/>
        <family val="2"/>
        <scheme val="minor"/>
      </rPr>
      <t xml:space="preserve">DNMT1 knock down also decreases HDAC1 binding to the RGS10 promoter in chemoresistant cells, suggesting HDAC1 recruitment to RGS10 promoters requires DNMT1 activity. </t>
    </r>
    <r>
      <rPr>
        <b/>
        <sz val="11"/>
        <color theme="1"/>
        <rFont val="Calibri"/>
        <family val="2"/>
        <scheme val="minor"/>
      </rPr>
      <t>3)</t>
    </r>
    <r>
      <rPr>
        <sz val="11"/>
        <color theme="1"/>
        <rFont val="Calibri"/>
        <family val="2"/>
        <scheme val="minor"/>
      </rPr>
      <t xml:space="preserve"> Overexpression of HDAC1 was detected in the nucleus of all cases with mucinous carcinoma (MUC) followed by clear cell carcinoma (CCC) (80%), Serous carcinoma (SEC) (73%), and endometrioid carcinoma (EMC) (53%). </t>
    </r>
    <r>
      <rPr>
        <b/>
        <sz val="11"/>
        <color theme="1"/>
        <rFont val="Calibri"/>
        <family val="2"/>
        <scheme val="minor"/>
      </rPr>
      <t>4)</t>
    </r>
    <r>
      <rPr>
        <sz val="11"/>
        <color theme="1"/>
        <rFont val="Calibri"/>
        <family val="2"/>
        <scheme val="minor"/>
      </rPr>
      <t xml:space="preserve"> The comparison between prior to and following chemotherapy revealed a nuclear expression increase in HDAC1 (76% vs. 92%; P=0.03). </t>
    </r>
    <r>
      <rPr>
        <b/>
        <sz val="11"/>
        <color theme="1"/>
        <rFont val="Calibri"/>
        <family val="2"/>
        <scheme val="minor"/>
      </rPr>
      <t>5)</t>
    </r>
    <r>
      <rPr>
        <sz val="11"/>
        <color theme="1"/>
        <rFont val="Calibri"/>
        <family val="2"/>
        <scheme val="minor"/>
      </rPr>
      <t xml:space="preserve"> HDAC1 nuclear expression adversely affected overall survival in SEC (P=0.02) and EMC (P=0.03). </t>
    </r>
    <r>
      <rPr>
        <b/>
        <sz val="11"/>
        <color theme="1"/>
        <rFont val="Calibri"/>
        <family val="2"/>
        <scheme val="minor"/>
      </rPr>
      <t xml:space="preserve">6) miRNA-34a </t>
    </r>
    <r>
      <rPr>
        <sz val="11"/>
        <color theme="1"/>
        <rFont val="Calibri"/>
        <family val="2"/>
        <scheme val="minor"/>
      </rPr>
      <t xml:space="preserve">decreases </t>
    </r>
    <r>
      <rPr>
        <b/>
        <sz val="11"/>
        <color theme="1"/>
        <rFont val="Calibri"/>
        <family val="2"/>
        <scheme val="minor"/>
      </rPr>
      <t>ovarian</t>
    </r>
    <r>
      <rPr>
        <sz val="11"/>
        <color theme="1"/>
        <rFont val="Calibri"/>
        <family val="2"/>
        <scheme val="minor"/>
      </rPr>
      <t xml:space="preserve"> cancer cell proliferation and chemoresistance by targeting </t>
    </r>
    <r>
      <rPr>
        <b/>
        <sz val="11"/>
        <color theme="1"/>
        <rFont val="Calibri"/>
        <family val="2"/>
        <scheme val="minor"/>
      </rPr>
      <t>HDAC1. 7)</t>
    </r>
    <r>
      <rPr>
        <sz val="11"/>
        <color theme="1"/>
        <rFont val="Calibri"/>
        <family val="2"/>
        <scheme val="minor"/>
      </rPr>
      <t xml:space="preserve"> The overexpression of HDAC1 decreased </t>
    </r>
    <r>
      <rPr>
        <b/>
        <sz val="11"/>
        <color theme="1"/>
        <rFont val="Calibri"/>
        <family val="2"/>
        <scheme val="minor"/>
      </rPr>
      <t>cisplatin</t>
    </r>
    <r>
      <rPr>
        <sz val="11"/>
        <color theme="1"/>
        <rFont val="Calibri"/>
        <family val="2"/>
        <scheme val="minor"/>
      </rPr>
      <t xml:space="preserve"> sensitivity and promoted proliferation in </t>
    </r>
    <r>
      <rPr>
        <b/>
        <sz val="11"/>
        <color theme="1"/>
        <rFont val="Calibri"/>
        <family val="2"/>
        <scheme val="minor"/>
      </rPr>
      <t>OC</t>
    </r>
    <r>
      <rPr>
        <sz val="11"/>
        <color theme="1"/>
        <rFont val="Calibri"/>
        <family val="2"/>
        <scheme val="minor"/>
      </rPr>
      <t xml:space="preserve"> cells. </t>
    </r>
    <r>
      <rPr>
        <b/>
        <sz val="11"/>
        <color theme="1"/>
        <rFont val="Calibri"/>
        <family val="2"/>
        <scheme val="minor"/>
      </rPr>
      <t>8)</t>
    </r>
    <r>
      <rPr>
        <sz val="11"/>
        <color theme="1"/>
        <rFont val="Calibri"/>
        <family val="2"/>
        <scheme val="minor"/>
      </rPr>
      <t xml:space="preserve"> In cisplatin-resistant A2780CDDP cells, HDAC1 knockdown by siRNA suppressed cell proliferation, and increased apoptosis and chemosensitivity by downregulating </t>
    </r>
    <r>
      <rPr>
        <b/>
        <sz val="11"/>
        <color theme="1"/>
        <rFont val="Calibri"/>
        <family val="2"/>
        <scheme val="minor"/>
      </rPr>
      <t>c-Myc</t>
    </r>
    <r>
      <rPr>
        <sz val="11"/>
        <color theme="1"/>
        <rFont val="Calibri"/>
        <family val="2"/>
        <scheme val="minor"/>
      </rPr>
      <t xml:space="preserve"> and upregulating </t>
    </r>
    <r>
      <rPr>
        <b/>
        <sz val="11"/>
        <color theme="1"/>
        <rFont val="Calibri"/>
        <family val="2"/>
        <scheme val="minor"/>
      </rPr>
      <t>miR-34a</t>
    </r>
    <r>
      <rPr>
        <sz val="11"/>
        <color theme="1"/>
        <rFont val="Calibri"/>
        <family val="2"/>
        <scheme val="minor"/>
      </rPr>
      <t xml:space="preserve">. In cisplatin-sensitive A2780 cells, HDAC1 knockdown did not affect cell proliferation and apoptosis. </t>
    </r>
    <r>
      <rPr>
        <b/>
        <sz val="11"/>
        <color theme="1"/>
        <rFont val="Calibri"/>
        <family val="2"/>
        <scheme val="minor"/>
      </rPr>
      <t xml:space="preserve">9) </t>
    </r>
    <r>
      <rPr>
        <sz val="11"/>
        <color theme="1"/>
        <rFont val="Calibri"/>
        <family val="2"/>
        <scheme val="minor"/>
      </rPr>
      <t>targeting HDAC1 inhibited A2780CDDP-induced xenograft tumor growth but not A2780-induced xenograft tumor growth. Targeting HDAC1 sensitized both A2780- and A2780CDDP-induced xenograft tumors to cisplatin treatment.</t>
    </r>
  </si>
  <si>
    <r>
      <rPr>
        <b/>
        <sz val="11"/>
        <color theme="1"/>
        <rFont val="Calibri"/>
        <family val="2"/>
        <scheme val="minor"/>
      </rPr>
      <t>1)</t>
    </r>
    <r>
      <rPr>
        <sz val="11"/>
        <color theme="1"/>
        <rFont val="Calibri"/>
        <family val="2"/>
        <scheme val="minor"/>
      </rPr>
      <t xml:space="preserve"> </t>
    </r>
    <r>
      <rPr>
        <b/>
        <sz val="11"/>
        <color theme="1"/>
        <rFont val="Calibri"/>
        <family val="2"/>
        <scheme val="minor"/>
      </rPr>
      <t>PD-L1</t>
    </r>
    <r>
      <rPr>
        <sz val="11"/>
        <color theme="1"/>
        <rFont val="Calibri"/>
        <family val="2"/>
        <scheme val="minor"/>
      </rPr>
      <t xml:space="preserve"> expression was significantly increased in A549/</t>
    </r>
    <r>
      <rPr>
        <b/>
        <sz val="11"/>
        <color theme="1"/>
        <rFont val="Calibri"/>
        <family val="2"/>
        <scheme val="minor"/>
      </rPr>
      <t>CDDP</t>
    </r>
    <r>
      <rPr>
        <sz val="11"/>
        <color theme="1"/>
        <rFont val="Calibri"/>
        <family val="2"/>
        <scheme val="minor"/>
      </rPr>
      <t xml:space="preserve">, MCF7/ADR and HepG2/ADR cells and was attributed mainly to enhanced </t>
    </r>
    <r>
      <rPr>
        <b/>
        <sz val="11"/>
        <color theme="1"/>
        <rFont val="Calibri"/>
        <family val="2"/>
        <scheme val="minor"/>
      </rPr>
      <t>JNK/c-Jun signaling</t>
    </r>
    <r>
      <rPr>
        <sz val="11"/>
        <color theme="1"/>
        <rFont val="Calibri"/>
        <family val="2"/>
        <scheme val="minor"/>
      </rPr>
      <t xml:space="preserve"> activation. </t>
    </r>
    <r>
      <rPr>
        <b/>
        <sz val="11"/>
        <color theme="1"/>
        <rFont val="Calibri"/>
        <family val="2"/>
        <scheme val="minor"/>
      </rPr>
      <t xml:space="preserve">2) </t>
    </r>
    <r>
      <rPr>
        <sz val="11"/>
        <color theme="1"/>
        <rFont val="Calibri"/>
        <family val="2"/>
        <scheme val="minor"/>
      </rPr>
      <t xml:space="preserve">Mechanistically, decreased </t>
    </r>
    <r>
      <rPr>
        <b/>
        <sz val="11"/>
        <color theme="1"/>
        <rFont val="Calibri"/>
        <family val="2"/>
        <scheme val="minor"/>
      </rPr>
      <t>COP1</t>
    </r>
    <r>
      <rPr>
        <sz val="11"/>
        <color theme="1"/>
        <rFont val="Calibri"/>
        <family val="2"/>
        <scheme val="minor"/>
      </rPr>
      <t xml:space="preserve"> increased c-Jun accumulation, which subsequently inhibited </t>
    </r>
    <r>
      <rPr>
        <b/>
        <sz val="11"/>
        <color theme="1"/>
        <rFont val="Calibri"/>
        <family val="2"/>
        <scheme val="minor"/>
      </rPr>
      <t>HDAC3</t>
    </r>
    <r>
      <rPr>
        <sz val="11"/>
        <color theme="1"/>
        <rFont val="Calibri"/>
        <family val="2"/>
        <scheme val="minor"/>
      </rPr>
      <t xml:space="preserve"> expression and thereby enhanced </t>
    </r>
    <r>
      <rPr>
        <b/>
        <sz val="11"/>
        <color theme="1"/>
        <rFont val="Calibri"/>
        <family val="2"/>
        <scheme val="minor"/>
      </rPr>
      <t>histone H3</t>
    </r>
    <r>
      <rPr>
        <sz val="11"/>
        <color theme="1"/>
        <rFont val="Calibri"/>
        <family val="2"/>
        <scheme val="minor"/>
      </rPr>
      <t xml:space="preserve"> acetylation of the </t>
    </r>
    <r>
      <rPr>
        <b/>
        <sz val="11"/>
        <color theme="1"/>
        <rFont val="Calibri"/>
        <family val="2"/>
        <scheme val="minor"/>
      </rPr>
      <t>PD-L1</t>
    </r>
    <r>
      <rPr>
        <sz val="11"/>
        <color theme="1"/>
        <rFont val="Calibri"/>
        <family val="2"/>
        <scheme val="minor"/>
      </rPr>
      <t xml:space="preserve"> promoter.</t>
    </r>
    <r>
      <rPr>
        <b/>
        <sz val="11"/>
        <color theme="1"/>
        <rFont val="Calibri"/>
        <family val="2"/>
        <scheme val="minor"/>
      </rPr>
      <t xml:space="preserve"> 3)</t>
    </r>
    <r>
      <rPr>
        <sz val="11"/>
        <color theme="1"/>
        <rFont val="Calibri"/>
        <family val="2"/>
        <scheme val="minor"/>
      </rPr>
      <t xml:space="preserve">  </t>
    </r>
    <r>
      <rPr>
        <b/>
        <sz val="11"/>
        <color theme="1"/>
        <rFont val="Calibri"/>
        <family val="2"/>
        <scheme val="minor"/>
      </rPr>
      <t>PD-L1</t>
    </r>
    <r>
      <rPr>
        <sz val="11"/>
        <color theme="1"/>
        <rFont val="Calibri"/>
        <family val="2"/>
        <scheme val="minor"/>
      </rPr>
      <t xml:space="preserve"> expression could be inhibited by JNK/c-Jun inhibition or HDAC3 overexpression in vivo, which could largely reverse inhibited CD3+ T cell proliferation in vitro. </t>
    </r>
    <r>
      <rPr>
        <b/>
        <sz val="11"/>
        <color theme="1"/>
        <rFont val="Calibri"/>
        <family val="2"/>
        <scheme val="minor"/>
      </rPr>
      <t>4) PD-L1</t>
    </r>
    <r>
      <rPr>
        <sz val="11"/>
        <color theme="1"/>
        <rFont val="Calibri"/>
        <family val="2"/>
        <scheme val="minor"/>
      </rPr>
      <t xml:space="preserve"> expression was significantly increased in the cisplatin-resistant clinical </t>
    </r>
    <r>
      <rPr>
        <b/>
        <sz val="11"/>
        <color theme="1"/>
        <rFont val="Calibri"/>
        <family val="2"/>
        <scheme val="minor"/>
      </rPr>
      <t>NSCLC</t>
    </r>
    <r>
      <rPr>
        <sz val="11"/>
        <color theme="1"/>
        <rFont val="Calibri"/>
        <family val="2"/>
        <scheme val="minor"/>
      </rPr>
      <t xml:space="preserve"> samples and positively correlated with c-Jun expression but negatively correlated with </t>
    </r>
    <r>
      <rPr>
        <b/>
        <sz val="11"/>
        <color theme="1"/>
        <rFont val="Calibri"/>
        <family val="2"/>
        <scheme val="minor"/>
      </rPr>
      <t>HDAC3</t>
    </r>
    <r>
      <rPr>
        <sz val="11"/>
        <color theme="1"/>
        <rFont val="Calibri"/>
        <family val="2"/>
        <scheme val="minor"/>
      </rPr>
      <t xml:space="preserve"> expression.</t>
    </r>
  </si>
  <si>
    <r>
      <rPr>
        <b/>
        <sz val="11"/>
        <color theme="1"/>
        <rFont val="Calibri"/>
        <family val="2"/>
        <scheme val="minor"/>
      </rPr>
      <t xml:space="preserve">1) </t>
    </r>
    <r>
      <rPr>
        <sz val="11"/>
        <color theme="1"/>
        <rFont val="Calibri"/>
        <family val="2"/>
        <scheme val="minor"/>
      </rPr>
      <t>Transcriptional analysis of a matched ovarian cell line series  (</t>
    </r>
    <r>
      <rPr>
        <b/>
        <sz val="11"/>
        <color theme="1"/>
        <rFont val="Calibri"/>
        <family val="2"/>
        <scheme val="minor"/>
      </rPr>
      <t>PEO1/PEO4/PEO6, PEA1/PEA2, PEO14/PEO23</t>
    </r>
    <r>
      <rPr>
        <sz val="11"/>
        <color theme="1"/>
        <rFont val="Calibri"/>
        <family val="2"/>
        <scheme val="minor"/>
      </rPr>
      <t xml:space="preserve">) identified 91 up- and 126 downregulated genes common to acquired resistance. </t>
    </r>
    <r>
      <rPr>
        <b/>
        <sz val="11"/>
        <color theme="1"/>
        <rFont val="Calibri"/>
        <family val="2"/>
        <scheme val="minor"/>
      </rPr>
      <t xml:space="preserve">2) </t>
    </r>
    <r>
      <rPr>
        <sz val="11"/>
        <color theme="1"/>
        <rFont val="Calibri"/>
        <family val="2"/>
        <scheme val="minor"/>
      </rPr>
      <t xml:space="preserve">Significantly enhanced apoptotic response to platinum treatment in resistant cells was observed following knockdown of </t>
    </r>
    <r>
      <rPr>
        <b/>
        <sz val="11"/>
        <color theme="1"/>
        <rFont val="Calibri"/>
        <family val="2"/>
        <scheme val="minor"/>
      </rPr>
      <t>HDAC4</t>
    </r>
    <r>
      <rPr>
        <sz val="11"/>
        <color theme="1"/>
        <rFont val="Calibri"/>
        <family val="2"/>
        <scheme val="minor"/>
      </rPr>
      <t xml:space="preserve">, FOLR2, PIK3R1, or STAT1 (P &lt; 0.05). </t>
    </r>
    <r>
      <rPr>
        <b/>
        <sz val="11"/>
        <color theme="1"/>
        <rFont val="Calibri"/>
        <family val="2"/>
        <scheme val="minor"/>
      </rPr>
      <t>3)</t>
    </r>
    <r>
      <rPr>
        <sz val="11"/>
        <color theme="1"/>
        <rFont val="Calibri"/>
        <family val="2"/>
        <scheme val="minor"/>
      </rPr>
      <t xml:space="preserve"> Analysis of 16 paired tumor biopsies taken before and after development of clinical platinum resistance showed significantly increased HDAC4</t>
    </r>
    <r>
      <rPr>
        <b/>
        <sz val="11"/>
        <color theme="1"/>
        <rFont val="Calibri"/>
        <family val="2"/>
        <scheme val="minor"/>
      </rPr>
      <t xml:space="preserve"> </t>
    </r>
    <r>
      <rPr>
        <sz val="11"/>
        <color theme="1"/>
        <rFont val="Calibri"/>
        <family val="2"/>
        <scheme val="minor"/>
      </rPr>
      <t>expression in resistant tumors [n = 7 of 16 (44%); P = 0.04].</t>
    </r>
    <r>
      <rPr>
        <b/>
        <sz val="11"/>
        <color theme="1"/>
        <rFont val="Calibri"/>
        <family val="2"/>
        <scheme val="minor"/>
      </rPr>
      <t xml:space="preserve"> 4)</t>
    </r>
    <r>
      <rPr>
        <sz val="11"/>
        <color theme="1"/>
        <rFont val="Calibri"/>
        <family val="2"/>
        <scheme val="minor"/>
      </rPr>
      <t xml:space="preserve"> clinical selection of </t>
    </r>
    <r>
      <rPr>
        <b/>
        <sz val="11"/>
        <color theme="1"/>
        <rFont val="Calibri"/>
        <family val="2"/>
        <scheme val="minor"/>
      </rPr>
      <t>HDAC4</t>
    </r>
    <r>
      <rPr>
        <sz val="11"/>
        <color theme="1"/>
        <rFont val="Calibri"/>
        <family val="2"/>
        <scheme val="minor"/>
      </rPr>
      <t xml:space="preserve">-overexpressing tumor cells upon exposure to chemotherapy promotes STAT1 deacetylation and cancer cell survival. </t>
    </r>
  </si>
  <si>
    <r>
      <rPr>
        <b/>
        <sz val="11"/>
        <color theme="1"/>
        <rFont val="Calibri"/>
        <family val="2"/>
        <scheme val="minor"/>
      </rPr>
      <t>1)</t>
    </r>
    <r>
      <rPr>
        <sz val="11"/>
        <color theme="1"/>
        <rFont val="Calibri"/>
        <family val="2"/>
        <scheme val="minor"/>
      </rPr>
      <t xml:space="preserve"> HECTD3 depletion promotes </t>
    </r>
    <r>
      <rPr>
        <b/>
        <sz val="11"/>
        <color theme="1"/>
        <rFont val="Calibri"/>
        <family val="2"/>
        <scheme val="minor"/>
      </rPr>
      <t>carboplatin</t>
    </r>
    <r>
      <rPr>
        <sz val="11"/>
        <color theme="1"/>
        <rFont val="Calibri"/>
        <family val="2"/>
        <scheme val="minor"/>
      </rPr>
      <t xml:space="preserve">-induced apoptosis in both an </t>
    </r>
    <r>
      <rPr>
        <b/>
        <sz val="11"/>
        <color theme="1"/>
        <rFont val="Calibri"/>
        <family val="2"/>
        <scheme val="minor"/>
      </rPr>
      <t>ovarian</t>
    </r>
    <r>
      <rPr>
        <sz val="11"/>
        <color theme="1"/>
        <rFont val="Calibri"/>
        <family val="2"/>
        <scheme val="minor"/>
      </rPr>
      <t xml:space="preserve"> cancer cell model and a xenograft mouse model. </t>
    </r>
    <r>
      <rPr>
        <b/>
        <sz val="11"/>
        <color theme="1"/>
        <rFont val="Calibri"/>
        <family val="2"/>
        <scheme val="minor"/>
      </rPr>
      <t xml:space="preserve">2) </t>
    </r>
    <r>
      <rPr>
        <sz val="11"/>
        <color theme="1"/>
        <rFont val="Calibri"/>
        <family val="2"/>
        <scheme val="minor"/>
      </rPr>
      <t xml:space="preserve">high HECTD3 expression is significantly associated with poor platinum response and prognosis in </t>
    </r>
    <r>
      <rPr>
        <b/>
        <sz val="11"/>
        <color theme="1"/>
        <rFont val="Calibri"/>
        <family val="2"/>
        <scheme val="minor"/>
      </rPr>
      <t>ovarian</t>
    </r>
    <r>
      <rPr>
        <sz val="11"/>
        <color theme="1"/>
        <rFont val="Calibri"/>
        <family val="2"/>
        <scheme val="minor"/>
      </rPr>
      <t xml:space="preserve"> cancer patients. </t>
    </r>
    <r>
      <rPr>
        <b/>
        <sz val="11"/>
        <color theme="1"/>
        <rFont val="Calibri"/>
        <family val="2"/>
        <scheme val="minor"/>
      </rPr>
      <t xml:space="preserve">3) </t>
    </r>
    <r>
      <rPr>
        <sz val="11"/>
        <color theme="1"/>
        <rFont val="Calibri"/>
        <family val="2"/>
        <scheme val="minor"/>
      </rPr>
      <t xml:space="preserve">HER2 can up-regulate HECTD3 expression through activating STAT3. </t>
    </r>
    <r>
      <rPr>
        <b/>
        <sz val="11"/>
        <color theme="1"/>
        <rFont val="Calibri"/>
        <family val="2"/>
        <scheme val="minor"/>
      </rPr>
      <t>4)</t>
    </r>
    <r>
      <rPr>
        <sz val="11"/>
        <color theme="1"/>
        <rFont val="Calibri"/>
        <family val="2"/>
        <scheme val="minor"/>
      </rPr>
      <t xml:space="preserve"> HER2 inhibitors, such as lapatinib, down-regulate HECTD3 expression and thus promote the chemosensitivity of ovarian cancer cells to carboplatin. </t>
    </r>
    <r>
      <rPr>
        <b/>
        <sz val="11"/>
        <color theme="1"/>
        <rFont val="Calibri"/>
        <family val="2"/>
        <scheme val="minor"/>
      </rPr>
      <t xml:space="preserve">5) </t>
    </r>
    <r>
      <rPr>
        <sz val="11"/>
        <color theme="1"/>
        <rFont val="Calibri"/>
        <family val="2"/>
        <scheme val="minor"/>
      </rPr>
      <t xml:space="preserve">Lapatinib combined with carboplatin also significantly inhibits serous ovarian carcinoma growth compared with each drug alone in a xenograft mouse model. </t>
    </r>
  </si>
  <si>
    <r>
      <rPr>
        <b/>
        <sz val="11"/>
        <color theme="1"/>
        <rFont val="Calibri"/>
        <family val="2"/>
        <scheme val="minor"/>
      </rPr>
      <t>1)</t>
    </r>
    <r>
      <rPr>
        <sz val="11"/>
        <color theme="1"/>
        <rFont val="Calibri"/>
        <family val="2"/>
        <scheme val="minor"/>
      </rPr>
      <t xml:space="preserve"> HELQ expression associates with response of </t>
    </r>
    <r>
      <rPr>
        <b/>
        <sz val="11"/>
        <color theme="1"/>
        <rFont val="Calibri"/>
        <family val="2"/>
        <scheme val="minor"/>
      </rPr>
      <t>EOC</t>
    </r>
    <r>
      <rPr>
        <sz val="11"/>
        <color theme="1"/>
        <rFont val="Calibri"/>
        <family val="2"/>
        <scheme val="minor"/>
      </rPr>
      <t xml:space="preserve"> patients to </t>
    </r>
    <r>
      <rPr>
        <b/>
        <sz val="11"/>
        <color theme="1"/>
        <rFont val="Calibri"/>
        <family val="2"/>
        <scheme val="minor"/>
      </rPr>
      <t>platinum</t>
    </r>
    <r>
      <rPr>
        <sz val="11"/>
        <color theme="1"/>
        <rFont val="Calibri"/>
        <family val="2"/>
        <scheme val="minor"/>
      </rPr>
      <t xml:space="preserve">-based chemotherapy and their overall survival (OS), disease free survival (DFS). </t>
    </r>
    <r>
      <rPr>
        <b/>
        <sz val="11"/>
        <color theme="1"/>
        <rFont val="Calibri"/>
        <family val="2"/>
        <scheme val="minor"/>
      </rPr>
      <t>2)</t>
    </r>
    <r>
      <rPr>
        <sz val="11"/>
        <color theme="1"/>
        <rFont val="Calibri"/>
        <family val="2"/>
        <scheme val="minor"/>
      </rPr>
      <t xml:space="preserve"> HELQ overexpression or knockdown, respectively, increased and decreased the cellular resistance to cisplatin, DNA repair activity, and expression of DNA repair proteins of Nucleotide excision repair (NER) pathway.</t>
    </r>
  </si>
  <si>
    <r>
      <rPr>
        <b/>
        <sz val="11"/>
        <color theme="1"/>
        <rFont val="Calibri"/>
        <family val="2"/>
        <scheme val="minor"/>
      </rPr>
      <t>1)</t>
    </r>
    <r>
      <rPr>
        <sz val="11"/>
        <color theme="1"/>
        <rFont val="Calibri"/>
        <family val="2"/>
        <scheme val="minor"/>
      </rPr>
      <t xml:space="preserve"> </t>
    </r>
    <r>
      <rPr>
        <b/>
        <sz val="11"/>
        <color theme="1"/>
        <rFont val="Calibri"/>
        <family val="2"/>
        <scheme val="minor"/>
      </rPr>
      <t>HEY1</t>
    </r>
    <r>
      <rPr>
        <sz val="11"/>
        <color theme="1"/>
        <rFont val="Calibri"/>
        <family val="2"/>
        <scheme val="minor"/>
      </rPr>
      <t xml:space="preserve"> is specifically upregulated in </t>
    </r>
    <r>
      <rPr>
        <b/>
        <sz val="11"/>
        <color theme="1"/>
        <rFont val="Calibri"/>
        <family val="2"/>
        <scheme val="minor"/>
      </rPr>
      <t>HNSCC</t>
    </r>
    <r>
      <rPr>
        <sz val="11"/>
        <color theme="1"/>
        <rFont val="Calibri"/>
        <family val="2"/>
        <scheme val="minor"/>
      </rPr>
      <t xml:space="preserve"> compared with normal tissues in the TCGA data set. </t>
    </r>
    <r>
      <rPr>
        <b/>
        <sz val="11"/>
        <color theme="1"/>
        <rFont val="Calibri"/>
        <family val="2"/>
        <scheme val="minor"/>
      </rPr>
      <t>2)</t>
    </r>
    <r>
      <rPr>
        <sz val="11"/>
        <color theme="1"/>
        <rFont val="Calibri"/>
        <family val="2"/>
        <scheme val="minor"/>
      </rPr>
      <t xml:space="preserve"> NOTCH4 is more significantly related to HEY1 activation in HNSCC in comparison with other NOTCH receptors. </t>
    </r>
    <r>
      <rPr>
        <b/>
        <sz val="11"/>
        <color theme="1"/>
        <rFont val="Calibri"/>
        <family val="2"/>
        <scheme val="minor"/>
      </rPr>
      <t>3)</t>
    </r>
    <r>
      <rPr>
        <sz val="11"/>
        <color theme="1"/>
        <rFont val="Calibri"/>
        <family val="2"/>
        <scheme val="minor"/>
      </rPr>
      <t xml:space="preserve"> NOTCH4 promotes cell proliferation,</t>
    </r>
    <r>
      <rPr>
        <b/>
        <sz val="11"/>
        <color theme="1"/>
        <rFont val="Calibri"/>
        <family val="2"/>
        <scheme val="minor"/>
      </rPr>
      <t> cisplatin</t>
    </r>
    <r>
      <rPr>
        <sz val="11"/>
        <color theme="1"/>
        <rFont val="Calibri"/>
        <family val="2"/>
        <scheme val="minor"/>
      </rPr>
      <t xml:space="preserve"> resistance, inhibition of apoptosis, and cell-cycle dysregulation. </t>
    </r>
    <r>
      <rPr>
        <b/>
        <sz val="11"/>
        <color theme="1"/>
        <rFont val="Calibri"/>
        <family val="2"/>
        <scheme val="minor"/>
      </rPr>
      <t xml:space="preserve">4) </t>
    </r>
    <r>
      <rPr>
        <sz val="11"/>
        <color theme="1"/>
        <rFont val="Calibri"/>
        <family val="2"/>
        <scheme val="minor"/>
      </rPr>
      <t>NOTCH4 and HEY1 upregulation resulted in decreased E-cadherin expression and increased Vimentin, Fibronectin, TWIST1, and SOX2 expression. NOTCH4 and HEY1 expression was associated with an EMT phenotype as well as increased invasion and cell migration.</t>
    </r>
  </si>
  <si>
    <r>
      <rPr>
        <b/>
        <sz val="11"/>
        <color theme="1"/>
        <rFont val="Calibri"/>
        <family val="2"/>
        <scheme val="minor"/>
      </rPr>
      <t>1) HIF-1α</t>
    </r>
    <r>
      <rPr>
        <sz val="11"/>
        <color theme="1"/>
        <rFont val="Calibri"/>
        <family val="2"/>
        <scheme val="minor"/>
      </rPr>
      <t xml:space="preserve"> overexpression in biopsies of brain, breast, cervical, esophageal, oropharyngeal and </t>
    </r>
    <r>
      <rPr>
        <b/>
        <sz val="11"/>
        <color theme="1"/>
        <rFont val="Calibri"/>
        <family val="2"/>
        <scheme val="minor"/>
      </rPr>
      <t>ovarian</t>
    </r>
    <r>
      <rPr>
        <sz val="11"/>
        <color theme="1"/>
        <rFont val="Calibri"/>
        <family val="2"/>
        <scheme val="minor"/>
      </rPr>
      <t xml:space="preserve"> cancers is correlated with treatment failure and mortality. </t>
    </r>
    <r>
      <rPr>
        <b/>
        <sz val="11"/>
        <color theme="1"/>
        <rFont val="Calibri"/>
        <family val="2"/>
        <scheme val="minor"/>
      </rPr>
      <t xml:space="preserve">2) </t>
    </r>
    <r>
      <rPr>
        <sz val="11"/>
        <color theme="1"/>
        <rFont val="Calibri"/>
        <family val="2"/>
        <scheme val="minor"/>
      </rPr>
      <t xml:space="preserve">Exposure of </t>
    </r>
    <r>
      <rPr>
        <b/>
        <sz val="11"/>
        <color theme="1"/>
        <rFont val="Calibri"/>
        <family val="2"/>
        <scheme val="minor"/>
      </rPr>
      <t>NSCLC</t>
    </r>
    <r>
      <rPr>
        <sz val="11"/>
        <color theme="1"/>
        <rFont val="Calibri"/>
        <family val="2"/>
        <scheme val="minor"/>
      </rPr>
      <t xml:space="preserve"> SPCA1 and A549 cells to 0.5% O2 significantly increased resistance to </t>
    </r>
    <r>
      <rPr>
        <b/>
        <sz val="11"/>
        <color theme="1"/>
        <rFont val="Calibri"/>
        <family val="2"/>
        <scheme val="minor"/>
      </rPr>
      <t>cisplatin</t>
    </r>
    <r>
      <rPr>
        <sz val="11"/>
        <color theme="1"/>
        <rFont val="Calibri"/>
        <family val="2"/>
        <scheme val="minor"/>
      </rPr>
      <t xml:space="preserve"> and doxorubicin. </t>
    </r>
    <r>
      <rPr>
        <b/>
        <sz val="11"/>
        <color theme="1"/>
        <rFont val="Calibri"/>
        <family val="2"/>
        <scheme val="minor"/>
      </rPr>
      <t xml:space="preserve">3) </t>
    </r>
    <r>
      <rPr>
        <sz val="11"/>
        <color theme="1"/>
        <rFont val="Calibri"/>
        <family val="2"/>
        <scheme val="minor"/>
      </rPr>
      <t xml:space="preserve">Hypoxia-induced resistance to </t>
    </r>
    <r>
      <rPr>
        <b/>
        <sz val="11"/>
        <color theme="1"/>
        <rFont val="Calibri"/>
        <family val="2"/>
        <scheme val="minor"/>
      </rPr>
      <t>cisplatin</t>
    </r>
    <r>
      <rPr>
        <sz val="11"/>
        <color theme="1"/>
        <rFont val="Calibri"/>
        <family val="2"/>
        <scheme val="minor"/>
      </rPr>
      <t xml:space="preserve"> and doxorubicin were reversed in SPCA1/HIF-1alpha(-) and A549/HIF-1alpha(-) cells.</t>
    </r>
    <r>
      <rPr>
        <b/>
        <sz val="11"/>
        <color theme="1"/>
        <rFont val="Calibri"/>
        <family val="2"/>
        <scheme val="minor"/>
      </rPr>
      <t xml:space="preserve"> 4)</t>
    </r>
    <r>
      <rPr>
        <sz val="11"/>
        <color theme="1"/>
        <rFont val="Calibri"/>
        <family val="2"/>
        <scheme val="minor"/>
      </rPr>
      <t xml:space="preserve"> The combination of </t>
    </r>
    <r>
      <rPr>
        <b/>
        <sz val="11"/>
        <color theme="1"/>
        <rFont val="Calibri"/>
        <family val="2"/>
        <scheme val="minor"/>
      </rPr>
      <t>HIF-1alpha</t>
    </r>
    <r>
      <rPr>
        <sz val="11"/>
        <color theme="1"/>
        <rFont val="Calibri"/>
        <family val="2"/>
        <scheme val="minor"/>
      </rPr>
      <t xml:space="preserve"> protein overexpression with nonfunctional </t>
    </r>
    <r>
      <rPr>
        <b/>
        <sz val="11"/>
        <color theme="1"/>
        <rFont val="Calibri"/>
        <family val="2"/>
        <scheme val="minor"/>
      </rPr>
      <t>p53</t>
    </r>
    <r>
      <rPr>
        <sz val="11"/>
        <color theme="1"/>
        <rFont val="Calibri"/>
        <family val="2"/>
        <scheme val="minor"/>
      </rPr>
      <t xml:space="preserve"> indicates a dismal prognosis in </t>
    </r>
    <r>
      <rPr>
        <b/>
        <sz val="11"/>
        <color theme="1"/>
        <rFont val="Calibri"/>
        <family val="2"/>
        <scheme val="minor"/>
      </rPr>
      <t>EOC</t>
    </r>
    <r>
      <rPr>
        <sz val="11"/>
        <color theme="1"/>
        <rFont val="Calibri"/>
        <family val="2"/>
        <scheme val="minor"/>
      </rPr>
      <t xml:space="preserve"> patients. </t>
    </r>
    <r>
      <rPr>
        <b/>
        <sz val="11"/>
        <color theme="1"/>
        <rFont val="Calibri"/>
        <family val="2"/>
        <scheme val="minor"/>
      </rPr>
      <t>5) HIF-1α</t>
    </r>
    <r>
      <rPr>
        <sz val="11"/>
        <color theme="1"/>
        <rFont val="Calibri"/>
        <family val="2"/>
        <scheme val="minor"/>
      </rPr>
      <t xml:space="preserve"> expression was significantly correlated with initial response to </t>
    </r>
    <r>
      <rPr>
        <b/>
        <sz val="11"/>
        <color theme="1"/>
        <rFont val="Calibri"/>
        <family val="2"/>
        <scheme val="minor"/>
      </rPr>
      <t>CRT</t>
    </r>
    <r>
      <rPr>
        <sz val="11"/>
        <color theme="1"/>
        <rFont val="Calibri"/>
        <family val="2"/>
        <scheme val="minor"/>
      </rPr>
      <t xml:space="preserve"> (p=0.0027): </t>
    </r>
    <r>
      <rPr>
        <b/>
        <sz val="11"/>
        <color theme="1"/>
        <rFont val="Calibri"/>
        <family val="2"/>
        <scheme val="minor"/>
      </rPr>
      <t>esophageal</t>
    </r>
    <r>
      <rPr>
        <sz val="11"/>
        <color theme="1"/>
        <rFont val="Calibri"/>
        <family val="2"/>
        <scheme val="minor"/>
      </rPr>
      <t xml:space="preserve"> cancer patients with high </t>
    </r>
    <r>
      <rPr>
        <b/>
        <sz val="11"/>
        <color theme="1"/>
        <rFont val="Calibri"/>
        <family val="2"/>
        <scheme val="minor"/>
      </rPr>
      <t>HIF-1α</t>
    </r>
    <r>
      <rPr>
        <sz val="11"/>
        <color theme="1"/>
        <rFont val="Calibri"/>
        <family val="2"/>
        <scheme val="minor"/>
      </rPr>
      <t xml:space="preserve"> expression had significantly poorer local control (LC) (5-year LC: 42.7%) than those with low expression (5-year LC: 72.5%; p=0.0322). </t>
    </r>
    <r>
      <rPr>
        <b/>
        <sz val="11"/>
        <color theme="1"/>
        <rFont val="Calibri"/>
        <family val="2"/>
        <scheme val="minor"/>
      </rPr>
      <t>6)</t>
    </r>
    <r>
      <rPr>
        <sz val="11"/>
        <color theme="1"/>
        <rFont val="Calibri"/>
        <family val="2"/>
        <scheme val="minor"/>
      </rPr>
      <t xml:space="preserve"> Patients with high</t>
    </r>
    <r>
      <rPr>
        <b/>
        <sz val="11"/>
        <color theme="1"/>
        <rFont val="Calibri"/>
        <family val="2"/>
        <scheme val="minor"/>
      </rPr>
      <t xml:space="preserve"> HIF-1α</t>
    </r>
    <r>
      <rPr>
        <sz val="11"/>
        <color theme="1"/>
        <rFont val="Calibri"/>
        <family val="2"/>
        <scheme val="minor"/>
      </rPr>
      <t xml:space="preserve"> expression also had significantly lower recurrence-free survival (RFS) compared to those with low </t>
    </r>
    <r>
      <rPr>
        <b/>
        <sz val="11"/>
        <color theme="1"/>
        <rFont val="Calibri"/>
        <family val="2"/>
        <scheme val="minor"/>
      </rPr>
      <t>HIF-1α</t>
    </r>
    <r>
      <rPr>
        <sz val="11"/>
        <color theme="1"/>
        <rFont val="Calibri"/>
        <family val="2"/>
        <scheme val="minor"/>
      </rPr>
      <t xml:space="preserve"> expression. </t>
    </r>
    <r>
      <rPr>
        <b/>
        <sz val="11"/>
        <color theme="1"/>
        <rFont val="Calibri"/>
        <family val="2"/>
        <scheme val="minor"/>
      </rPr>
      <t>7)</t>
    </r>
    <r>
      <rPr>
        <sz val="11"/>
        <color theme="1"/>
        <rFont val="Calibri"/>
        <family val="2"/>
        <scheme val="minor"/>
      </rPr>
      <t xml:space="preserve"> High </t>
    </r>
    <r>
      <rPr>
        <b/>
        <sz val="11"/>
        <color theme="1"/>
        <rFont val="Calibri"/>
        <family val="2"/>
        <scheme val="minor"/>
      </rPr>
      <t>HIF1α</t>
    </r>
    <r>
      <rPr>
        <sz val="11"/>
        <color theme="1"/>
        <rFont val="Calibri"/>
        <family val="2"/>
        <scheme val="minor"/>
      </rPr>
      <t xml:space="preserve"> expression is a predictor of poor clinical response to CRT in HPV-negative LA-</t>
    </r>
    <r>
      <rPr>
        <b/>
        <sz val="11"/>
        <color theme="1"/>
        <rFont val="Calibri"/>
        <family val="2"/>
        <scheme val="minor"/>
      </rPr>
      <t>HNSCC</t>
    </r>
    <r>
      <rPr>
        <sz val="11"/>
        <color theme="1"/>
        <rFont val="Calibri"/>
        <family val="2"/>
        <scheme val="minor"/>
      </rPr>
      <t xml:space="preserve"> patients. </t>
    </r>
  </si>
  <si>
    <r>
      <rPr>
        <b/>
        <sz val="11"/>
        <color theme="1"/>
        <rFont val="Calibri"/>
        <family val="2"/>
        <scheme val="minor"/>
      </rPr>
      <t>1) HIPK2</t>
    </r>
    <r>
      <rPr>
        <sz val="11"/>
        <color theme="1"/>
        <rFont val="Calibri"/>
        <family val="2"/>
        <scheme val="minor"/>
      </rPr>
      <t xml:space="preserve"> was expressed differently in sensitive versus chemoresistant cells in response to different chemotherapeutic drugs (i.e., </t>
    </r>
    <r>
      <rPr>
        <b/>
        <sz val="11"/>
        <color theme="1"/>
        <rFont val="Calibri"/>
        <family val="2"/>
        <scheme val="minor"/>
      </rPr>
      <t>cisplatin</t>
    </r>
    <r>
      <rPr>
        <sz val="11"/>
        <color theme="1"/>
        <rFont val="Calibri"/>
        <family val="2"/>
        <scheme val="minor"/>
      </rPr>
      <t xml:space="preserve"> and adriamycin), though the p53Ser46 apoptotic pathway was not defective in chemoresistant ovarian cancer 2008C13 cells. </t>
    </r>
    <r>
      <rPr>
        <b/>
        <sz val="11"/>
        <color theme="1"/>
        <rFont val="Calibri"/>
        <family val="2"/>
        <scheme val="minor"/>
      </rPr>
      <t>2)</t>
    </r>
    <r>
      <rPr>
        <sz val="11"/>
        <color theme="1"/>
        <rFont val="Calibri"/>
        <family val="2"/>
        <scheme val="minor"/>
      </rPr>
      <t xml:space="preserve"> </t>
    </r>
    <r>
      <rPr>
        <b/>
        <sz val="11"/>
        <color theme="1"/>
        <rFont val="Calibri"/>
        <family val="2"/>
        <scheme val="minor"/>
      </rPr>
      <t>OC</t>
    </r>
    <r>
      <rPr>
        <sz val="11"/>
        <color theme="1"/>
        <rFont val="Calibri"/>
        <family val="2"/>
        <scheme val="minor"/>
      </rPr>
      <t xml:space="preserve"> 2008C13 cells were resistant to cisplatin but sensitive to adriamycin-induced apoptosis through activation of the HIPK2/p53Ser46 pathway. </t>
    </r>
    <r>
      <rPr>
        <b/>
        <sz val="11"/>
        <color theme="1"/>
        <rFont val="Calibri"/>
        <family val="2"/>
        <scheme val="minor"/>
      </rPr>
      <t>3)</t>
    </r>
    <r>
      <rPr>
        <sz val="11"/>
        <color theme="1"/>
        <rFont val="Calibri"/>
        <family val="2"/>
        <scheme val="minor"/>
      </rPr>
      <t xml:space="preserve"> HIPK2 knock-down inhibited the adriamycin-induced apoptosis in 2008C13 cells. </t>
    </r>
    <r>
      <rPr>
        <b/>
        <sz val="11"/>
        <color theme="1"/>
        <rFont val="Calibri"/>
        <family val="2"/>
        <scheme val="minor"/>
      </rPr>
      <t xml:space="preserve">4) </t>
    </r>
    <r>
      <rPr>
        <sz val="11"/>
        <color theme="1"/>
        <rFont val="Calibri"/>
        <family val="2"/>
        <scheme val="minor"/>
      </rPr>
      <t xml:space="preserve">Exogenous HIPK2 triggered apoptosis in chemoresistant cells, associated with induction of p53Ser46-target gene AIP1. </t>
    </r>
    <r>
      <rPr>
        <b/>
        <sz val="11"/>
        <color theme="1"/>
        <rFont val="Calibri"/>
        <family val="2"/>
        <scheme val="minor"/>
      </rPr>
      <t>5) HIPK2</t>
    </r>
    <r>
      <rPr>
        <sz val="11"/>
        <color theme="1"/>
        <rFont val="Calibri"/>
        <family val="2"/>
        <scheme val="minor"/>
      </rPr>
      <t xml:space="preserve"> mRNA and protein levels are significantly decreased in cisplatin-resistant </t>
    </r>
    <r>
      <rPr>
        <b/>
        <sz val="11"/>
        <color theme="1"/>
        <rFont val="Calibri"/>
        <family val="2"/>
        <scheme val="minor"/>
      </rPr>
      <t>bladder</t>
    </r>
    <r>
      <rPr>
        <sz val="11"/>
        <color theme="1"/>
        <rFont val="Calibri"/>
        <family val="2"/>
        <scheme val="minor"/>
      </rPr>
      <t xml:space="preserve"> cancer cell in vivo and in vitro. </t>
    </r>
    <r>
      <rPr>
        <b/>
        <sz val="11"/>
        <color theme="1"/>
        <rFont val="Calibri"/>
        <family val="2"/>
        <scheme val="minor"/>
      </rPr>
      <t xml:space="preserve">6) </t>
    </r>
    <r>
      <rPr>
        <sz val="11"/>
        <color theme="1"/>
        <rFont val="Calibri"/>
        <family val="2"/>
        <scheme val="minor"/>
      </rPr>
      <t xml:space="preserve">Downregulation of HIPK2 increases the cell viability in a dose- and time-dependent manner during cisplatin treatment, whereas overexpression of HIPK2 reduces the cell viability. </t>
    </r>
    <r>
      <rPr>
        <b/>
        <sz val="11"/>
        <color theme="1"/>
        <rFont val="Calibri"/>
        <family val="2"/>
        <scheme val="minor"/>
      </rPr>
      <t>7)</t>
    </r>
    <r>
      <rPr>
        <sz val="11"/>
        <color theme="1"/>
        <rFont val="Calibri"/>
        <family val="2"/>
        <scheme val="minor"/>
      </rPr>
      <t xml:space="preserve"> HIPK2 overexpression partially overcomes cisplatin resistance in RT4-CisR cell. </t>
    </r>
    <r>
      <rPr>
        <b/>
        <sz val="11"/>
        <color theme="1"/>
        <rFont val="Calibri"/>
        <family val="2"/>
        <scheme val="minor"/>
      </rPr>
      <t>8)</t>
    </r>
    <r>
      <rPr>
        <sz val="11"/>
        <color theme="1"/>
        <rFont val="Calibri"/>
        <family val="2"/>
        <scheme val="minor"/>
      </rPr>
      <t xml:space="preserve"> Wip1 (wild-type p53-induced phosphatase 1) expression is upregulated in RT4-CisR cell compared with RT4 cell, and HIPK2 negatively regulates Wip1 expression in bladder cancer cell. </t>
    </r>
    <r>
      <rPr>
        <b/>
        <sz val="11"/>
        <color theme="1"/>
        <rFont val="Calibri"/>
        <family val="2"/>
        <scheme val="minor"/>
      </rPr>
      <t xml:space="preserve">9) </t>
    </r>
    <r>
      <rPr>
        <sz val="11"/>
        <color theme="1"/>
        <rFont val="Calibri"/>
        <family val="2"/>
        <scheme val="minor"/>
      </rPr>
      <t xml:space="preserve">HIPK2 and Wip1 expression is also negatively correlated after cisplatin-based combination chemotherapy in vivo. </t>
    </r>
    <r>
      <rPr>
        <b/>
        <sz val="11"/>
        <color theme="1"/>
        <rFont val="Calibri"/>
        <family val="2"/>
        <scheme val="minor"/>
      </rPr>
      <t>10)</t>
    </r>
    <r>
      <rPr>
        <sz val="11"/>
        <color theme="1"/>
        <rFont val="Calibri"/>
        <family val="2"/>
        <scheme val="minor"/>
      </rPr>
      <t xml:space="preserve"> overexpression of HIPK2 sensitizes chemoresistant bladder cancer cell to cisplatin by regulating Wip1 expression. </t>
    </r>
  </si>
  <si>
    <r>
      <rPr>
        <b/>
        <sz val="11"/>
        <color theme="1"/>
        <rFont val="Calibri"/>
        <family val="2"/>
        <scheme val="minor"/>
      </rPr>
      <t xml:space="preserve">1) </t>
    </r>
    <r>
      <rPr>
        <sz val="11"/>
        <color theme="1"/>
        <rFont val="Calibri"/>
        <family val="2"/>
        <scheme val="minor"/>
      </rPr>
      <t xml:space="preserve">Increased </t>
    </r>
    <r>
      <rPr>
        <b/>
        <sz val="11"/>
        <color theme="1"/>
        <rFont val="Calibri"/>
        <family val="2"/>
        <scheme val="minor"/>
      </rPr>
      <t>HK2</t>
    </r>
    <r>
      <rPr>
        <sz val="11"/>
        <color theme="1"/>
        <rFont val="Calibri"/>
        <family val="2"/>
        <scheme val="minor"/>
      </rPr>
      <t xml:space="preserve"> levels were detected in drug-resistant human </t>
    </r>
    <r>
      <rPr>
        <b/>
        <sz val="11"/>
        <color theme="1"/>
        <rFont val="Calibri"/>
        <family val="2"/>
        <scheme val="minor"/>
      </rPr>
      <t>ovarian</t>
    </r>
    <r>
      <rPr>
        <sz val="11"/>
        <color theme="1"/>
        <rFont val="Calibri"/>
        <family val="2"/>
        <scheme val="minor"/>
      </rPr>
      <t xml:space="preserve"> cancer cells and tissues. </t>
    </r>
    <r>
      <rPr>
        <b/>
        <sz val="11"/>
        <color theme="1"/>
        <rFont val="Calibri"/>
        <family val="2"/>
        <scheme val="minor"/>
      </rPr>
      <t>2) Cisplatin</t>
    </r>
    <r>
      <rPr>
        <sz val="11"/>
        <color theme="1"/>
        <rFont val="Calibri"/>
        <family val="2"/>
        <scheme val="minor"/>
      </rPr>
      <t xml:space="preserve"> downregulated HK2 in cisplatin-sensitive but not in resistant ovarian cancer cells. </t>
    </r>
    <r>
      <rPr>
        <b/>
        <sz val="11"/>
        <color theme="1"/>
        <rFont val="Calibri"/>
        <family val="2"/>
        <scheme val="minor"/>
      </rPr>
      <t>3)</t>
    </r>
    <r>
      <rPr>
        <sz val="11"/>
        <color theme="1"/>
        <rFont val="Calibri"/>
        <family val="2"/>
        <scheme val="minor"/>
      </rPr>
      <t xml:space="preserve"> </t>
    </r>
    <r>
      <rPr>
        <b/>
        <sz val="11"/>
        <color theme="1"/>
        <rFont val="Calibri"/>
        <family val="2"/>
        <scheme val="minor"/>
      </rPr>
      <t>HK2</t>
    </r>
    <r>
      <rPr>
        <sz val="11"/>
        <color theme="1"/>
        <rFont val="Calibri"/>
        <family val="2"/>
        <scheme val="minor"/>
      </rPr>
      <t xml:space="preserve"> knockdown sensitized resistant ovarian cancer cells to cisplatin-induced cell death and apoptosis. </t>
    </r>
    <r>
      <rPr>
        <b/>
        <sz val="11"/>
        <color theme="1"/>
        <rFont val="Calibri"/>
        <family val="2"/>
        <scheme val="minor"/>
      </rPr>
      <t>4)</t>
    </r>
    <r>
      <rPr>
        <sz val="11"/>
        <color theme="1"/>
        <rFont val="Calibri"/>
        <family val="2"/>
        <scheme val="minor"/>
      </rPr>
      <t xml:space="preserve"> </t>
    </r>
    <r>
      <rPr>
        <b/>
        <sz val="11"/>
        <color theme="1"/>
        <rFont val="Calibri"/>
        <family val="2"/>
        <scheme val="minor"/>
      </rPr>
      <t>HK2</t>
    </r>
    <r>
      <rPr>
        <sz val="11"/>
        <color theme="1"/>
        <rFont val="Calibri"/>
        <family val="2"/>
        <scheme val="minor"/>
      </rPr>
      <t xml:space="preserve"> overexpression in cisplatin-sensitive cells induced </t>
    </r>
    <r>
      <rPr>
        <b/>
        <sz val="11"/>
        <color theme="1"/>
        <rFont val="Calibri"/>
        <family val="2"/>
        <scheme val="minor"/>
      </rPr>
      <t>cisplatin</t>
    </r>
    <r>
      <rPr>
        <sz val="11"/>
        <color theme="1"/>
        <rFont val="Calibri"/>
        <family val="2"/>
        <scheme val="minor"/>
      </rPr>
      <t xml:space="preserve"> resistance.</t>
    </r>
    <r>
      <rPr>
        <b/>
        <sz val="11"/>
        <color theme="1"/>
        <rFont val="Calibri"/>
        <family val="2"/>
        <scheme val="minor"/>
      </rPr>
      <t xml:space="preserve"> 5) HK2</t>
    </r>
    <r>
      <rPr>
        <sz val="11"/>
        <color theme="1"/>
        <rFont val="Calibri"/>
        <family val="2"/>
        <scheme val="minor"/>
      </rPr>
      <t xml:space="preserve"> overexpression enhanced cisplatin-induced </t>
    </r>
    <r>
      <rPr>
        <b/>
        <sz val="11"/>
        <color theme="1"/>
        <rFont val="Calibri"/>
        <family val="2"/>
        <scheme val="minor"/>
      </rPr>
      <t>ERK1/2</t>
    </r>
    <r>
      <rPr>
        <sz val="11"/>
        <color theme="1"/>
        <rFont val="Calibri"/>
        <family val="2"/>
        <scheme val="minor"/>
      </rPr>
      <t xml:space="preserve"> phosphorylation and autophagy while </t>
    </r>
    <r>
      <rPr>
        <b/>
        <sz val="11"/>
        <color theme="1"/>
        <rFont val="Calibri"/>
        <family val="2"/>
        <scheme val="minor"/>
      </rPr>
      <t>HK2</t>
    </r>
    <r>
      <rPr>
        <sz val="11"/>
        <color theme="1"/>
        <rFont val="Calibri"/>
        <family val="2"/>
        <scheme val="minor"/>
      </rPr>
      <t xml:space="preserve"> knockdown showed the opposite effects. </t>
    </r>
    <r>
      <rPr>
        <b/>
        <sz val="11"/>
        <color theme="1"/>
        <rFont val="Calibri"/>
        <family val="2"/>
        <scheme val="minor"/>
      </rPr>
      <t xml:space="preserve">6) </t>
    </r>
    <r>
      <rPr>
        <sz val="11"/>
        <color theme="1"/>
        <rFont val="Calibri"/>
        <family val="2"/>
        <scheme val="minor"/>
      </rPr>
      <t xml:space="preserve">Blocking the MEK/ERK pathway using the </t>
    </r>
    <r>
      <rPr>
        <b/>
        <sz val="11"/>
        <color theme="1"/>
        <rFont val="Calibri"/>
        <family val="2"/>
        <scheme val="minor"/>
      </rPr>
      <t>MEK inhibitor</t>
    </r>
    <r>
      <rPr>
        <sz val="11"/>
        <color theme="1"/>
        <rFont val="Calibri"/>
        <family val="2"/>
        <scheme val="minor"/>
      </rPr>
      <t xml:space="preserve"> U0126 prevented cisplatin-induced </t>
    </r>
    <r>
      <rPr>
        <b/>
        <sz val="11"/>
        <color theme="1"/>
        <rFont val="Calibri"/>
        <family val="2"/>
        <scheme val="minor"/>
      </rPr>
      <t xml:space="preserve">autophagy </t>
    </r>
    <r>
      <rPr>
        <sz val="11"/>
        <color theme="1"/>
        <rFont val="Calibri"/>
        <family val="2"/>
        <scheme val="minor"/>
      </rPr>
      <t xml:space="preserve">enhanced by HK2 overexpression. </t>
    </r>
    <r>
      <rPr>
        <b/>
        <sz val="11"/>
        <color theme="1"/>
        <rFont val="Calibri"/>
        <family val="2"/>
        <scheme val="minor"/>
      </rPr>
      <t>7)</t>
    </r>
    <r>
      <rPr>
        <sz val="11"/>
        <color theme="1"/>
        <rFont val="Calibri"/>
        <family val="2"/>
        <scheme val="minor"/>
      </rPr>
      <t xml:space="preserve"> </t>
    </r>
    <r>
      <rPr>
        <b/>
        <sz val="11"/>
        <color theme="1"/>
        <rFont val="Calibri"/>
        <family val="2"/>
        <scheme val="minor"/>
      </rPr>
      <t>HK2</t>
    </r>
    <r>
      <rPr>
        <sz val="11"/>
        <color theme="1"/>
        <rFont val="Calibri"/>
        <family val="2"/>
        <scheme val="minor"/>
      </rPr>
      <t xml:space="preserve"> knockdown sensitized resistance ovarian tumor xenografts to </t>
    </r>
    <r>
      <rPr>
        <b/>
        <sz val="11"/>
        <color theme="1"/>
        <rFont val="Calibri"/>
        <family val="2"/>
        <scheme val="minor"/>
      </rPr>
      <t>cisplatin</t>
    </r>
    <r>
      <rPr>
        <sz val="11"/>
        <color theme="1"/>
        <rFont val="Calibri"/>
        <family val="2"/>
        <scheme val="minor"/>
      </rPr>
      <t xml:space="preserve"> in vivo. </t>
    </r>
    <r>
      <rPr>
        <b/>
        <sz val="11"/>
        <color theme="1"/>
        <rFont val="Calibri"/>
        <family val="2"/>
        <scheme val="minor"/>
      </rPr>
      <t>8)</t>
    </r>
    <r>
      <rPr>
        <sz val="11"/>
        <color theme="1"/>
        <rFont val="Calibri"/>
        <family val="2"/>
        <scheme val="minor"/>
      </rPr>
      <t xml:space="preserve"> In cancer cells, the majority of </t>
    </r>
    <r>
      <rPr>
        <b/>
        <sz val="11"/>
        <color theme="1"/>
        <rFont val="Calibri"/>
        <family val="2"/>
        <scheme val="minor"/>
      </rPr>
      <t>hexokinase II</t>
    </r>
    <r>
      <rPr>
        <sz val="11"/>
        <color theme="1"/>
        <rFont val="Calibri"/>
        <family val="2"/>
        <scheme val="minor"/>
      </rPr>
      <t xml:space="preserve"> is localized to the mitochondria through interaction with </t>
    </r>
    <r>
      <rPr>
        <b/>
        <sz val="11"/>
        <color theme="1"/>
        <rFont val="Calibri"/>
        <family val="2"/>
        <scheme val="minor"/>
      </rPr>
      <t>VDAC. 9) disruption</t>
    </r>
    <r>
      <rPr>
        <sz val="11"/>
        <color theme="1"/>
        <rFont val="Calibri"/>
        <family val="2"/>
        <scheme val="minor"/>
      </rPr>
      <t xml:space="preserve"> in the binding of </t>
    </r>
    <r>
      <rPr>
        <b/>
        <sz val="11"/>
        <color theme="1"/>
        <rFont val="Calibri"/>
        <family val="2"/>
        <scheme val="minor"/>
      </rPr>
      <t xml:space="preserve">hexokinase II </t>
    </r>
    <r>
      <rPr>
        <sz val="11"/>
        <color theme="1"/>
        <rFont val="Calibri"/>
        <family val="2"/>
        <scheme val="minor"/>
      </rPr>
      <t xml:space="preserve">to the mitochondria markedly potentiates the onset of caspase-2 induced mitochondrial damage, thus resulting in a synergistic induction of cisplatin induced cytotoxicity. </t>
    </r>
    <r>
      <rPr>
        <b/>
        <sz val="11"/>
        <color theme="1"/>
        <rFont val="Calibri"/>
        <family val="2"/>
        <scheme val="minor"/>
      </rPr>
      <t>10)</t>
    </r>
    <r>
      <rPr>
        <sz val="11"/>
        <color theme="1"/>
        <rFont val="Calibri"/>
        <family val="2"/>
        <scheme val="minor"/>
      </rPr>
      <t xml:space="preserve"> The high levels of </t>
    </r>
    <r>
      <rPr>
        <b/>
        <sz val="11"/>
        <color theme="1"/>
        <rFont val="Calibri"/>
        <family val="2"/>
        <scheme val="minor"/>
      </rPr>
      <t>HXKII</t>
    </r>
    <r>
      <rPr>
        <sz val="11"/>
        <color theme="1"/>
        <rFont val="Calibri"/>
        <family val="2"/>
        <scheme val="minor"/>
      </rPr>
      <t xml:space="preserve"> induced by hypoxia conferred </t>
    </r>
    <r>
      <rPr>
        <b/>
        <sz val="11"/>
        <color theme="1"/>
        <rFont val="Calibri"/>
        <family val="2"/>
        <scheme val="minor"/>
      </rPr>
      <t>cisplatin</t>
    </r>
    <r>
      <rPr>
        <sz val="11"/>
        <color theme="1"/>
        <rFont val="Calibri"/>
        <family val="2"/>
        <scheme val="minor"/>
      </rPr>
      <t xml:space="preserve"> resistance in all tested </t>
    </r>
    <r>
      <rPr>
        <b/>
        <sz val="11"/>
        <color theme="1"/>
        <rFont val="Calibri"/>
        <family val="2"/>
        <scheme val="minor"/>
      </rPr>
      <t>B-cell lymphoma</t>
    </r>
    <r>
      <rPr>
        <sz val="11"/>
        <color theme="1"/>
        <rFont val="Calibri"/>
        <family val="2"/>
        <scheme val="minor"/>
      </rPr>
      <t xml:space="preserve"> cell lines. </t>
    </r>
  </si>
  <si>
    <r>
      <t xml:space="preserve">1) Anticancer agents including doxorubicin, </t>
    </r>
    <r>
      <rPr>
        <b/>
        <sz val="11"/>
        <color theme="1"/>
        <rFont val="Calibri"/>
        <family val="2"/>
        <scheme val="minor"/>
      </rPr>
      <t>cisplatin</t>
    </r>
    <r>
      <rPr>
        <sz val="11"/>
        <color theme="1"/>
        <rFont val="Calibri"/>
        <family val="2"/>
        <scheme val="minor"/>
      </rPr>
      <t xml:space="preserve"> and etoposide each induced</t>
    </r>
    <r>
      <rPr>
        <b/>
        <sz val="11"/>
        <color theme="1"/>
        <rFont val="Calibri"/>
        <family val="2"/>
        <scheme val="minor"/>
      </rPr>
      <t xml:space="preserve"> HMGB1</t>
    </r>
    <r>
      <rPr>
        <sz val="11"/>
        <color theme="1"/>
        <rFont val="Calibri"/>
        <family val="2"/>
        <scheme val="minor"/>
      </rPr>
      <t xml:space="preserve"> upregulation, promoted cytosolic </t>
    </r>
    <r>
      <rPr>
        <b/>
        <sz val="11"/>
        <color theme="1"/>
        <rFont val="Calibri"/>
        <family val="2"/>
        <scheme val="minor"/>
      </rPr>
      <t>HMGB1</t>
    </r>
    <r>
      <rPr>
        <sz val="11"/>
        <color theme="1"/>
        <rFont val="Calibri"/>
        <family val="2"/>
        <scheme val="minor"/>
      </rPr>
      <t xml:space="preserve"> translocation and the elevation of autophagic activity in human </t>
    </r>
    <r>
      <rPr>
        <b/>
        <sz val="11"/>
        <color theme="1"/>
        <rFont val="Calibri"/>
        <family val="2"/>
        <scheme val="minor"/>
      </rPr>
      <t>NB</t>
    </r>
    <r>
      <rPr>
        <sz val="11"/>
        <color theme="1"/>
        <rFont val="Calibri"/>
        <family val="2"/>
        <scheme val="minor"/>
      </rPr>
      <t xml:space="preserve"> cells. </t>
    </r>
    <r>
      <rPr>
        <b/>
        <sz val="11"/>
        <color theme="1"/>
        <rFont val="Calibri"/>
        <family val="2"/>
        <scheme val="minor"/>
      </rPr>
      <t xml:space="preserve">2) </t>
    </r>
    <r>
      <rPr>
        <sz val="11"/>
        <color theme="1"/>
        <rFont val="Calibri"/>
        <family val="2"/>
        <scheme val="minor"/>
      </rPr>
      <t xml:space="preserve">RNAi -mediated knockdown of </t>
    </r>
    <r>
      <rPr>
        <b/>
        <sz val="11"/>
        <color theme="1"/>
        <rFont val="Calibri"/>
        <family val="2"/>
        <scheme val="minor"/>
      </rPr>
      <t>HMGB1</t>
    </r>
    <r>
      <rPr>
        <sz val="11"/>
        <color theme="1"/>
        <rFont val="Calibri"/>
        <family val="2"/>
        <scheme val="minor"/>
      </rPr>
      <t xml:space="preserve"> restored the chemosensitivity of NB cells. </t>
    </r>
    <r>
      <rPr>
        <b/>
        <sz val="11"/>
        <color theme="1"/>
        <rFont val="Calibri"/>
        <family val="2"/>
        <scheme val="minor"/>
      </rPr>
      <t xml:space="preserve">3) HMGB1 </t>
    </r>
    <r>
      <rPr>
        <sz val="11"/>
        <color theme="1"/>
        <rFont val="Calibri"/>
        <family val="2"/>
        <scheme val="minor"/>
      </rPr>
      <t xml:space="preserve">promoted the proliferative activity and invasive potential of NB cells. </t>
    </r>
    <r>
      <rPr>
        <b/>
        <sz val="11"/>
        <color theme="1"/>
        <rFont val="Calibri"/>
        <family val="2"/>
        <scheme val="minor"/>
      </rPr>
      <t>4) HMGB1</t>
    </r>
    <r>
      <rPr>
        <sz val="11"/>
        <color theme="1"/>
        <rFont val="Calibri"/>
        <family val="2"/>
        <scheme val="minor"/>
      </rPr>
      <t xml:space="preserve"> enhanced drug resistance by inducing Beclin-1-mediated autophagy. </t>
    </r>
    <r>
      <rPr>
        <b/>
        <sz val="11"/>
        <color theme="1"/>
        <rFont val="Calibri"/>
        <family val="2"/>
        <scheme val="minor"/>
      </rPr>
      <t xml:space="preserve">5) </t>
    </r>
    <r>
      <rPr>
        <sz val="11"/>
        <color theme="1"/>
        <rFont val="Calibri"/>
        <family val="2"/>
        <scheme val="minor"/>
      </rPr>
      <t xml:space="preserve">HMGB1 facilitated autophagic progression and reduced oxidative stress induced by doxorubicin. </t>
    </r>
    <r>
      <rPr>
        <b/>
        <sz val="11"/>
        <color theme="1"/>
        <rFont val="Calibri"/>
        <family val="2"/>
        <scheme val="minor"/>
      </rPr>
      <t>6)</t>
    </r>
    <r>
      <rPr>
        <sz val="11"/>
        <color theme="1"/>
        <rFont val="Calibri"/>
        <family val="2"/>
        <scheme val="minor"/>
      </rPr>
      <t xml:space="preserve"> positive expression levels of </t>
    </r>
    <r>
      <rPr>
        <b/>
        <sz val="11"/>
        <color theme="1"/>
        <rFont val="Calibri"/>
        <family val="2"/>
        <scheme val="minor"/>
      </rPr>
      <t>HMGB1</t>
    </r>
    <r>
      <rPr>
        <sz val="11"/>
        <color theme="1"/>
        <rFont val="Calibri"/>
        <family val="2"/>
        <scheme val="minor"/>
      </rPr>
      <t xml:space="preserve">, </t>
    </r>
    <r>
      <rPr>
        <b/>
        <sz val="11"/>
        <color theme="1"/>
        <rFont val="Calibri"/>
        <family val="2"/>
        <scheme val="minor"/>
      </rPr>
      <t>BRCA1</t>
    </r>
    <r>
      <rPr>
        <sz val="11"/>
        <color theme="1"/>
        <rFont val="Calibri"/>
        <family val="2"/>
        <scheme val="minor"/>
      </rPr>
      <t xml:space="preserve"> and </t>
    </r>
    <r>
      <rPr>
        <b/>
        <sz val="11"/>
        <color theme="1"/>
        <rFont val="Calibri"/>
        <family val="2"/>
        <scheme val="minor"/>
      </rPr>
      <t>P62</t>
    </r>
    <r>
      <rPr>
        <sz val="11"/>
        <color theme="1"/>
        <rFont val="Calibri"/>
        <family val="2"/>
        <scheme val="minor"/>
      </rPr>
      <t xml:space="preserve"> in </t>
    </r>
    <r>
      <rPr>
        <b/>
        <sz val="11"/>
        <color theme="1"/>
        <rFont val="Calibri"/>
        <family val="2"/>
        <scheme val="minor"/>
      </rPr>
      <t>ovarian</t>
    </r>
    <r>
      <rPr>
        <sz val="11"/>
        <color theme="1"/>
        <rFont val="Calibri"/>
        <family val="2"/>
        <scheme val="minor"/>
      </rPr>
      <t xml:space="preserve"> carcinoma tissue were all higher than in para-carcinoma normal tissues (P&lt;0.05). </t>
    </r>
    <r>
      <rPr>
        <b/>
        <sz val="11"/>
        <color theme="1"/>
        <rFont val="Calibri"/>
        <family val="2"/>
        <scheme val="minor"/>
      </rPr>
      <t xml:space="preserve">7) </t>
    </r>
    <r>
      <rPr>
        <sz val="11"/>
        <color theme="1"/>
        <rFont val="Calibri"/>
        <family val="2"/>
        <scheme val="minor"/>
      </rPr>
      <t>38 out of 60 ovarian cancer patients were drug resistant and 22 patients were sensitive to the therapy.</t>
    </r>
    <r>
      <rPr>
        <b/>
        <sz val="11"/>
        <color theme="1"/>
        <rFont val="Calibri"/>
        <family val="2"/>
        <scheme val="minor"/>
      </rPr>
      <t xml:space="preserve"> </t>
    </r>
    <r>
      <rPr>
        <sz val="11"/>
        <color theme="1"/>
        <rFont val="Calibri"/>
        <family val="2"/>
        <scheme val="minor"/>
      </rPr>
      <t xml:space="preserve">the positive expression of </t>
    </r>
    <r>
      <rPr>
        <b/>
        <sz val="11"/>
        <color theme="1"/>
        <rFont val="Calibri"/>
        <family val="2"/>
        <scheme val="minor"/>
      </rPr>
      <t>HMGB1</t>
    </r>
    <r>
      <rPr>
        <sz val="11"/>
        <color theme="1"/>
        <rFont val="Calibri"/>
        <family val="2"/>
        <scheme val="minor"/>
      </rPr>
      <t xml:space="preserve">, </t>
    </r>
    <r>
      <rPr>
        <b/>
        <sz val="11"/>
        <color theme="1"/>
        <rFont val="Calibri"/>
        <family val="2"/>
        <scheme val="minor"/>
      </rPr>
      <t>BRCA1</t>
    </r>
    <r>
      <rPr>
        <sz val="11"/>
        <color theme="1"/>
        <rFont val="Calibri"/>
        <family val="2"/>
        <scheme val="minor"/>
      </rPr>
      <t xml:space="preserve"> and </t>
    </r>
    <r>
      <rPr>
        <b/>
        <sz val="11"/>
        <color theme="1"/>
        <rFont val="Calibri"/>
        <family val="2"/>
        <scheme val="minor"/>
      </rPr>
      <t>P62</t>
    </r>
    <r>
      <rPr>
        <sz val="11"/>
        <color theme="1"/>
        <rFont val="Calibri"/>
        <family val="2"/>
        <scheme val="minor"/>
      </rPr>
      <t xml:space="preserve"> was associated with the </t>
    </r>
    <r>
      <rPr>
        <b/>
        <sz val="11"/>
        <color theme="1"/>
        <rFont val="Calibri"/>
        <family val="2"/>
        <scheme val="minor"/>
      </rPr>
      <t>platinum resistance</t>
    </r>
    <r>
      <rPr>
        <sz val="11"/>
        <color theme="1"/>
        <rFont val="Calibri"/>
        <family val="2"/>
        <scheme val="minor"/>
      </rPr>
      <t xml:space="preserve"> of ovarian cancer patients. </t>
    </r>
  </si>
  <si>
    <r>
      <rPr>
        <b/>
        <sz val="11"/>
        <color theme="1"/>
        <rFont val="Calibri"/>
        <family val="2"/>
        <scheme val="minor"/>
      </rPr>
      <t>1)</t>
    </r>
    <r>
      <rPr>
        <sz val="11"/>
        <color theme="1"/>
        <rFont val="Calibri"/>
        <family val="2"/>
        <scheme val="minor"/>
      </rPr>
      <t xml:space="preserve"> siRNA-mediated silencing of </t>
    </r>
    <r>
      <rPr>
        <b/>
        <sz val="11"/>
        <color theme="1"/>
        <rFont val="Calibri"/>
        <family val="2"/>
        <scheme val="minor"/>
      </rPr>
      <t>HMGB2</t>
    </r>
    <r>
      <rPr>
        <sz val="11"/>
        <color theme="1"/>
        <rFont val="Calibri"/>
        <family val="2"/>
        <scheme val="minor"/>
      </rPr>
      <t xml:space="preserve"> increased the sensitivity of the </t>
    </r>
    <r>
      <rPr>
        <b/>
        <sz val="11"/>
        <color theme="1"/>
        <rFont val="Calibri"/>
        <family val="2"/>
        <scheme val="minor"/>
      </rPr>
      <t>HNSCC</t>
    </r>
    <r>
      <rPr>
        <sz val="11"/>
        <color theme="1"/>
        <rFont val="Calibri"/>
        <family val="2"/>
        <scheme val="minor"/>
      </rPr>
      <t xml:space="preserve"> cell lines to</t>
    </r>
    <r>
      <rPr>
        <b/>
        <sz val="11"/>
        <color theme="1"/>
        <rFont val="Calibri"/>
        <family val="2"/>
        <scheme val="minor"/>
      </rPr>
      <t xml:space="preserve"> cisplatin</t>
    </r>
    <r>
      <rPr>
        <sz val="11"/>
        <color theme="1"/>
        <rFont val="Calibri"/>
        <family val="2"/>
        <scheme val="minor"/>
      </rPr>
      <t xml:space="preserve"> and 5-FU. </t>
    </r>
    <r>
      <rPr>
        <b/>
        <sz val="11"/>
        <color theme="1"/>
        <rFont val="Calibri"/>
        <family val="2"/>
        <scheme val="minor"/>
      </rPr>
      <t>2) HMGB2</t>
    </r>
    <r>
      <rPr>
        <sz val="11"/>
        <color theme="1"/>
        <rFont val="Calibri"/>
        <family val="2"/>
        <scheme val="minor"/>
      </rPr>
      <t xml:space="preserve"> overexpression was significantly correlated with shorter overall survival time, both at mRNA and protein level. </t>
    </r>
    <r>
      <rPr>
        <b/>
        <sz val="11"/>
        <color theme="1"/>
        <rFont val="Calibri"/>
        <family val="2"/>
        <scheme val="minor"/>
      </rPr>
      <t xml:space="preserve">3) </t>
    </r>
    <r>
      <rPr>
        <sz val="11"/>
        <color theme="1"/>
        <rFont val="Calibri"/>
        <family val="2"/>
        <scheme val="minor"/>
      </rPr>
      <t xml:space="preserve">HMGB2 knockdown by siRNAs decreased cell proliferation, and overexpression of HMGB2 by expression vectors diminished </t>
    </r>
    <r>
      <rPr>
        <b/>
        <sz val="11"/>
        <color theme="1"/>
        <rFont val="Calibri"/>
        <family val="2"/>
        <scheme val="minor"/>
      </rPr>
      <t>cisplatin</t>
    </r>
    <r>
      <rPr>
        <sz val="11"/>
        <color theme="1"/>
        <rFont val="Calibri"/>
        <family val="2"/>
        <scheme val="minor"/>
      </rPr>
      <t>- and etoposide-induced cell death.</t>
    </r>
  </si>
  <si>
    <r>
      <rPr>
        <b/>
        <sz val="11"/>
        <color theme="1"/>
        <rFont val="Calibri"/>
        <family val="2"/>
        <scheme val="minor"/>
      </rPr>
      <t>1)</t>
    </r>
    <r>
      <rPr>
        <sz val="11"/>
        <color theme="1"/>
        <rFont val="Calibri"/>
        <family val="2"/>
        <scheme val="minor"/>
      </rPr>
      <t xml:space="preserve"> Three targets of SREBP2, namely LDLR, FDFT1, and </t>
    </r>
    <r>
      <rPr>
        <b/>
        <sz val="11"/>
        <color theme="1"/>
        <rFont val="Calibri"/>
        <family val="2"/>
        <scheme val="minor"/>
      </rPr>
      <t>HMGCR</t>
    </r>
    <r>
      <rPr>
        <sz val="11"/>
        <color theme="1"/>
        <rFont val="Calibri"/>
        <family val="2"/>
        <scheme val="minor"/>
      </rPr>
      <t xml:space="preserve"> were increased in </t>
    </r>
    <r>
      <rPr>
        <b/>
        <sz val="11"/>
        <color theme="1"/>
        <rFont val="Calibri"/>
        <family val="2"/>
        <scheme val="minor"/>
      </rPr>
      <t>ovarian</t>
    </r>
    <r>
      <rPr>
        <sz val="11"/>
        <color theme="1"/>
        <rFont val="Calibri"/>
        <family val="2"/>
        <scheme val="minor"/>
      </rPr>
      <t xml:space="preserve"> cancer A2780-resistant cell lines and were found elevated in live cells after </t>
    </r>
    <r>
      <rPr>
        <b/>
        <sz val="11"/>
        <color theme="1"/>
        <rFont val="Calibri"/>
        <family val="2"/>
        <scheme val="minor"/>
      </rPr>
      <t>cisplatin</t>
    </r>
    <r>
      <rPr>
        <sz val="11"/>
        <color theme="1"/>
        <rFont val="Calibri"/>
        <family val="2"/>
        <scheme val="minor"/>
      </rPr>
      <t xml:space="preserve"> treatment via qPCR.</t>
    </r>
    <r>
      <rPr>
        <b/>
        <sz val="11"/>
        <color theme="1"/>
        <rFont val="Calibri"/>
        <family val="2"/>
        <scheme val="minor"/>
      </rPr>
      <t xml:space="preserve"> 2) </t>
    </r>
    <r>
      <rPr>
        <sz val="11"/>
        <color theme="1"/>
        <rFont val="Calibri"/>
        <family val="2"/>
        <scheme val="minor"/>
      </rPr>
      <t xml:space="preserve">RNAi of SREBP2 in A2780 cell line resulted in a decrease of cell viability after cisplatin treatment. </t>
    </r>
  </si>
  <si>
    <r>
      <rPr>
        <b/>
        <sz val="11"/>
        <color theme="1"/>
        <rFont val="Calibri"/>
        <family val="2"/>
        <scheme val="minor"/>
      </rPr>
      <t xml:space="preserve">1) </t>
    </r>
    <r>
      <rPr>
        <sz val="11"/>
        <color theme="1"/>
        <rFont val="Calibri"/>
        <family val="2"/>
        <scheme val="minor"/>
      </rPr>
      <t xml:space="preserve">Ectopic expression of pcDNA3-HO-1 and siRNA of HO-1 further revealed the protective role of HO-1 against </t>
    </r>
    <r>
      <rPr>
        <b/>
        <sz val="11"/>
        <color theme="1"/>
        <rFont val="Calibri"/>
        <family val="2"/>
        <scheme val="minor"/>
      </rPr>
      <t>cisplatin</t>
    </r>
    <r>
      <rPr>
        <sz val="11"/>
        <color theme="1"/>
        <rFont val="Calibri"/>
        <family val="2"/>
        <scheme val="minor"/>
      </rPr>
      <t xml:space="preserve"> in </t>
    </r>
    <r>
      <rPr>
        <b/>
        <sz val="11"/>
        <color theme="1"/>
        <rFont val="Calibri"/>
        <family val="2"/>
        <scheme val="minor"/>
      </rPr>
      <t>auditory</t>
    </r>
    <r>
      <rPr>
        <sz val="11"/>
        <color theme="1"/>
        <rFont val="Calibri"/>
        <family val="2"/>
        <scheme val="minor"/>
      </rPr>
      <t xml:space="preserve"> HEI-OC1 cells. </t>
    </r>
    <r>
      <rPr>
        <b/>
        <sz val="11"/>
        <color theme="1"/>
        <rFont val="Calibri"/>
        <family val="2"/>
        <scheme val="minor"/>
      </rPr>
      <t xml:space="preserve">2) </t>
    </r>
    <r>
      <rPr>
        <sz val="11"/>
        <color theme="1"/>
        <rFont val="Calibri"/>
        <family val="2"/>
        <scheme val="minor"/>
      </rPr>
      <t xml:space="preserve">Among the catabolic metabolites of HO-1, both carbon </t>
    </r>
    <r>
      <rPr>
        <b/>
        <sz val="11"/>
        <color theme="1"/>
        <rFont val="Calibri"/>
        <family val="2"/>
        <scheme val="minor"/>
      </rPr>
      <t>monoxide</t>
    </r>
    <r>
      <rPr>
        <sz val="11"/>
        <color theme="1"/>
        <rFont val="Calibri"/>
        <family val="2"/>
        <scheme val="minor"/>
      </rPr>
      <t xml:space="preserve"> (CO) and </t>
    </r>
    <r>
      <rPr>
        <b/>
        <sz val="11"/>
        <color theme="1"/>
        <rFont val="Calibri"/>
        <family val="2"/>
        <scheme val="minor"/>
      </rPr>
      <t>bilirubin</t>
    </r>
    <r>
      <rPr>
        <sz val="11"/>
        <color theme="1"/>
        <rFont val="Calibri"/>
        <family val="2"/>
        <scheme val="minor"/>
      </rPr>
      <t xml:space="preserve"> were directly involved in the protective role of HO-1 against cisplatin through inhibition of reactive oxygen species generation. </t>
    </r>
    <r>
      <rPr>
        <b/>
        <sz val="11"/>
        <color theme="1"/>
        <rFont val="Calibri"/>
        <family val="2"/>
        <scheme val="minor"/>
      </rPr>
      <t xml:space="preserve">3) </t>
    </r>
    <r>
      <rPr>
        <sz val="11"/>
        <color theme="1"/>
        <rFont val="Calibri"/>
        <family val="2"/>
        <scheme val="minor"/>
      </rPr>
      <t xml:space="preserve">the expression of HO-1 was higher in </t>
    </r>
    <r>
      <rPr>
        <b/>
        <sz val="11"/>
        <color theme="1"/>
        <rFont val="Calibri"/>
        <family val="2"/>
        <scheme val="minor"/>
      </rPr>
      <t>ovarian</t>
    </r>
    <r>
      <rPr>
        <sz val="11"/>
        <color theme="1"/>
        <rFont val="Calibri"/>
        <family val="2"/>
        <scheme val="minor"/>
      </rPr>
      <t xml:space="preserve"> cancer tissues than normal ovarian tissues. </t>
    </r>
    <r>
      <rPr>
        <b/>
        <sz val="11"/>
        <color theme="1"/>
        <rFont val="Calibri"/>
        <family val="2"/>
        <scheme val="minor"/>
      </rPr>
      <t>4)</t>
    </r>
    <r>
      <rPr>
        <sz val="11"/>
        <color theme="1"/>
        <rFont val="Calibri"/>
        <family val="2"/>
        <scheme val="minor"/>
      </rPr>
      <t xml:space="preserve"> Patients with high expression of HO-1 exhibited an unfavorable prognosis after treatment with </t>
    </r>
    <r>
      <rPr>
        <b/>
        <sz val="11"/>
        <color theme="1"/>
        <rFont val="Calibri"/>
        <family val="2"/>
        <scheme val="minor"/>
      </rPr>
      <t>cisplatin</t>
    </r>
    <r>
      <rPr>
        <sz val="11"/>
        <color theme="1"/>
        <rFont val="Calibri"/>
        <family val="2"/>
        <scheme val="minor"/>
      </rPr>
      <t xml:space="preserve">+paclitaxel. </t>
    </r>
    <r>
      <rPr>
        <b/>
        <sz val="11"/>
        <color theme="1"/>
        <rFont val="Calibri"/>
        <family val="2"/>
        <scheme val="minor"/>
      </rPr>
      <t xml:space="preserve">5) </t>
    </r>
    <r>
      <rPr>
        <sz val="11"/>
        <color theme="1"/>
        <rFont val="Calibri"/>
        <family val="2"/>
        <scheme val="minor"/>
      </rPr>
      <t xml:space="preserve">In vitro inducing the expression of HO-1 promoted the proliferation and metastasis of A2780 and Skov-3 cells, with the increased expressions of EMT related Vimentin, Zeb-1, anti-apoptotic Bcl-2, and the decreased expressions of Keratin) and Bax. </t>
    </r>
    <r>
      <rPr>
        <b/>
        <sz val="11"/>
        <color theme="1"/>
        <rFont val="Calibri"/>
        <family val="2"/>
        <scheme val="minor"/>
      </rPr>
      <t xml:space="preserve">6) </t>
    </r>
    <r>
      <rPr>
        <sz val="11"/>
        <color theme="1"/>
        <rFont val="Calibri"/>
        <family val="2"/>
        <scheme val="minor"/>
      </rPr>
      <t>after incubating A2780 and Skov-3 together with HO-1 inhibitor, above results could be reversed.</t>
    </r>
  </si>
  <si>
    <r>
      <rPr>
        <b/>
        <sz val="11"/>
        <color theme="1"/>
        <rFont val="Calibri"/>
        <family val="2"/>
        <scheme val="minor"/>
      </rPr>
      <t>1)</t>
    </r>
    <r>
      <rPr>
        <sz val="11"/>
        <color theme="1"/>
        <rFont val="Calibri"/>
        <family val="2"/>
        <scheme val="minor"/>
      </rPr>
      <t xml:space="preserve"> the mRNA expression of </t>
    </r>
    <r>
      <rPr>
        <b/>
        <sz val="11"/>
        <color theme="1"/>
        <rFont val="Calibri"/>
        <family val="2"/>
        <scheme val="minor"/>
      </rPr>
      <t>HNF1B</t>
    </r>
    <r>
      <rPr>
        <sz val="11"/>
        <color theme="1"/>
        <rFont val="Calibri"/>
        <family val="2"/>
        <scheme val="minor"/>
      </rPr>
      <t xml:space="preserve"> in 586 ovarian serous cystadenocarcinomas and in </t>
    </r>
    <r>
      <rPr>
        <b/>
        <sz val="11"/>
        <color theme="1"/>
        <rFont val="Calibri"/>
        <family val="2"/>
        <scheme val="minor"/>
      </rPr>
      <t>platinum</t>
    </r>
    <r>
      <rPr>
        <sz val="11"/>
        <color theme="1"/>
        <rFont val="Calibri"/>
        <family val="2"/>
        <scheme val="minor"/>
      </rPr>
      <t xml:space="preserve">-resistant A2780 epithelial </t>
    </r>
    <r>
      <rPr>
        <b/>
        <sz val="11"/>
        <color theme="1"/>
        <rFont val="Calibri"/>
        <family val="2"/>
        <scheme val="minor"/>
      </rPr>
      <t>ovarian</t>
    </r>
    <r>
      <rPr>
        <sz val="11"/>
        <color theme="1"/>
        <rFont val="Calibri"/>
        <family val="2"/>
        <scheme val="minor"/>
      </rPr>
      <t xml:space="preserve"> cancer cells was significantly decreased. </t>
    </r>
    <r>
      <rPr>
        <b/>
        <sz val="11"/>
        <color theme="1"/>
        <rFont val="Calibri"/>
        <family val="2"/>
        <scheme val="minor"/>
      </rPr>
      <t xml:space="preserve">2) </t>
    </r>
    <r>
      <rPr>
        <sz val="11"/>
        <color theme="1"/>
        <rFont val="Calibri"/>
        <family val="2"/>
        <scheme val="minor"/>
      </rPr>
      <t xml:space="preserve">Ovarian clear cell carcinoma is a distinct subtype of epithelial ovarian cancer, characterized by an association with endometriosis, glycogen accumulation and resistance to chemotherapy. Key driver events, including ARID1A mutations and </t>
    </r>
    <r>
      <rPr>
        <b/>
        <sz val="11"/>
        <color theme="1"/>
        <rFont val="Calibri"/>
        <family val="2"/>
        <scheme val="minor"/>
      </rPr>
      <t>HNF1B</t>
    </r>
    <r>
      <rPr>
        <sz val="11"/>
        <color theme="1"/>
        <rFont val="Calibri"/>
        <family val="2"/>
        <scheme val="minor"/>
      </rPr>
      <t xml:space="preserve"> overexpression, have been recently identified. </t>
    </r>
  </si>
  <si>
    <r>
      <rPr>
        <b/>
        <sz val="11"/>
        <color theme="1"/>
        <rFont val="Calibri"/>
        <family val="2"/>
        <scheme val="minor"/>
      </rPr>
      <t xml:space="preserve">1) </t>
    </r>
    <r>
      <rPr>
        <sz val="11"/>
        <color theme="1"/>
        <rFont val="Calibri"/>
        <family val="2"/>
        <scheme val="minor"/>
      </rPr>
      <t>HOXB4 expressions at mRNA and protein levels were upregulated in</t>
    </r>
    <r>
      <rPr>
        <b/>
        <sz val="11"/>
        <color theme="1"/>
        <rFont val="Calibri"/>
        <family val="2"/>
        <scheme val="minor"/>
      </rPr>
      <t xml:space="preserve"> Taxol</t>
    </r>
    <r>
      <rPr>
        <sz val="11"/>
        <color theme="1"/>
        <rFont val="Calibri"/>
        <family val="2"/>
        <scheme val="minor"/>
      </rPr>
      <t xml:space="preserve">-resistant </t>
    </r>
    <r>
      <rPr>
        <b/>
        <sz val="11"/>
        <color theme="1"/>
        <rFont val="Calibri"/>
        <family val="2"/>
        <scheme val="minor"/>
      </rPr>
      <t>ovarian</t>
    </r>
    <r>
      <rPr>
        <sz val="11"/>
        <color theme="1"/>
        <rFont val="Calibri"/>
        <family val="2"/>
        <scheme val="minor"/>
      </rPr>
      <t xml:space="preserve"> cancer  A2780 (A2780/Taxol) and </t>
    </r>
    <r>
      <rPr>
        <b/>
        <sz val="11"/>
        <color theme="1"/>
        <rFont val="Calibri"/>
        <family val="2"/>
        <scheme val="minor"/>
      </rPr>
      <t>DDP</t>
    </r>
    <r>
      <rPr>
        <sz val="11"/>
        <color theme="1"/>
        <rFont val="Calibri"/>
        <family val="2"/>
        <scheme val="minor"/>
      </rPr>
      <t xml:space="preserve">-resistant SKOV-3 (SKOV-3/DDP) cells. </t>
    </r>
    <r>
      <rPr>
        <b/>
        <sz val="11"/>
        <color theme="1"/>
        <rFont val="Calibri"/>
        <family val="2"/>
        <scheme val="minor"/>
      </rPr>
      <t>2)</t>
    </r>
    <r>
      <rPr>
        <sz val="11"/>
        <color theme="1"/>
        <rFont val="Calibri"/>
        <family val="2"/>
        <scheme val="minor"/>
      </rPr>
      <t xml:space="preserve"> HOXB4 knockdown enhanced the cytotoxic effects of Taxol and DDP in A2780/Taxol and SKOV-3/DDP cells, respectively.</t>
    </r>
    <r>
      <rPr>
        <b/>
        <sz val="11"/>
        <color theme="1"/>
        <rFont val="Calibri"/>
        <family val="2"/>
        <scheme val="minor"/>
      </rPr>
      <t xml:space="preserve"> 3) </t>
    </r>
    <r>
      <rPr>
        <sz val="11"/>
        <color theme="1"/>
        <rFont val="Calibri"/>
        <family val="2"/>
        <scheme val="minor"/>
      </rPr>
      <t xml:space="preserve">HOXB4 silencing suppressed the phosphatidylinositol 3-kinase (PI3K)/Akt signaling pathway and reduced the expression of ABCB1, ABCC1 and ABCG2 in ovarian cancer cells. </t>
    </r>
    <r>
      <rPr>
        <b/>
        <sz val="11"/>
        <color theme="1"/>
        <rFont val="Calibri"/>
        <family val="2"/>
        <scheme val="minor"/>
      </rPr>
      <t>4)</t>
    </r>
    <r>
      <rPr>
        <sz val="11"/>
        <color theme="1"/>
        <rFont val="Calibri"/>
        <family val="2"/>
        <scheme val="minor"/>
      </rPr>
      <t xml:space="preserve"> PI3K inhibitor LY294002 or siRNA targeting Akt (si-Akt) treatment inhibited cell viability, decreased protein levels of ABCB1, ABCC1 and ABCG2, and increased LDH release in A2780/Taxol and SKOV-3/DDP cells. </t>
    </r>
  </si>
  <si>
    <r>
      <rPr>
        <b/>
        <sz val="11"/>
        <color theme="1"/>
        <rFont val="Calibri"/>
        <family val="2"/>
        <scheme val="minor"/>
      </rPr>
      <t>1)</t>
    </r>
    <r>
      <rPr>
        <sz val="11"/>
        <color theme="1"/>
        <rFont val="Calibri"/>
        <family val="2"/>
        <scheme val="minor"/>
      </rPr>
      <t xml:space="preserve"> High expression of </t>
    </r>
    <r>
      <rPr>
        <b/>
        <sz val="11"/>
        <color theme="1"/>
        <rFont val="Calibri"/>
        <family val="2"/>
        <scheme val="minor"/>
      </rPr>
      <t>HOXB7</t>
    </r>
    <r>
      <rPr>
        <sz val="11"/>
        <color theme="1"/>
        <rFont val="Calibri"/>
        <family val="2"/>
        <scheme val="minor"/>
      </rPr>
      <t xml:space="preserve"> was associated with </t>
    </r>
    <r>
      <rPr>
        <b/>
        <sz val="11"/>
        <color theme="1"/>
        <rFont val="Calibri"/>
        <family val="2"/>
        <scheme val="minor"/>
      </rPr>
      <t>cisplatin</t>
    </r>
    <r>
      <rPr>
        <sz val="11"/>
        <color theme="1"/>
        <rFont val="Calibri"/>
        <family val="2"/>
        <scheme val="minor"/>
      </rPr>
      <t xml:space="preserve"> resistance and worse chemotherapy efficacy. </t>
    </r>
    <r>
      <rPr>
        <b/>
        <sz val="11"/>
        <color theme="1"/>
        <rFont val="Calibri"/>
        <family val="2"/>
        <scheme val="minor"/>
      </rPr>
      <t>2) HOXB7</t>
    </r>
    <r>
      <rPr>
        <sz val="11"/>
        <color theme="1"/>
        <rFont val="Calibri"/>
        <family val="2"/>
        <scheme val="minor"/>
      </rPr>
      <t xml:space="preserve"> knockdown reinforced </t>
    </r>
    <r>
      <rPr>
        <b/>
        <sz val="11"/>
        <color theme="1"/>
        <rFont val="Calibri"/>
        <family val="2"/>
        <scheme val="minor"/>
      </rPr>
      <t>cisplatin</t>
    </r>
    <r>
      <rPr>
        <sz val="11"/>
        <color theme="1"/>
        <rFont val="Calibri"/>
        <family val="2"/>
        <scheme val="minor"/>
      </rPr>
      <t xml:space="preserve"> sensitivity. </t>
    </r>
    <r>
      <rPr>
        <b/>
        <sz val="11"/>
        <color theme="1"/>
        <rFont val="Calibri"/>
        <family val="2"/>
        <scheme val="minor"/>
      </rPr>
      <t>3) HOXB7</t>
    </r>
    <r>
      <rPr>
        <sz val="11"/>
        <color theme="1"/>
        <rFont val="Calibri"/>
        <family val="2"/>
        <scheme val="minor"/>
      </rPr>
      <t xml:space="preserve"> interacts with </t>
    </r>
    <r>
      <rPr>
        <b/>
        <sz val="11"/>
        <color theme="1"/>
        <rFont val="Calibri"/>
        <family val="2"/>
        <scheme val="minor"/>
      </rPr>
      <t>Ku70, Ku80</t>
    </r>
    <r>
      <rPr>
        <sz val="11"/>
        <color theme="1"/>
        <rFont val="Calibri"/>
        <family val="2"/>
        <scheme val="minor"/>
      </rPr>
      <t xml:space="preserve"> and </t>
    </r>
    <r>
      <rPr>
        <b/>
        <sz val="11"/>
        <color theme="1"/>
        <rFont val="Calibri"/>
        <family val="2"/>
        <scheme val="minor"/>
      </rPr>
      <t>DNA‐PKcs</t>
    </r>
    <r>
      <rPr>
        <sz val="11"/>
        <color theme="1"/>
        <rFont val="Calibri"/>
        <family val="2"/>
        <scheme val="minor"/>
      </rPr>
      <t xml:space="preserve">. </t>
    </r>
    <r>
      <rPr>
        <b/>
        <sz val="11"/>
        <color theme="1"/>
        <rFont val="Calibri"/>
        <family val="2"/>
        <scheme val="minor"/>
      </rPr>
      <t>4) HOXB7</t>
    </r>
    <r>
      <rPr>
        <sz val="11"/>
        <color theme="1"/>
        <rFont val="Calibri"/>
        <family val="2"/>
        <scheme val="minor"/>
      </rPr>
      <t xml:space="preserve"> knockdown was related to the downregulation of </t>
    </r>
    <r>
      <rPr>
        <b/>
        <sz val="11"/>
        <color theme="1"/>
        <rFont val="Calibri"/>
        <family val="2"/>
        <scheme val="minor"/>
      </rPr>
      <t>Ku70, Ku80</t>
    </r>
    <r>
      <rPr>
        <sz val="11"/>
        <color theme="1"/>
        <rFont val="Calibri"/>
        <family val="2"/>
        <scheme val="minor"/>
      </rPr>
      <t xml:space="preserve"> and </t>
    </r>
    <r>
      <rPr>
        <b/>
        <sz val="11"/>
        <color theme="1"/>
        <rFont val="Calibri"/>
        <family val="2"/>
        <scheme val="minor"/>
      </rPr>
      <t>DNA‐PKcs</t>
    </r>
    <r>
      <rPr>
        <sz val="11"/>
        <color theme="1"/>
        <rFont val="Calibri"/>
        <family val="2"/>
        <scheme val="minor"/>
      </rPr>
      <t xml:space="preserve"> as well as arrested cell cycle in S phase. </t>
    </r>
    <r>
      <rPr>
        <b/>
        <sz val="11"/>
        <color theme="1"/>
        <rFont val="Calibri"/>
        <family val="2"/>
        <scheme val="minor"/>
      </rPr>
      <t>5) HOXB7</t>
    </r>
    <r>
      <rPr>
        <sz val="11"/>
        <color theme="1"/>
        <rFont val="Calibri"/>
        <family val="2"/>
        <scheme val="minor"/>
      </rPr>
      <t xml:space="preserve"> inhibition by HXR9 had a synergistic effect to improve cisplatin sensitivity.</t>
    </r>
  </si>
  <si>
    <r>
      <rPr>
        <b/>
        <sz val="11"/>
        <color theme="1"/>
        <rFont val="Calibri"/>
        <family val="2"/>
        <scheme val="minor"/>
      </rPr>
      <t>1) HOXD8</t>
    </r>
    <r>
      <rPr>
        <sz val="11"/>
        <color theme="1"/>
        <rFont val="Calibri"/>
        <family val="2"/>
        <scheme val="minor"/>
      </rPr>
      <t xml:space="preserve"> mRNA and protein expression levels measured by reverse transcription polymerase chain reaction and ELISA, respectively, were significantly higher in ovarian cancer CDDP-resistant SKOV3-DDP and HO-8910PM than in their corresponding cell lines.  </t>
    </r>
    <r>
      <rPr>
        <b/>
        <sz val="11"/>
        <color theme="1"/>
        <rFont val="Calibri"/>
        <family val="2"/>
        <scheme val="minor"/>
      </rPr>
      <t xml:space="preserve">2) </t>
    </r>
    <r>
      <rPr>
        <sz val="11"/>
        <color theme="1"/>
        <rFont val="Calibri"/>
        <family val="2"/>
        <scheme val="minor"/>
      </rPr>
      <t xml:space="preserve">In 52 cases of different ovarian disease, the patients with recurrent and cisplatin-resistant ovarian cancer had higher expression levels of HOXD8 than patients with primary malignant tumours (p = 0.018, p = 0.001) or benign tumours (p = 0.001, p &lt; 0.001). </t>
    </r>
  </si>
  <si>
    <r>
      <rPr>
        <b/>
        <sz val="11"/>
        <color theme="1"/>
        <rFont val="Calibri"/>
        <family val="2"/>
        <scheme val="minor"/>
      </rPr>
      <t>1)</t>
    </r>
    <r>
      <rPr>
        <sz val="11"/>
        <color theme="1"/>
        <rFont val="Calibri"/>
        <family val="2"/>
        <scheme val="minor"/>
      </rPr>
      <t xml:space="preserve"> loss of</t>
    </r>
    <r>
      <rPr>
        <b/>
        <sz val="11"/>
        <color theme="1"/>
        <rFont val="Calibri"/>
        <family val="2"/>
        <scheme val="minor"/>
      </rPr>
      <t xml:space="preserve"> MCM8IP</t>
    </r>
    <r>
      <rPr>
        <sz val="11"/>
        <color theme="1"/>
        <rFont val="Calibri"/>
        <family val="2"/>
        <scheme val="minor"/>
      </rPr>
      <t xml:space="preserve"> is associated with cellular sensitivity to cisplatin and PARP inhibition. </t>
    </r>
    <r>
      <rPr>
        <b/>
        <sz val="11"/>
        <color theme="1"/>
        <rFont val="Calibri"/>
        <family val="2"/>
        <scheme val="minor"/>
      </rPr>
      <t>2) MCM8IP</t>
    </r>
    <r>
      <rPr>
        <sz val="11"/>
        <color theme="1"/>
        <rFont val="Calibri"/>
        <family val="2"/>
        <scheme val="minor"/>
      </rPr>
      <t>-deficient cells exhibit slower replication fork progression and increased fork stalling in response to cisplatin. </t>
    </r>
    <r>
      <rPr>
        <b/>
        <sz val="11"/>
        <color theme="1"/>
        <rFont val="Calibri"/>
        <family val="2"/>
        <scheme val="minor"/>
      </rPr>
      <t xml:space="preserve">3) </t>
    </r>
    <r>
      <rPr>
        <sz val="11"/>
        <color theme="1"/>
        <rFont val="Calibri"/>
        <family val="2"/>
        <scheme val="minor"/>
      </rPr>
      <t>interactions of MCM8IP with</t>
    </r>
    <r>
      <rPr>
        <b/>
        <sz val="11"/>
        <color theme="1"/>
        <rFont val="Calibri"/>
        <family val="2"/>
        <scheme val="minor"/>
      </rPr>
      <t xml:space="preserve"> RPA1</t>
    </r>
    <r>
      <rPr>
        <sz val="11"/>
        <color theme="1"/>
        <rFont val="Calibri"/>
        <family val="2"/>
        <scheme val="minor"/>
      </rPr>
      <t xml:space="preserve"> and </t>
    </r>
    <r>
      <rPr>
        <b/>
        <sz val="11"/>
        <color theme="1"/>
        <rFont val="Calibri"/>
        <family val="2"/>
        <scheme val="minor"/>
      </rPr>
      <t>MCM8-9</t>
    </r>
    <r>
      <rPr>
        <sz val="11"/>
        <color theme="1"/>
        <rFont val="Calibri"/>
        <family val="2"/>
        <scheme val="minor"/>
      </rPr>
      <t xml:space="preserve"> facilitate HR and replication fork progression and promote chemoresistance. </t>
    </r>
  </si>
  <si>
    <r>
      <rPr>
        <b/>
        <sz val="11"/>
        <color theme="1"/>
        <rFont val="Calibri"/>
        <family val="2"/>
        <scheme val="minor"/>
      </rPr>
      <t xml:space="preserve">1) </t>
    </r>
    <r>
      <rPr>
        <sz val="11"/>
        <color theme="1"/>
        <rFont val="Calibri"/>
        <family val="2"/>
        <scheme val="minor"/>
      </rPr>
      <t xml:space="preserve">induction of </t>
    </r>
    <r>
      <rPr>
        <b/>
        <sz val="11"/>
        <color theme="1"/>
        <rFont val="Calibri"/>
        <family val="2"/>
        <scheme val="minor"/>
      </rPr>
      <t>Hsf1</t>
    </r>
    <r>
      <rPr>
        <sz val="11"/>
        <color theme="1"/>
        <rFont val="Calibri"/>
        <family val="2"/>
        <scheme val="minor"/>
      </rPr>
      <t xml:space="preserve"> and the small heat shock protein crystallin-αB (CryAB) during </t>
    </r>
    <r>
      <rPr>
        <b/>
        <sz val="11"/>
        <color theme="1"/>
        <rFont val="Calibri"/>
        <family val="2"/>
        <scheme val="minor"/>
      </rPr>
      <t>cisplatin</t>
    </r>
    <r>
      <rPr>
        <sz val="11"/>
        <color theme="1"/>
        <rFont val="Calibri"/>
        <family val="2"/>
        <scheme val="minor"/>
      </rPr>
      <t xml:space="preserve"> nephrotoxicity in mice.</t>
    </r>
    <r>
      <rPr>
        <b/>
        <sz val="11"/>
        <color theme="1"/>
        <rFont val="Calibri"/>
        <family val="2"/>
        <scheme val="minor"/>
      </rPr>
      <t xml:space="preserve"> 2)</t>
    </r>
    <r>
      <rPr>
        <sz val="11"/>
        <color theme="1"/>
        <rFont val="Calibri"/>
        <family val="2"/>
        <scheme val="minor"/>
      </rPr>
      <t xml:space="preserve"> cisplatin induced Hsf1 and CryAB in a cultured</t>
    </r>
    <r>
      <rPr>
        <b/>
        <sz val="11"/>
        <color theme="1"/>
        <rFont val="Calibri"/>
        <family val="2"/>
        <scheme val="minor"/>
      </rPr>
      <t xml:space="preserve"> renal</t>
    </r>
    <r>
      <rPr>
        <sz val="11"/>
        <color theme="1"/>
        <rFont val="Calibri"/>
        <family val="2"/>
        <scheme val="minor"/>
      </rPr>
      <t xml:space="preserve"> proximal tubular cells (RPTCs). </t>
    </r>
    <r>
      <rPr>
        <b/>
        <sz val="11"/>
        <color theme="1"/>
        <rFont val="Calibri"/>
        <family val="2"/>
        <scheme val="minor"/>
      </rPr>
      <t xml:space="preserve">3) </t>
    </r>
    <r>
      <rPr>
        <sz val="11"/>
        <color theme="1"/>
        <rFont val="Calibri"/>
        <family val="2"/>
        <scheme val="minor"/>
      </rPr>
      <t xml:space="preserve">Transfection or restoration of Hsf1 into Hsf1 knockdown cells suppressed cisplatin-induced apoptosis, </t>
    </r>
    <r>
      <rPr>
        <b/>
        <sz val="11"/>
        <color theme="1"/>
        <rFont val="Calibri"/>
        <family val="2"/>
        <scheme val="minor"/>
      </rPr>
      <t xml:space="preserve">4) </t>
    </r>
    <r>
      <rPr>
        <sz val="11"/>
        <color theme="1"/>
        <rFont val="Calibri"/>
        <family val="2"/>
        <scheme val="minor"/>
      </rPr>
      <t xml:space="preserve">Hsf1 knockdown increased Bax translocation to mitochondria and cytochrome c release into the cytosol. </t>
    </r>
    <r>
      <rPr>
        <b/>
        <sz val="11"/>
        <color theme="1"/>
        <rFont val="Calibri"/>
        <family val="2"/>
        <scheme val="minor"/>
      </rPr>
      <t>5)</t>
    </r>
    <r>
      <rPr>
        <sz val="11"/>
        <color theme="1"/>
        <rFont val="Calibri"/>
        <family val="2"/>
        <scheme val="minor"/>
      </rPr>
      <t xml:space="preserve"> In RPTCs, Hsf1 knockdown led to a specific downregulation of CryAB. </t>
    </r>
    <r>
      <rPr>
        <b/>
        <sz val="11"/>
        <color theme="1"/>
        <rFont val="Calibri"/>
        <family val="2"/>
        <scheme val="minor"/>
      </rPr>
      <t xml:space="preserve">6) </t>
    </r>
    <r>
      <rPr>
        <sz val="11"/>
        <color theme="1"/>
        <rFont val="Calibri"/>
        <family val="2"/>
        <scheme val="minor"/>
      </rPr>
      <t>Transfection of CryAB into Hsf1 knockdown cells diminished their sensitivity to cisplatin-induced apoptosis. </t>
    </r>
    <r>
      <rPr>
        <b/>
        <sz val="11"/>
        <color theme="1"/>
        <rFont val="Calibri"/>
        <family val="2"/>
        <scheme val="minor"/>
      </rPr>
      <t xml:space="preserve">7) </t>
    </r>
    <r>
      <rPr>
        <sz val="11"/>
        <color theme="1"/>
        <rFont val="Calibri"/>
        <family val="2"/>
        <scheme val="minor"/>
      </rPr>
      <t xml:space="preserve">from 478 </t>
    </r>
    <r>
      <rPr>
        <b/>
        <sz val="11"/>
        <color theme="1"/>
        <rFont val="Calibri"/>
        <family val="2"/>
        <scheme val="minor"/>
      </rPr>
      <t>prostate</t>
    </r>
    <r>
      <rPr>
        <sz val="11"/>
        <color theme="1"/>
        <rFont val="Calibri"/>
        <family val="2"/>
        <scheme val="minor"/>
      </rPr>
      <t xml:space="preserve"> cancer patients with long term follow-up, increased nuclear </t>
    </r>
    <r>
      <rPr>
        <b/>
        <sz val="11"/>
        <color theme="1"/>
        <rFont val="Calibri"/>
        <family val="2"/>
        <scheme val="minor"/>
      </rPr>
      <t>HSF1</t>
    </r>
    <r>
      <rPr>
        <sz val="11"/>
        <color theme="1"/>
        <rFont val="Calibri"/>
        <family val="2"/>
        <scheme val="minor"/>
      </rPr>
      <t xml:space="preserve"> expression correlated with disease advancement and aggressiveness and was, independently from established clinicopathological variables, predictive of both early initiation of secondary therapy and poor disease-specific survival. </t>
    </r>
    <r>
      <rPr>
        <b/>
        <sz val="11"/>
        <color theme="1"/>
        <rFont val="Calibri"/>
        <family val="2"/>
        <scheme val="minor"/>
      </rPr>
      <t xml:space="preserve">8) </t>
    </r>
    <r>
      <rPr>
        <sz val="11"/>
        <color theme="1"/>
        <rFont val="Calibri"/>
        <family val="2"/>
        <scheme val="minor"/>
      </rPr>
      <t xml:space="preserve">In a joint model with the clinical Cancer of the Prostate Risk Assessment post-Surgical (CAPRA-S) score, nuclear HSF1 remained a predictive factor of shortened disease-specific survival. </t>
    </r>
  </si>
  <si>
    <r>
      <rPr>
        <b/>
        <sz val="11"/>
        <color theme="1"/>
        <rFont val="Calibri"/>
        <family val="2"/>
        <scheme val="minor"/>
      </rPr>
      <t>1) HSP90AA1</t>
    </r>
    <r>
      <rPr>
        <sz val="11"/>
        <color theme="1"/>
        <rFont val="Calibri"/>
        <family val="2"/>
        <scheme val="minor"/>
      </rPr>
      <t xml:space="preserve"> RNAi inhibited the proliferation of </t>
    </r>
    <r>
      <rPr>
        <b/>
        <sz val="11"/>
        <color theme="1"/>
        <rFont val="Calibri"/>
        <family val="2"/>
        <scheme val="minor"/>
      </rPr>
      <t>ovarian</t>
    </r>
    <r>
      <rPr>
        <sz val="11"/>
        <color theme="1"/>
        <rFont val="Calibri"/>
        <family val="2"/>
        <scheme val="minor"/>
      </rPr>
      <t xml:space="preserve"> cancer SKOV3 cell line and increased the apoptosis upon </t>
    </r>
    <r>
      <rPr>
        <b/>
        <sz val="11"/>
        <color theme="1"/>
        <rFont val="Calibri"/>
        <family val="2"/>
        <scheme val="minor"/>
      </rPr>
      <t>cisplatin</t>
    </r>
    <r>
      <rPr>
        <sz val="11"/>
        <color theme="1"/>
        <rFont val="Calibri"/>
        <family val="2"/>
        <scheme val="minor"/>
      </rPr>
      <t xml:space="preserve"> treatment. </t>
    </r>
    <r>
      <rPr>
        <b/>
        <sz val="11"/>
        <color theme="1"/>
        <rFont val="Calibri"/>
        <family val="2"/>
        <scheme val="minor"/>
      </rPr>
      <t xml:space="preserve">2) </t>
    </r>
    <r>
      <rPr>
        <sz val="11"/>
        <color theme="1"/>
        <rFont val="Calibri"/>
        <family val="2"/>
        <scheme val="minor"/>
      </rPr>
      <t xml:space="preserve">overexpression of </t>
    </r>
    <r>
      <rPr>
        <b/>
        <sz val="11"/>
        <color theme="1"/>
        <rFont val="Calibri"/>
        <family val="2"/>
        <scheme val="minor"/>
      </rPr>
      <t>HSP90AA1</t>
    </r>
    <r>
      <rPr>
        <sz val="11"/>
        <color theme="1"/>
        <rFont val="Calibri"/>
        <family val="2"/>
        <scheme val="minor"/>
      </rPr>
      <t xml:space="preserve"> decreased the chemosensitivity to </t>
    </r>
    <r>
      <rPr>
        <b/>
        <sz val="11"/>
        <color theme="1"/>
        <rFont val="Calibri"/>
        <family val="2"/>
        <scheme val="minor"/>
      </rPr>
      <t>cisplatin</t>
    </r>
    <r>
      <rPr>
        <sz val="11"/>
        <color theme="1"/>
        <rFont val="Calibri"/>
        <family val="2"/>
        <scheme val="minor"/>
      </rPr>
      <t xml:space="preserve"> of SKOV3 cells and overexpression of HSP90AA1 could partially rescue the survival rate of SKOV3 cells which were treated with </t>
    </r>
    <r>
      <rPr>
        <b/>
        <sz val="11"/>
        <color theme="1"/>
        <rFont val="Calibri"/>
        <family val="2"/>
        <scheme val="minor"/>
      </rPr>
      <t>cisplatin</t>
    </r>
    <r>
      <rPr>
        <sz val="11"/>
        <color theme="1"/>
        <rFont val="Calibri"/>
        <family val="2"/>
        <scheme val="minor"/>
      </rPr>
      <t xml:space="preserve">. </t>
    </r>
    <r>
      <rPr>
        <b/>
        <sz val="11"/>
        <color theme="1"/>
        <rFont val="Calibri"/>
        <family val="2"/>
        <scheme val="minor"/>
      </rPr>
      <t>3)</t>
    </r>
    <r>
      <rPr>
        <sz val="11"/>
        <color theme="1"/>
        <rFont val="Calibri"/>
        <family val="2"/>
        <scheme val="minor"/>
      </rPr>
      <t xml:space="preserve"> three isogenic EOC models of acquired Pt resistance (TOV-112D, OVSAHO, and MDAH-2774). Using this approach, we identified several differentially expressed proteins in Pt-resistant (Pt-res) compared to parental cells and the chaperone HSP90 as a central hub of these protein networks. </t>
    </r>
    <r>
      <rPr>
        <b/>
        <sz val="11"/>
        <color theme="1"/>
        <rFont val="Calibri"/>
        <family val="2"/>
        <scheme val="minor"/>
      </rPr>
      <t>4)</t>
    </r>
    <r>
      <rPr>
        <sz val="11"/>
        <color theme="1"/>
        <rFont val="Calibri"/>
        <family val="2"/>
        <scheme val="minor"/>
      </rPr>
      <t xml:space="preserve"> up-regulation of </t>
    </r>
    <r>
      <rPr>
        <b/>
        <sz val="11"/>
        <color theme="1"/>
        <rFont val="Calibri"/>
        <family val="2"/>
        <scheme val="minor"/>
      </rPr>
      <t>HSP90</t>
    </r>
    <r>
      <rPr>
        <sz val="11"/>
        <color theme="1"/>
        <rFont val="Calibri"/>
        <family val="2"/>
        <scheme val="minor"/>
      </rPr>
      <t xml:space="preserve"> was observed in all Pt-res cells and </t>
    </r>
    <r>
      <rPr>
        <b/>
        <sz val="11"/>
        <color theme="1"/>
        <rFont val="Calibri"/>
        <family val="2"/>
        <scheme val="minor"/>
      </rPr>
      <t>heat-shock protein 90 alpha</t>
    </r>
    <r>
      <rPr>
        <sz val="11"/>
        <color theme="1"/>
        <rFont val="Calibri"/>
        <family val="2"/>
        <scheme val="minor"/>
      </rPr>
      <t xml:space="preserve"> isoform knockout resensitizes Pt-res cells to cisplatin (CDDP) treatment. </t>
    </r>
    <r>
      <rPr>
        <b/>
        <sz val="11"/>
        <color theme="1"/>
        <rFont val="Calibri"/>
        <family val="2"/>
        <scheme val="minor"/>
      </rPr>
      <t>5)</t>
    </r>
    <r>
      <rPr>
        <sz val="11"/>
        <color theme="1"/>
        <rFont val="Calibri"/>
        <family val="2"/>
        <scheme val="minor"/>
      </rPr>
      <t xml:space="preserve"> pharmacological HSP90 inhibition using two different inhibitors 17AAG and ganetespib synergizes with CDDP in killing Pt-res cells in all tested models. </t>
    </r>
    <r>
      <rPr>
        <b/>
        <sz val="11"/>
        <color theme="1"/>
        <rFont val="Calibri"/>
        <family val="2"/>
        <scheme val="minor"/>
      </rPr>
      <t>5)</t>
    </r>
    <r>
      <rPr>
        <sz val="11"/>
        <color theme="1"/>
        <rFont val="Calibri"/>
        <family val="2"/>
        <scheme val="minor"/>
      </rPr>
      <t xml:space="preserve"> genetic or pharmacological HSP90 inhibition plus CDDP -induced apoptosis and increased DNA damage, particularly in Pt-res cells. </t>
    </r>
    <r>
      <rPr>
        <b/>
        <sz val="11"/>
        <color theme="1"/>
        <rFont val="Calibri"/>
        <family val="2"/>
        <scheme val="minor"/>
      </rPr>
      <t>6)</t>
    </r>
    <r>
      <rPr>
        <sz val="11"/>
        <color theme="1"/>
        <rFont val="Calibri"/>
        <family val="2"/>
        <scheme val="minor"/>
      </rPr>
      <t xml:space="preserve"> the antitumor activities of HSP90 inhibitors (HSP90i) were confirmed both ex vivo in primary cultures derived from Pt-res EOC patients ascites and in vivo in a xenograft model. </t>
    </r>
    <r>
      <rPr>
        <b/>
        <sz val="11"/>
        <color theme="1"/>
        <rFont val="Calibri"/>
        <family val="2"/>
        <scheme val="minor"/>
      </rPr>
      <t xml:space="preserve">7) </t>
    </r>
    <r>
      <rPr>
        <sz val="11"/>
        <color theme="1"/>
        <rFont val="Calibri"/>
        <family val="2"/>
        <scheme val="minor"/>
      </rPr>
      <t>a decreased expression of</t>
    </r>
    <r>
      <rPr>
        <b/>
        <sz val="11"/>
        <color theme="1"/>
        <rFont val="Calibri"/>
        <family val="2"/>
        <scheme val="minor"/>
      </rPr>
      <t xml:space="preserve"> </t>
    </r>
    <r>
      <rPr>
        <sz val="11"/>
        <color theme="1"/>
        <rFont val="Calibri"/>
        <family val="2"/>
        <scheme val="minor"/>
      </rPr>
      <t xml:space="preserve">Hsp16,2, </t>
    </r>
    <r>
      <rPr>
        <b/>
        <sz val="11"/>
        <color theme="1"/>
        <rFont val="Calibri"/>
        <family val="2"/>
        <scheme val="minor"/>
      </rPr>
      <t>Hsp90</t>
    </r>
    <r>
      <rPr>
        <sz val="11"/>
        <color theme="1"/>
        <rFont val="Calibri"/>
        <family val="2"/>
        <scheme val="minor"/>
      </rPr>
      <t xml:space="preserve"> and SOUL expression and an increased Bax/ Bcl-2 ratio correlates to the responding tumors of </t>
    </r>
    <r>
      <rPr>
        <b/>
        <sz val="11"/>
        <color theme="1"/>
        <rFont val="Calibri"/>
        <family val="2"/>
        <scheme val="minor"/>
      </rPr>
      <t>NRCT</t>
    </r>
    <r>
      <rPr>
        <sz val="11"/>
        <color theme="1"/>
        <rFont val="Calibri"/>
        <family val="2"/>
        <scheme val="minor"/>
      </rPr>
      <t xml:space="preserve"> and predict outcome in patients with locally advanced squamous-cell </t>
    </r>
    <r>
      <rPr>
        <b/>
        <sz val="11"/>
        <color theme="1"/>
        <rFont val="Calibri"/>
        <family val="2"/>
        <scheme val="minor"/>
      </rPr>
      <t>esophageal</t>
    </r>
    <r>
      <rPr>
        <sz val="11"/>
        <color theme="1"/>
        <rFont val="Calibri"/>
        <family val="2"/>
        <scheme val="minor"/>
      </rPr>
      <t xml:space="preserve"> cancer. </t>
    </r>
  </si>
  <si>
    <r>
      <rPr>
        <b/>
        <sz val="11"/>
        <color theme="1"/>
        <rFont val="Calibri"/>
        <family val="2"/>
        <scheme val="minor"/>
      </rPr>
      <t>1)</t>
    </r>
    <r>
      <rPr>
        <sz val="11"/>
        <color theme="1"/>
        <rFont val="Calibri"/>
        <family val="2"/>
        <scheme val="minor"/>
      </rPr>
      <t xml:space="preserve"> </t>
    </r>
    <r>
      <rPr>
        <b/>
        <sz val="11"/>
        <color theme="1"/>
        <rFont val="Calibri"/>
        <family val="2"/>
        <scheme val="minor"/>
      </rPr>
      <t>HSP90AB1</t>
    </r>
    <r>
      <rPr>
        <sz val="11"/>
        <color theme="1"/>
        <rFont val="Calibri"/>
        <family val="2"/>
        <scheme val="minor"/>
      </rPr>
      <t xml:space="preserve"> is related to IDH mutation and the expressions of HSP90AB1 and TIMP1 can predict prognosis in </t>
    </r>
    <r>
      <rPr>
        <b/>
        <sz val="11"/>
        <color theme="1"/>
        <rFont val="Calibri"/>
        <family val="2"/>
        <scheme val="minor"/>
      </rPr>
      <t>astrocytic</t>
    </r>
    <r>
      <rPr>
        <sz val="11"/>
        <color theme="1"/>
        <rFont val="Calibri"/>
        <family val="2"/>
        <scheme val="minor"/>
      </rPr>
      <t xml:space="preserve"> tumors. </t>
    </r>
    <r>
      <rPr>
        <b/>
        <sz val="11"/>
        <color theme="1"/>
        <rFont val="Calibri"/>
        <family val="2"/>
        <scheme val="minor"/>
      </rPr>
      <t>2)</t>
    </r>
    <r>
      <rPr>
        <sz val="11"/>
        <color theme="1"/>
        <rFont val="Calibri"/>
        <family val="2"/>
        <scheme val="minor"/>
      </rPr>
      <t xml:space="preserve"> interaction of </t>
    </r>
    <r>
      <rPr>
        <b/>
        <sz val="11"/>
        <color theme="1"/>
        <rFont val="Calibri"/>
        <family val="2"/>
        <scheme val="minor"/>
      </rPr>
      <t>hsp90B</t>
    </r>
    <r>
      <rPr>
        <sz val="11"/>
        <color theme="1"/>
        <rFont val="Calibri"/>
        <family val="2"/>
        <scheme val="minor"/>
      </rPr>
      <t xml:space="preserve"> with </t>
    </r>
    <r>
      <rPr>
        <b/>
        <sz val="11"/>
        <color theme="1"/>
        <rFont val="Calibri"/>
        <family val="2"/>
        <scheme val="minor"/>
      </rPr>
      <t>MAST1</t>
    </r>
    <r>
      <rPr>
        <sz val="11"/>
        <color theme="1"/>
        <rFont val="Calibri"/>
        <family val="2"/>
        <scheme val="minor"/>
      </rPr>
      <t xml:space="preserve"> blocked ubiquitination of MAST1 at lysines 317 and 545 by the E3 ubiquitin ligase CHIP and prevented proteasomal degradation. </t>
    </r>
    <r>
      <rPr>
        <b/>
        <sz val="11"/>
        <color theme="1"/>
        <rFont val="Calibri"/>
        <family val="2"/>
        <scheme val="minor"/>
      </rPr>
      <t>3)</t>
    </r>
    <r>
      <rPr>
        <sz val="11"/>
        <color theme="1"/>
        <rFont val="Calibri"/>
        <family val="2"/>
        <scheme val="minor"/>
      </rPr>
      <t xml:space="preserve"> Expression of </t>
    </r>
    <r>
      <rPr>
        <b/>
        <sz val="11"/>
        <color theme="1"/>
        <rFont val="Calibri"/>
        <family val="2"/>
        <scheme val="minor"/>
      </rPr>
      <t>hsp90Β</t>
    </r>
    <r>
      <rPr>
        <sz val="11"/>
        <color theme="1"/>
        <rFont val="Calibri"/>
        <family val="2"/>
        <scheme val="minor"/>
      </rPr>
      <t xml:space="preserve"> positively and </t>
    </r>
    <r>
      <rPr>
        <b/>
        <sz val="11"/>
        <color theme="1"/>
        <rFont val="Calibri"/>
        <family val="2"/>
        <scheme val="minor"/>
      </rPr>
      <t>CHIP</t>
    </r>
    <r>
      <rPr>
        <sz val="11"/>
        <color theme="1"/>
        <rFont val="Calibri"/>
        <family val="2"/>
        <scheme val="minor"/>
      </rPr>
      <t xml:space="preserve"> negatively correlates with </t>
    </r>
    <r>
      <rPr>
        <b/>
        <sz val="11"/>
        <color theme="1"/>
        <rFont val="Calibri"/>
        <family val="2"/>
        <scheme val="minor"/>
      </rPr>
      <t>MAST1</t>
    </r>
    <r>
      <rPr>
        <sz val="11"/>
        <color theme="1"/>
        <rFont val="Calibri"/>
        <family val="2"/>
        <scheme val="minor"/>
      </rPr>
      <t xml:space="preserve"> protein level and </t>
    </r>
    <r>
      <rPr>
        <b/>
        <sz val="11"/>
        <color theme="1"/>
        <rFont val="Calibri"/>
        <family val="2"/>
        <scheme val="minor"/>
      </rPr>
      <t>cisplatin resistance</t>
    </r>
    <r>
      <rPr>
        <sz val="11"/>
        <color theme="1"/>
        <rFont val="Calibri"/>
        <family val="2"/>
        <scheme val="minor"/>
      </rPr>
      <t xml:space="preserve"> in 76 tumor samples collected from head and neck squamous cell carcinoma (</t>
    </r>
    <r>
      <rPr>
        <b/>
        <sz val="11"/>
        <color theme="1"/>
        <rFont val="Calibri"/>
        <family val="2"/>
        <scheme val="minor"/>
      </rPr>
      <t>HNSCC</t>
    </r>
    <r>
      <rPr>
        <sz val="11"/>
        <color theme="1"/>
        <rFont val="Calibri"/>
        <family val="2"/>
        <scheme val="minor"/>
      </rPr>
      <t xml:space="preserve">) patients. </t>
    </r>
    <r>
      <rPr>
        <b/>
        <sz val="11"/>
        <color theme="1"/>
        <rFont val="Calibri"/>
        <family val="2"/>
        <scheme val="minor"/>
      </rPr>
      <t xml:space="preserve">4) </t>
    </r>
    <r>
      <rPr>
        <sz val="11"/>
        <color theme="1"/>
        <rFont val="Calibri"/>
        <family val="2"/>
        <scheme val="minor"/>
      </rPr>
      <t xml:space="preserve">combined treatment with a hsp90 inhibitor and the MAST1 inhibitor lestaurtinib further abrogated MAST1 activity and consequently enhanced </t>
    </r>
    <r>
      <rPr>
        <b/>
        <sz val="11"/>
        <color theme="1"/>
        <rFont val="Calibri"/>
        <family val="2"/>
        <scheme val="minor"/>
      </rPr>
      <t>cisplatin</t>
    </r>
    <r>
      <rPr>
        <sz val="11"/>
        <color theme="1"/>
        <rFont val="Calibri"/>
        <family val="2"/>
        <scheme val="minor"/>
      </rPr>
      <t xml:space="preserve">-induced tumor growth arrest in a patient-derived xenograft model. </t>
    </r>
  </si>
  <si>
    <r>
      <rPr>
        <b/>
        <sz val="11"/>
        <color theme="1"/>
        <rFont val="Calibri"/>
        <family val="2"/>
        <scheme val="minor"/>
      </rPr>
      <t>1) HSP70</t>
    </r>
    <r>
      <rPr>
        <sz val="11"/>
        <color theme="1"/>
        <rFont val="Calibri"/>
        <family val="2"/>
        <scheme val="minor"/>
      </rPr>
      <t xml:space="preserve"> inhibitor and</t>
    </r>
    <r>
      <rPr>
        <b/>
        <sz val="11"/>
        <color theme="1"/>
        <rFont val="Calibri"/>
        <family val="2"/>
        <scheme val="minor"/>
      </rPr>
      <t xml:space="preserve"> cisplatin </t>
    </r>
    <r>
      <rPr>
        <sz val="11"/>
        <color theme="1"/>
        <rFont val="Calibri"/>
        <family val="2"/>
        <scheme val="minor"/>
      </rPr>
      <t xml:space="preserve">inhibit </t>
    </r>
    <r>
      <rPr>
        <b/>
        <sz val="11"/>
        <color theme="1"/>
        <rFont val="Calibri"/>
        <family val="2"/>
        <scheme val="minor"/>
      </rPr>
      <t>cervical</t>
    </r>
    <r>
      <rPr>
        <sz val="11"/>
        <color theme="1"/>
        <rFont val="Calibri"/>
        <family val="2"/>
        <scheme val="minor"/>
      </rPr>
      <t xml:space="preserve"> cancer Hela cell proliferation in vitro</t>
    </r>
    <r>
      <rPr>
        <b/>
        <sz val="11"/>
        <color theme="1"/>
        <rFont val="Calibri"/>
        <family val="2"/>
        <scheme val="minor"/>
      </rPr>
      <t xml:space="preserve"> </t>
    </r>
    <r>
      <rPr>
        <sz val="11"/>
        <color theme="1"/>
        <rFont val="Calibri"/>
        <family val="2"/>
        <scheme val="minor"/>
      </rPr>
      <t>and transplanted tumor growth</t>
    </r>
    <r>
      <rPr>
        <b/>
        <sz val="11"/>
        <color theme="1"/>
        <rFont val="Calibri"/>
        <family val="2"/>
        <scheme val="minor"/>
      </rPr>
      <t xml:space="preserve"> </t>
    </r>
    <r>
      <rPr>
        <sz val="11"/>
        <color theme="1"/>
        <rFont val="Calibri"/>
        <family val="2"/>
        <scheme val="minor"/>
      </rPr>
      <t xml:space="preserve">synergistically. </t>
    </r>
    <r>
      <rPr>
        <b/>
        <sz val="11"/>
        <color theme="1"/>
        <rFont val="Calibri"/>
        <family val="2"/>
        <scheme val="minor"/>
      </rPr>
      <t xml:space="preserve">2) </t>
    </r>
    <r>
      <rPr>
        <sz val="11"/>
        <color theme="1"/>
        <rFont val="Calibri"/>
        <family val="2"/>
        <scheme val="minor"/>
      </rPr>
      <t xml:space="preserve">siRNA knockdown of </t>
    </r>
    <r>
      <rPr>
        <b/>
        <sz val="11"/>
        <color theme="1"/>
        <rFont val="Calibri"/>
        <family val="2"/>
        <scheme val="minor"/>
      </rPr>
      <t>HSP70</t>
    </r>
    <r>
      <rPr>
        <sz val="11"/>
        <color theme="1"/>
        <rFont val="Calibri"/>
        <family val="2"/>
        <scheme val="minor"/>
      </rPr>
      <t xml:space="preserve"> enhances the antitumor effects of </t>
    </r>
    <r>
      <rPr>
        <b/>
        <sz val="11"/>
        <color theme="1"/>
        <rFont val="Calibri"/>
        <family val="2"/>
        <scheme val="minor"/>
      </rPr>
      <t>cisplatin</t>
    </r>
    <r>
      <rPr>
        <sz val="11"/>
        <color theme="1"/>
        <rFont val="Calibri"/>
        <family val="2"/>
        <scheme val="minor"/>
      </rPr>
      <t xml:space="preserve"> in cultured human </t>
    </r>
    <r>
      <rPr>
        <b/>
        <sz val="11"/>
        <color theme="1"/>
        <rFont val="Calibri"/>
        <family val="2"/>
        <scheme val="minor"/>
      </rPr>
      <t>osteosarcoma</t>
    </r>
    <r>
      <rPr>
        <sz val="11"/>
        <color theme="1"/>
        <rFont val="Calibri"/>
        <family val="2"/>
        <scheme val="minor"/>
      </rPr>
      <t xml:space="preserve"> cells. </t>
    </r>
    <r>
      <rPr>
        <b/>
        <sz val="11"/>
        <color theme="1"/>
        <rFont val="Calibri"/>
        <family val="2"/>
        <scheme val="minor"/>
      </rPr>
      <t xml:space="preserve">2) </t>
    </r>
    <r>
      <rPr>
        <sz val="11"/>
        <color theme="1"/>
        <rFont val="Calibri"/>
        <family val="2"/>
        <scheme val="minor"/>
      </rPr>
      <t xml:space="preserve">overexpression of </t>
    </r>
    <r>
      <rPr>
        <b/>
        <sz val="11"/>
        <color theme="1"/>
        <rFont val="Calibri"/>
        <family val="2"/>
        <scheme val="minor"/>
      </rPr>
      <t>HSP70</t>
    </r>
    <r>
      <rPr>
        <sz val="11"/>
        <color theme="1"/>
        <rFont val="Calibri"/>
        <family val="2"/>
        <scheme val="minor"/>
      </rPr>
      <t xml:space="preserve"> decreased </t>
    </r>
    <r>
      <rPr>
        <b/>
        <sz val="11"/>
        <color theme="1"/>
        <rFont val="Calibri"/>
        <family val="2"/>
        <scheme val="minor"/>
      </rPr>
      <t>cisplatin‑</t>
    </r>
    <r>
      <rPr>
        <sz val="11"/>
        <color theme="1"/>
        <rFont val="Calibri"/>
        <family val="2"/>
        <scheme val="minor"/>
      </rPr>
      <t xml:space="preserve">induced </t>
    </r>
    <r>
      <rPr>
        <b/>
        <sz val="11"/>
        <color theme="1"/>
        <rFont val="Calibri"/>
        <family val="2"/>
        <scheme val="minor"/>
      </rPr>
      <t>gastric</t>
    </r>
    <r>
      <rPr>
        <sz val="11"/>
        <color theme="1"/>
        <rFont val="Calibri"/>
        <family val="2"/>
        <scheme val="minor"/>
      </rPr>
      <t xml:space="preserve"> cancer HGC‑27 cell apoptosis. </t>
    </r>
    <r>
      <rPr>
        <b/>
        <sz val="11"/>
        <color theme="1"/>
        <rFont val="Calibri"/>
        <family val="2"/>
        <scheme val="minor"/>
      </rPr>
      <t>3) Hsp70</t>
    </r>
    <r>
      <rPr>
        <sz val="11"/>
        <color theme="1"/>
        <rFont val="Calibri"/>
        <family val="2"/>
        <scheme val="minor"/>
      </rPr>
      <t xml:space="preserve"> is highly expressed in </t>
    </r>
    <r>
      <rPr>
        <b/>
        <sz val="11"/>
        <color theme="1"/>
        <rFont val="Calibri"/>
        <family val="2"/>
        <scheme val="minor"/>
      </rPr>
      <t>cisplatin</t>
    </r>
    <r>
      <rPr>
        <sz val="11"/>
        <color theme="1"/>
        <rFont val="Calibri"/>
        <family val="2"/>
        <scheme val="minor"/>
      </rPr>
      <t xml:space="preserve">-resistant cells. </t>
    </r>
    <r>
      <rPr>
        <b/>
        <sz val="11"/>
        <color theme="1"/>
        <rFont val="Calibri"/>
        <family val="2"/>
        <scheme val="minor"/>
      </rPr>
      <t>Hsp70</t>
    </r>
    <r>
      <rPr>
        <sz val="11"/>
        <color theme="1"/>
        <rFont val="Calibri"/>
        <family val="2"/>
        <scheme val="minor"/>
      </rPr>
      <t xml:space="preserve"> promotes chemoresistance, in part, by blocking </t>
    </r>
    <r>
      <rPr>
        <b/>
        <sz val="11"/>
        <color theme="1"/>
        <rFont val="Calibri"/>
        <family val="2"/>
        <scheme val="minor"/>
      </rPr>
      <t>Bax</t>
    </r>
    <r>
      <rPr>
        <sz val="11"/>
        <color theme="1"/>
        <rFont val="Calibri"/>
        <family val="2"/>
        <scheme val="minor"/>
      </rPr>
      <t xml:space="preserve"> translocation to the mitochondria and mitochondrial protein release to cytosol in human </t>
    </r>
    <r>
      <rPr>
        <b/>
        <sz val="11"/>
        <color theme="1"/>
        <rFont val="Calibri"/>
        <family val="2"/>
        <scheme val="minor"/>
      </rPr>
      <t>ovarian</t>
    </r>
    <r>
      <rPr>
        <sz val="11"/>
        <color theme="1"/>
        <rFont val="Calibri"/>
        <family val="2"/>
        <scheme val="minor"/>
      </rPr>
      <t xml:space="preserve"> cancer cells. </t>
    </r>
    <r>
      <rPr>
        <b/>
        <sz val="11"/>
        <color theme="1"/>
        <rFont val="Calibri"/>
        <family val="2"/>
        <scheme val="minor"/>
      </rPr>
      <t xml:space="preserve">4) </t>
    </r>
    <r>
      <rPr>
        <sz val="11"/>
        <color theme="1"/>
        <rFont val="Calibri"/>
        <family val="2"/>
        <scheme val="minor"/>
      </rPr>
      <t xml:space="preserve">2-DE accompanied by MALDI-TOF-MS was used to analyze ten cases of advanced </t>
    </r>
    <r>
      <rPr>
        <b/>
        <sz val="11"/>
        <color theme="1"/>
        <rFont val="Calibri"/>
        <family val="2"/>
        <scheme val="minor"/>
      </rPr>
      <t>cervical</t>
    </r>
    <r>
      <rPr>
        <sz val="11"/>
        <color theme="1"/>
        <rFont val="Calibri"/>
        <family val="2"/>
        <scheme val="minor"/>
      </rPr>
      <t xml:space="preserve"> cancer patients receiving </t>
    </r>
    <r>
      <rPr>
        <b/>
        <sz val="11"/>
        <color theme="1"/>
        <rFont val="Calibri"/>
        <family val="2"/>
        <scheme val="minor"/>
      </rPr>
      <t>cisplatin</t>
    </r>
    <r>
      <rPr>
        <sz val="11"/>
        <color theme="1"/>
        <rFont val="Calibri"/>
        <family val="2"/>
        <scheme val="minor"/>
      </rPr>
      <t xml:space="preserve">-based NAC: the high-fold changes proteins of </t>
    </r>
    <r>
      <rPr>
        <b/>
        <sz val="11"/>
        <color theme="1"/>
        <rFont val="Calibri"/>
        <family val="2"/>
        <scheme val="minor"/>
      </rPr>
      <t>stathmin1</t>
    </r>
    <r>
      <rPr>
        <sz val="11"/>
        <color theme="1"/>
        <rFont val="Calibri"/>
        <family val="2"/>
        <scheme val="minor"/>
      </rPr>
      <t xml:space="preserve">, </t>
    </r>
    <r>
      <rPr>
        <b/>
        <sz val="11"/>
        <color theme="1"/>
        <rFont val="Calibri"/>
        <family val="2"/>
        <scheme val="minor"/>
      </rPr>
      <t>Hsp70</t>
    </r>
    <r>
      <rPr>
        <sz val="11"/>
        <color theme="1"/>
        <rFont val="Calibri"/>
        <family val="2"/>
        <scheme val="minor"/>
      </rPr>
      <t xml:space="preserve"> and </t>
    </r>
    <r>
      <rPr>
        <b/>
        <sz val="11"/>
        <color theme="1"/>
        <rFont val="Calibri"/>
        <family val="2"/>
        <scheme val="minor"/>
      </rPr>
      <t>PKM2</t>
    </r>
    <r>
      <rPr>
        <sz val="11"/>
        <color theme="1"/>
        <rFont val="Calibri"/>
        <family val="2"/>
        <scheme val="minor"/>
      </rPr>
      <t xml:space="preserve"> were validated by Western blot analysis. </t>
    </r>
    <r>
      <rPr>
        <b/>
        <sz val="11"/>
        <color theme="1"/>
        <rFont val="Calibri"/>
        <family val="2"/>
        <scheme val="minor"/>
      </rPr>
      <t xml:space="preserve">5) </t>
    </r>
    <r>
      <rPr>
        <sz val="11"/>
        <color theme="1"/>
        <rFont val="Calibri"/>
        <family val="2"/>
        <scheme val="minor"/>
      </rPr>
      <t xml:space="preserve">Over-expression of </t>
    </r>
    <r>
      <rPr>
        <b/>
        <sz val="11"/>
        <color theme="1"/>
        <rFont val="Calibri"/>
        <family val="2"/>
        <scheme val="minor"/>
      </rPr>
      <t>Hsp70</t>
    </r>
    <r>
      <rPr>
        <sz val="11"/>
        <color theme="1"/>
        <rFont val="Calibri"/>
        <family val="2"/>
        <scheme val="minor"/>
      </rPr>
      <t xml:space="preserve"> inhibits the efficacy of </t>
    </r>
    <r>
      <rPr>
        <b/>
        <sz val="11"/>
        <color theme="1"/>
        <rFont val="Calibri"/>
        <family val="2"/>
        <scheme val="minor"/>
      </rPr>
      <t>cisplatin</t>
    </r>
    <r>
      <rPr>
        <sz val="11"/>
        <color theme="1"/>
        <rFont val="Calibri"/>
        <family val="2"/>
        <scheme val="minor"/>
      </rPr>
      <t xml:space="preserve">. Hsp70 inhibitor enhanced the sensitivity to </t>
    </r>
    <r>
      <rPr>
        <b/>
        <sz val="11"/>
        <color theme="1"/>
        <rFont val="Calibri"/>
        <family val="2"/>
        <scheme val="minor"/>
      </rPr>
      <t>cisplatin</t>
    </r>
    <r>
      <rPr>
        <sz val="11"/>
        <color theme="1"/>
        <rFont val="Calibri"/>
        <family val="2"/>
        <scheme val="minor"/>
      </rPr>
      <t xml:space="preserve"> in both </t>
    </r>
    <r>
      <rPr>
        <b/>
        <sz val="11"/>
        <color theme="1"/>
        <rFont val="Calibri"/>
        <family val="2"/>
        <scheme val="minor"/>
      </rPr>
      <t>Hela</t>
    </r>
    <r>
      <rPr>
        <sz val="11"/>
        <color theme="1"/>
        <rFont val="Calibri"/>
        <family val="2"/>
        <scheme val="minor"/>
      </rPr>
      <t xml:space="preserve"> and </t>
    </r>
    <r>
      <rPr>
        <b/>
        <sz val="11"/>
        <color theme="1"/>
        <rFont val="Calibri"/>
        <family val="2"/>
        <scheme val="minor"/>
      </rPr>
      <t>Hela/DDP</t>
    </r>
    <r>
      <rPr>
        <sz val="11"/>
        <color theme="1"/>
        <rFont val="Calibri"/>
        <family val="2"/>
        <scheme val="minor"/>
      </rPr>
      <t xml:space="preserve"> cells.</t>
    </r>
  </si>
  <si>
    <r>
      <rPr>
        <b/>
        <sz val="11"/>
        <color theme="1"/>
        <rFont val="Calibri"/>
        <family val="2"/>
        <scheme val="minor"/>
      </rPr>
      <t xml:space="preserve">1) </t>
    </r>
    <r>
      <rPr>
        <sz val="11"/>
        <color theme="1"/>
        <rFont val="Calibri"/>
        <family val="2"/>
        <scheme val="minor"/>
      </rPr>
      <t xml:space="preserve">the chemotherapy-sensitive </t>
    </r>
    <r>
      <rPr>
        <b/>
        <sz val="11"/>
        <color theme="1"/>
        <rFont val="Calibri"/>
        <family val="2"/>
        <scheme val="minor"/>
      </rPr>
      <t>ovarian</t>
    </r>
    <r>
      <rPr>
        <sz val="11"/>
        <color theme="1"/>
        <rFont val="Calibri"/>
        <family val="2"/>
        <scheme val="minor"/>
      </rPr>
      <t xml:space="preserve"> tumor sections showed weak staining for </t>
    </r>
    <r>
      <rPr>
        <b/>
        <sz val="11"/>
        <color theme="1"/>
        <rFont val="Calibri"/>
        <family val="2"/>
        <scheme val="minor"/>
      </rPr>
      <t>GRP78</t>
    </r>
    <r>
      <rPr>
        <sz val="11"/>
        <color theme="1"/>
        <rFont val="Calibri"/>
        <family val="2"/>
        <scheme val="minor"/>
      </rPr>
      <t>. </t>
    </r>
    <r>
      <rPr>
        <b/>
        <sz val="11"/>
        <color theme="1"/>
        <rFont val="Calibri"/>
        <family val="2"/>
        <scheme val="minor"/>
      </rPr>
      <t>2) Cisplatin</t>
    </r>
    <r>
      <rPr>
        <sz val="11"/>
        <color theme="1"/>
        <rFont val="Calibri"/>
        <family val="2"/>
        <scheme val="minor"/>
      </rPr>
      <t xml:space="preserve">-sensitive A2780 cells with low </t>
    </r>
    <r>
      <rPr>
        <b/>
        <sz val="11"/>
        <color theme="1"/>
        <rFont val="Calibri"/>
        <family val="2"/>
        <scheme val="minor"/>
      </rPr>
      <t>GRP78</t>
    </r>
    <r>
      <rPr>
        <sz val="11"/>
        <color theme="1"/>
        <rFont val="Calibri"/>
        <family val="2"/>
        <scheme val="minor"/>
      </rPr>
      <t xml:space="preserve"> undergo senescence easilier than the cisplatin-resistant C13K cells following a dose-gradient cisplatin exposure. </t>
    </r>
    <r>
      <rPr>
        <b/>
        <sz val="11"/>
        <color theme="1"/>
        <rFont val="Calibri"/>
        <family val="2"/>
        <scheme val="minor"/>
      </rPr>
      <t xml:space="preserve">3) </t>
    </r>
    <r>
      <rPr>
        <sz val="11"/>
        <color theme="1"/>
        <rFont val="Calibri"/>
        <family val="2"/>
        <scheme val="minor"/>
      </rPr>
      <t>Forced overexpression of</t>
    </r>
    <r>
      <rPr>
        <b/>
        <sz val="11"/>
        <color theme="1"/>
        <rFont val="Calibri"/>
        <family val="2"/>
        <scheme val="minor"/>
      </rPr>
      <t xml:space="preserve"> GRP78</t>
    </r>
    <r>
      <rPr>
        <sz val="11"/>
        <color theme="1"/>
        <rFont val="Calibri"/>
        <family val="2"/>
        <scheme val="minor"/>
      </rPr>
      <t xml:space="preserve"> protected the cisplatin-sensitive A2780 cells from cisplatin-induced senescence through P53 and CDC2. </t>
    </r>
    <r>
      <rPr>
        <b/>
        <sz val="11"/>
        <color theme="1"/>
        <rFont val="Calibri"/>
        <family val="2"/>
        <scheme val="minor"/>
      </rPr>
      <t>4)</t>
    </r>
    <r>
      <rPr>
        <sz val="11"/>
        <color theme="1"/>
        <rFont val="Calibri"/>
        <family val="2"/>
        <scheme val="minor"/>
      </rPr>
      <t xml:space="preserve"> Knockdown of </t>
    </r>
    <r>
      <rPr>
        <b/>
        <sz val="11"/>
        <color theme="1"/>
        <rFont val="Calibri"/>
        <family val="2"/>
        <scheme val="minor"/>
      </rPr>
      <t>GRP78</t>
    </r>
    <r>
      <rPr>
        <sz val="11"/>
        <color theme="1"/>
        <rFont val="Calibri"/>
        <family val="2"/>
        <scheme val="minor"/>
      </rPr>
      <t xml:space="preserve"> rescued the senescence sensitivity of cisplatin-resistant C13K cells to cisplatin through P21 and CDC2. </t>
    </r>
    <r>
      <rPr>
        <b/>
        <sz val="11"/>
        <color theme="1"/>
        <rFont val="Calibri"/>
        <family val="2"/>
        <scheme val="minor"/>
      </rPr>
      <t>5)</t>
    </r>
    <r>
      <rPr>
        <sz val="11"/>
        <color theme="1"/>
        <rFont val="Calibri"/>
        <family val="2"/>
        <scheme val="minor"/>
      </rPr>
      <t xml:space="preserve"> Twisting of Ca2+ release from ER stores by </t>
    </r>
    <r>
      <rPr>
        <b/>
        <sz val="11"/>
        <color theme="1"/>
        <rFont val="Calibri"/>
        <family val="2"/>
        <scheme val="minor"/>
      </rPr>
      <t>GRP78</t>
    </r>
    <r>
      <rPr>
        <sz val="11"/>
        <color theme="1"/>
        <rFont val="Calibri"/>
        <family val="2"/>
        <scheme val="minor"/>
      </rPr>
      <t xml:space="preserve"> was associated with the sensitivity of cisplatin-induced senescence. </t>
    </r>
  </si>
  <si>
    <r>
      <rPr>
        <b/>
        <sz val="11"/>
        <color theme="1"/>
        <rFont val="Calibri"/>
        <family val="2"/>
        <scheme val="minor"/>
      </rPr>
      <t>1) Hsp27</t>
    </r>
    <r>
      <rPr>
        <sz val="11"/>
        <color theme="1"/>
        <rFont val="Calibri"/>
        <family val="2"/>
        <scheme val="minor"/>
      </rPr>
      <t xml:space="preserve"> is involved in the cytoprotective role of the UPR in cisplatin-induced apoptosis. </t>
    </r>
    <r>
      <rPr>
        <b/>
        <sz val="11"/>
        <color theme="1"/>
        <rFont val="Calibri"/>
        <family val="2"/>
        <scheme val="minor"/>
      </rPr>
      <t>2) Hsp27</t>
    </r>
    <r>
      <rPr>
        <sz val="11"/>
        <color theme="1"/>
        <rFont val="Calibri"/>
        <family val="2"/>
        <scheme val="minor"/>
      </rPr>
      <t xml:space="preserve"> inhibits </t>
    </r>
    <r>
      <rPr>
        <b/>
        <sz val="11"/>
        <color theme="1"/>
        <rFont val="Calibri"/>
        <family val="2"/>
        <scheme val="minor"/>
      </rPr>
      <t>cisplatin</t>
    </r>
    <r>
      <rPr>
        <sz val="11"/>
        <color theme="1"/>
        <rFont val="Calibri"/>
        <family val="2"/>
        <scheme val="minor"/>
      </rPr>
      <t xml:space="preserve">-induced </t>
    </r>
    <r>
      <rPr>
        <b/>
        <sz val="11"/>
        <color theme="1"/>
        <rFont val="Calibri"/>
        <family val="2"/>
        <scheme val="minor"/>
      </rPr>
      <t>HCC</t>
    </r>
    <r>
      <rPr>
        <sz val="11"/>
        <color theme="1"/>
        <rFont val="Calibri"/>
        <family val="2"/>
        <scheme val="minor"/>
      </rPr>
      <t xml:space="preserve"> cell death through autophagy activation. </t>
    </r>
    <r>
      <rPr>
        <b/>
        <sz val="11"/>
        <color theme="1"/>
        <rFont val="Calibri"/>
        <family val="2"/>
        <scheme val="minor"/>
      </rPr>
      <t>3)</t>
    </r>
    <r>
      <rPr>
        <sz val="11"/>
        <color theme="1"/>
        <rFont val="Calibri"/>
        <family val="2"/>
        <scheme val="minor"/>
      </rPr>
      <t xml:space="preserve"> </t>
    </r>
    <r>
      <rPr>
        <b/>
        <sz val="11"/>
        <color theme="1"/>
        <rFont val="Calibri"/>
        <family val="2"/>
        <scheme val="minor"/>
      </rPr>
      <t>HSPB1</t>
    </r>
    <r>
      <rPr>
        <sz val="11"/>
        <color theme="1"/>
        <rFont val="Calibri"/>
        <family val="2"/>
        <scheme val="minor"/>
      </rPr>
      <t xml:space="preserve"> mRNA low expression was correlated to better overall survival (OS) for all NSCLC patients and better OS in lung adenocarcinoma (LUAD) patients, in different chemotherapy status. </t>
    </r>
    <r>
      <rPr>
        <b/>
        <sz val="11"/>
        <color theme="1"/>
        <rFont val="Calibri"/>
        <family val="2"/>
        <scheme val="minor"/>
      </rPr>
      <t>4)</t>
    </r>
    <r>
      <rPr>
        <sz val="11"/>
        <color theme="1"/>
        <rFont val="Calibri"/>
        <family val="2"/>
        <scheme val="minor"/>
      </rPr>
      <t xml:space="preserve"> genetic polymorphisms and the prognosis in </t>
    </r>
    <r>
      <rPr>
        <b/>
        <sz val="11"/>
        <color theme="1"/>
        <rFont val="Calibri"/>
        <family val="2"/>
        <scheme val="minor"/>
      </rPr>
      <t>lung</t>
    </r>
    <r>
      <rPr>
        <sz val="11"/>
        <color theme="1"/>
        <rFont val="Calibri"/>
        <family val="2"/>
        <scheme val="minor"/>
      </rPr>
      <t xml:space="preserve"> cancer patients treated with</t>
    </r>
    <r>
      <rPr>
        <b/>
        <sz val="11"/>
        <color theme="1"/>
        <rFont val="Calibri"/>
        <family val="2"/>
        <scheme val="minor"/>
      </rPr>
      <t xml:space="preserve"> platinum-based chemotherapy: </t>
    </r>
    <r>
      <rPr>
        <sz val="11"/>
        <color theme="1"/>
        <rFont val="Calibri"/>
        <family val="2"/>
        <scheme val="minor"/>
      </rPr>
      <t xml:space="preserve">the polymorphisms of </t>
    </r>
    <r>
      <rPr>
        <b/>
        <sz val="11"/>
        <color theme="1"/>
        <rFont val="Calibri"/>
        <family val="2"/>
        <scheme val="minor"/>
      </rPr>
      <t>HSPB1</t>
    </r>
    <r>
      <rPr>
        <sz val="11"/>
        <color theme="1"/>
        <rFont val="Calibri"/>
        <family val="2"/>
        <scheme val="minor"/>
      </rPr>
      <t xml:space="preserve"> rs2070804 and </t>
    </r>
    <r>
      <rPr>
        <b/>
        <sz val="11"/>
        <color theme="1"/>
        <rFont val="Calibri"/>
        <family val="2"/>
        <scheme val="minor"/>
      </rPr>
      <t>HSPA4</t>
    </r>
    <r>
      <rPr>
        <sz val="11"/>
        <color theme="1"/>
        <rFont val="Calibri"/>
        <family val="2"/>
        <scheme val="minor"/>
      </rPr>
      <t xml:space="preserve"> rs3088225 were significantly associated with </t>
    </r>
    <r>
      <rPr>
        <b/>
        <sz val="11"/>
        <color theme="1"/>
        <rFont val="Calibri"/>
        <family val="2"/>
        <scheme val="minor"/>
      </rPr>
      <t>lung</t>
    </r>
    <r>
      <rPr>
        <sz val="11"/>
        <color theme="1"/>
        <rFont val="Calibri"/>
        <family val="2"/>
        <scheme val="minor"/>
      </rPr>
      <t xml:space="preserve"> cancer survival. </t>
    </r>
    <r>
      <rPr>
        <b/>
        <sz val="11"/>
        <color theme="1"/>
        <rFont val="Calibri"/>
        <family val="2"/>
        <scheme val="minor"/>
      </rPr>
      <t>5)</t>
    </r>
    <r>
      <rPr>
        <sz val="11"/>
        <color theme="1"/>
        <rFont val="Calibri"/>
        <family val="2"/>
        <scheme val="minor"/>
      </rPr>
      <t xml:space="preserve"> </t>
    </r>
    <r>
      <rPr>
        <b/>
        <sz val="11"/>
        <color theme="1"/>
        <rFont val="Calibri"/>
        <family val="2"/>
        <scheme val="minor"/>
      </rPr>
      <t>Hsp27</t>
    </r>
    <r>
      <rPr>
        <sz val="11"/>
        <color theme="1"/>
        <rFont val="Calibri"/>
        <family val="2"/>
        <scheme val="minor"/>
      </rPr>
      <t xml:space="preserve">-negative (p = 0.0057) and Hsp70-negative patients (p = 0.010) were all good responders. </t>
    </r>
    <r>
      <rPr>
        <b/>
        <sz val="11"/>
        <color theme="1"/>
        <rFont val="Calibri"/>
        <family val="2"/>
        <scheme val="minor"/>
      </rPr>
      <t>Hsp27</t>
    </r>
    <r>
      <rPr>
        <sz val="11"/>
        <color theme="1"/>
        <rFont val="Calibri"/>
        <family val="2"/>
        <scheme val="minor"/>
      </rPr>
      <t xml:space="preserve"> was the most reliable predictor of the effect of chemo-radiotherapy and radiotherapy among the four potential markers. </t>
    </r>
    <r>
      <rPr>
        <b/>
        <sz val="11"/>
        <color theme="1"/>
        <rFont val="Calibri"/>
        <family val="2"/>
        <scheme val="minor"/>
      </rPr>
      <t>6)</t>
    </r>
    <r>
      <rPr>
        <sz val="11"/>
        <color theme="1"/>
        <rFont val="Calibri"/>
        <family val="2"/>
        <scheme val="minor"/>
      </rPr>
      <t xml:space="preserve"> Compared with control cells, generate drug-resistant spheres (DRSPs) displayed increased CSC and anti-apoptotic properties, greater resistance to </t>
    </r>
    <r>
      <rPr>
        <b/>
        <sz val="11"/>
        <color theme="1"/>
        <rFont val="Calibri"/>
        <family val="2"/>
        <scheme val="minor"/>
      </rPr>
      <t>cisplatin</t>
    </r>
    <r>
      <rPr>
        <sz val="11"/>
        <color theme="1"/>
        <rFont val="Calibri"/>
        <family val="2"/>
        <scheme val="minor"/>
      </rPr>
      <t xml:space="preserve">, and overexpression of </t>
    </r>
    <r>
      <rPr>
        <b/>
        <sz val="11"/>
        <color theme="1"/>
        <rFont val="Calibri"/>
        <family val="2"/>
        <scheme val="minor"/>
      </rPr>
      <t>p-Hsp27</t>
    </r>
    <r>
      <rPr>
        <sz val="11"/>
        <color theme="1"/>
        <rFont val="Calibri"/>
        <family val="2"/>
        <scheme val="minor"/>
      </rPr>
      <t xml:space="preserve"> via activation of </t>
    </r>
    <r>
      <rPr>
        <b/>
        <sz val="11"/>
        <color theme="1"/>
        <rFont val="Calibri"/>
        <family val="2"/>
        <scheme val="minor"/>
      </rPr>
      <t>p38 MAPK</t>
    </r>
    <r>
      <rPr>
        <sz val="11"/>
        <color theme="1"/>
        <rFont val="Calibri"/>
        <family val="2"/>
        <scheme val="minor"/>
      </rPr>
      <t xml:space="preserve"> signaling. </t>
    </r>
    <r>
      <rPr>
        <b/>
        <sz val="11"/>
        <color theme="1"/>
        <rFont val="Calibri"/>
        <family val="2"/>
        <scheme val="minor"/>
      </rPr>
      <t>7)</t>
    </r>
    <r>
      <rPr>
        <sz val="11"/>
        <color theme="1"/>
        <rFont val="Calibri"/>
        <family val="2"/>
        <scheme val="minor"/>
      </rPr>
      <t xml:space="preserve"> Knockdown of </t>
    </r>
    <r>
      <rPr>
        <b/>
        <sz val="11"/>
        <color theme="1"/>
        <rFont val="Calibri"/>
        <family val="2"/>
        <scheme val="minor"/>
      </rPr>
      <t>Hsp27</t>
    </r>
    <r>
      <rPr>
        <sz val="11"/>
        <color theme="1"/>
        <rFont val="Calibri"/>
        <family val="2"/>
        <scheme val="minor"/>
      </rPr>
      <t xml:space="preserve"> or </t>
    </r>
    <r>
      <rPr>
        <b/>
        <sz val="11"/>
        <color theme="1"/>
        <rFont val="Calibri"/>
        <family val="2"/>
        <scheme val="minor"/>
      </rPr>
      <t>p38</t>
    </r>
    <r>
      <rPr>
        <sz val="11"/>
        <color theme="1"/>
        <rFont val="Calibri"/>
        <family val="2"/>
        <scheme val="minor"/>
      </rPr>
      <t xml:space="preserve"> decreased </t>
    </r>
    <r>
      <rPr>
        <b/>
        <sz val="11"/>
        <color theme="1"/>
        <rFont val="Calibri"/>
        <family val="2"/>
        <scheme val="minor"/>
      </rPr>
      <t>cisplatin</t>
    </r>
    <r>
      <rPr>
        <sz val="11"/>
        <color theme="1"/>
        <rFont val="Calibri"/>
        <family val="2"/>
        <scheme val="minor"/>
      </rPr>
      <t xml:space="preserve"> resistance and increased apoptosis in DRSPs. </t>
    </r>
    <r>
      <rPr>
        <b/>
        <sz val="11"/>
        <color theme="1"/>
        <rFont val="Calibri"/>
        <family val="2"/>
        <scheme val="minor"/>
      </rPr>
      <t>8)</t>
    </r>
    <r>
      <rPr>
        <sz val="11"/>
        <color theme="1"/>
        <rFont val="Calibri"/>
        <family val="2"/>
        <scheme val="minor"/>
      </rPr>
      <t xml:space="preserve"> Overexpression of p-Hsp27 was usually detected in advanced-stage patients with lung cancer and indicated short survival.</t>
    </r>
  </si>
  <si>
    <r>
      <rPr>
        <b/>
        <sz val="11"/>
        <color theme="1"/>
        <rFont val="Calibri"/>
        <family val="2"/>
        <scheme val="minor"/>
      </rPr>
      <t>1)</t>
    </r>
    <r>
      <rPr>
        <sz val="11"/>
        <color theme="1"/>
        <rFont val="Calibri"/>
        <family val="2"/>
        <scheme val="minor"/>
      </rPr>
      <t xml:space="preserve"> A correlation between the intrinsic level of </t>
    </r>
    <r>
      <rPr>
        <b/>
        <sz val="11"/>
        <color theme="1"/>
        <rFont val="Calibri"/>
        <family val="2"/>
        <scheme val="minor"/>
      </rPr>
      <t>HSP60</t>
    </r>
    <r>
      <rPr>
        <sz val="11"/>
        <color theme="1"/>
        <rFont val="Calibri"/>
        <family val="2"/>
        <scheme val="minor"/>
      </rPr>
      <t xml:space="preserve"> expression and </t>
    </r>
    <r>
      <rPr>
        <b/>
        <sz val="11"/>
        <color theme="1"/>
        <rFont val="Calibri"/>
        <family val="2"/>
        <scheme val="minor"/>
      </rPr>
      <t xml:space="preserve">cDDP </t>
    </r>
    <r>
      <rPr>
        <sz val="11"/>
        <color theme="1"/>
        <rFont val="Calibri"/>
        <family val="2"/>
        <scheme val="minor"/>
      </rPr>
      <t xml:space="preserve">resistance: using linear regression analysis both </t>
    </r>
    <r>
      <rPr>
        <b/>
        <sz val="11"/>
        <color theme="1"/>
        <rFont val="Calibri"/>
        <family val="2"/>
        <scheme val="minor"/>
      </rPr>
      <t>Head and Neck</t>
    </r>
    <r>
      <rPr>
        <sz val="11"/>
        <color theme="1"/>
        <rFont val="Calibri"/>
        <family val="2"/>
        <scheme val="minor"/>
      </rPr>
      <t xml:space="preserve"> UMSCC5 and UMSCC10b cell lines demonstrated a high degree of correlation with coefficients of 0.91 and 0.90, respectively. </t>
    </r>
    <r>
      <rPr>
        <b/>
        <sz val="11"/>
        <color theme="1"/>
        <rFont val="Calibri"/>
        <family val="2"/>
        <scheme val="minor"/>
      </rPr>
      <t>2)</t>
    </r>
    <r>
      <rPr>
        <sz val="11"/>
        <color theme="1"/>
        <rFont val="Calibri"/>
        <family val="2"/>
        <scheme val="minor"/>
      </rPr>
      <t xml:space="preserve"> The expression of </t>
    </r>
    <r>
      <rPr>
        <b/>
        <sz val="11"/>
        <color theme="1"/>
        <rFont val="Calibri"/>
        <family val="2"/>
        <scheme val="minor"/>
      </rPr>
      <t>HSP60</t>
    </r>
    <r>
      <rPr>
        <sz val="11"/>
        <color theme="1"/>
        <rFont val="Calibri"/>
        <family val="2"/>
        <scheme val="minor"/>
      </rPr>
      <t xml:space="preserve"> in human </t>
    </r>
    <r>
      <rPr>
        <b/>
        <sz val="11"/>
        <color theme="1"/>
        <rFont val="Calibri"/>
        <family val="2"/>
        <scheme val="minor"/>
      </rPr>
      <t>ovarian</t>
    </r>
    <r>
      <rPr>
        <sz val="11"/>
        <color theme="1"/>
        <rFont val="Calibri"/>
        <family val="2"/>
        <scheme val="minor"/>
      </rPr>
      <t xml:space="preserve"> carcinoma 2008 cells is induced by cisplatin treatment. </t>
    </r>
    <r>
      <rPr>
        <b/>
        <sz val="11"/>
        <color theme="1"/>
        <rFont val="Calibri"/>
        <family val="2"/>
        <scheme val="minor"/>
      </rPr>
      <t xml:space="preserve">3) </t>
    </r>
    <r>
      <rPr>
        <sz val="11"/>
        <color theme="1"/>
        <rFont val="Calibri"/>
        <family val="2"/>
        <scheme val="minor"/>
      </rPr>
      <t xml:space="preserve">2008/C13*5.25 DDP-resistant cells constitutively over-expressed hsp60 mRNA and protein. </t>
    </r>
    <r>
      <rPr>
        <b/>
        <sz val="11"/>
        <color theme="1"/>
        <rFont val="Calibri"/>
        <family val="2"/>
        <scheme val="minor"/>
      </rPr>
      <t>4)</t>
    </r>
    <r>
      <rPr>
        <sz val="11"/>
        <color theme="1"/>
        <rFont val="Calibri"/>
        <family val="2"/>
        <scheme val="minor"/>
      </rPr>
      <t xml:space="preserve"> Increased </t>
    </r>
    <r>
      <rPr>
        <b/>
        <sz val="11"/>
        <color theme="1"/>
        <rFont val="Calibri"/>
        <family val="2"/>
        <scheme val="minor"/>
      </rPr>
      <t>HSP60</t>
    </r>
    <r>
      <rPr>
        <sz val="11"/>
        <color theme="1"/>
        <rFont val="Calibri"/>
        <family val="2"/>
        <scheme val="minor"/>
      </rPr>
      <t xml:space="preserve"> mRNA expression is associated with cisplatin resistance in some in vitro models and with shorter survival among ovarian cancer patients. </t>
    </r>
    <r>
      <rPr>
        <b/>
        <sz val="11"/>
        <color theme="1"/>
        <rFont val="Calibri"/>
        <family val="2"/>
        <scheme val="minor"/>
      </rPr>
      <t xml:space="preserve">6) </t>
    </r>
    <r>
      <rPr>
        <sz val="11"/>
        <color theme="1"/>
        <rFont val="Calibri"/>
        <family val="2"/>
        <scheme val="minor"/>
      </rPr>
      <t xml:space="preserve">Combination of the </t>
    </r>
    <r>
      <rPr>
        <b/>
        <sz val="11"/>
        <color theme="1"/>
        <rFont val="Calibri"/>
        <family val="2"/>
        <scheme val="minor"/>
      </rPr>
      <t>HSP60</t>
    </r>
    <r>
      <rPr>
        <sz val="11"/>
        <color theme="1"/>
        <rFont val="Calibri"/>
        <family val="2"/>
        <scheme val="minor"/>
      </rPr>
      <t xml:space="preserve"> antibody with docetaxel or </t>
    </r>
    <r>
      <rPr>
        <b/>
        <sz val="11"/>
        <color theme="1"/>
        <rFont val="Calibri"/>
        <family val="2"/>
        <scheme val="minor"/>
      </rPr>
      <t>cisplatin</t>
    </r>
    <r>
      <rPr>
        <sz val="11"/>
        <color theme="1"/>
        <rFont val="Calibri"/>
        <family val="2"/>
        <scheme val="minor"/>
      </rPr>
      <t xml:space="preserve"> was significantly synergistic in both sensitive and chemoresistant </t>
    </r>
    <r>
      <rPr>
        <b/>
        <sz val="11"/>
        <color theme="1"/>
        <rFont val="Calibri"/>
        <family val="2"/>
        <scheme val="minor"/>
      </rPr>
      <t>EOC</t>
    </r>
    <r>
      <rPr>
        <sz val="11"/>
        <color theme="1"/>
        <rFont val="Calibri"/>
        <family val="2"/>
        <scheme val="minor"/>
      </rPr>
      <t xml:space="preserve"> cells. </t>
    </r>
  </si>
  <si>
    <r>
      <t xml:space="preserve">The change in HtrA2 expression in 31 ovarian cancers was investigated by immunohistochemical analysis: </t>
    </r>
    <r>
      <rPr>
        <b/>
        <sz val="11"/>
        <color theme="1"/>
        <rFont val="Calibri"/>
        <family val="2"/>
        <scheme val="minor"/>
      </rPr>
      <t xml:space="preserve">1) </t>
    </r>
    <r>
      <rPr>
        <sz val="11"/>
        <color theme="1"/>
        <rFont val="Calibri"/>
        <family val="2"/>
        <scheme val="minor"/>
      </rPr>
      <t xml:space="preserve">repeated </t>
    </r>
    <r>
      <rPr>
        <b/>
        <sz val="11"/>
        <color theme="1"/>
        <rFont val="Calibri"/>
        <family val="2"/>
        <scheme val="minor"/>
      </rPr>
      <t>cisplatin</t>
    </r>
    <r>
      <rPr>
        <sz val="11"/>
        <color theme="1"/>
        <rFont val="Calibri"/>
        <family val="2"/>
        <scheme val="minor"/>
      </rPr>
      <t xml:space="preserve"> treatment induced downregulation of HtrA2 protein expression, before and after cisplatin-based chemotherapy in SAC. </t>
    </r>
    <r>
      <rPr>
        <b/>
        <sz val="11"/>
        <color theme="1"/>
        <rFont val="Calibri"/>
        <family val="2"/>
        <scheme val="minor"/>
      </rPr>
      <t>2)</t>
    </r>
    <r>
      <rPr>
        <sz val="11"/>
        <color theme="1"/>
        <rFont val="Calibri"/>
        <family val="2"/>
        <scheme val="minor"/>
      </rPr>
      <t xml:space="preserve"> Progression-free survival and overall survival of SAC with low expression of HtrA2 were worse than those with high expression. </t>
    </r>
    <r>
      <rPr>
        <b/>
        <sz val="11"/>
        <color theme="1"/>
        <rFont val="Calibri"/>
        <family val="2"/>
        <scheme val="minor"/>
      </rPr>
      <t xml:space="preserve">3) </t>
    </r>
    <r>
      <rPr>
        <sz val="11"/>
        <color theme="1"/>
        <rFont val="Calibri"/>
        <family val="2"/>
        <scheme val="minor"/>
      </rPr>
      <t xml:space="preserve">HtrA2 protein expression was lower in cisplatin-resistant KFr13 ovarian cancer cells than in the sensitivie KF28 cells. </t>
    </r>
    <r>
      <rPr>
        <b/>
        <sz val="11"/>
        <color theme="1"/>
        <rFont val="Calibri"/>
        <family val="2"/>
        <scheme val="minor"/>
      </rPr>
      <t>4)</t>
    </r>
    <r>
      <rPr>
        <sz val="11"/>
        <color theme="1"/>
        <rFont val="Calibri"/>
        <family val="2"/>
        <scheme val="minor"/>
      </rPr>
      <t xml:space="preserve"> downregulation of HtrA2 with siRNA in KF28 had not only cisplatin resistance, but also more invasive capacity.</t>
    </r>
    <r>
      <rPr>
        <b/>
        <sz val="11"/>
        <color theme="1"/>
        <rFont val="Calibri"/>
        <family val="2"/>
        <scheme val="minor"/>
      </rPr>
      <t xml:space="preserve"> 5) Repeated treatment with cisplatin downregulated the HtrA2 protein, which led to cisplatin resistance and increased invasive capacity</t>
    </r>
    <r>
      <rPr>
        <sz val="11"/>
        <color theme="1"/>
        <rFont val="Calibri"/>
        <family val="2"/>
        <scheme val="minor"/>
      </rPr>
      <t xml:space="preserve">. </t>
    </r>
  </si>
  <si>
    <r>
      <rPr>
        <b/>
        <sz val="11"/>
        <color theme="1"/>
        <rFont val="Calibri"/>
        <family val="2"/>
        <scheme val="minor"/>
      </rPr>
      <t xml:space="preserve">1) </t>
    </r>
    <r>
      <rPr>
        <sz val="11"/>
        <color theme="1"/>
        <rFont val="Calibri"/>
        <family val="2"/>
        <scheme val="minor"/>
      </rPr>
      <t xml:space="preserve">Induction of </t>
    </r>
    <r>
      <rPr>
        <b/>
        <sz val="11"/>
        <color theme="1"/>
        <rFont val="Calibri"/>
        <family val="2"/>
        <scheme val="minor"/>
      </rPr>
      <t xml:space="preserve">ICAM-1 </t>
    </r>
    <r>
      <rPr>
        <sz val="11"/>
        <color theme="1"/>
        <rFont val="Calibri"/>
        <family val="2"/>
        <scheme val="minor"/>
      </rPr>
      <t xml:space="preserve">expression (ranging from 3- to 228-fold on mRNA level and 1.7- to 108-fold on protein level) resulted in indications of decreased </t>
    </r>
    <r>
      <rPr>
        <b/>
        <sz val="11"/>
        <color theme="1"/>
        <rFont val="Calibri"/>
        <family val="2"/>
        <scheme val="minor"/>
      </rPr>
      <t>ovarian</t>
    </r>
    <r>
      <rPr>
        <sz val="11"/>
        <color theme="1"/>
        <rFont val="Calibri"/>
        <family val="2"/>
        <scheme val="minor"/>
      </rPr>
      <t xml:space="preserve"> cancer cell growth and reduced </t>
    </r>
    <r>
      <rPr>
        <b/>
        <sz val="11"/>
        <color theme="1"/>
        <rFont val="Calibri"/>
        <family val="2"/>
        <scheme val="minor"/>
      </rPr>
      <t>cisplatin</t>
    </r>
    <r>
      <rPr>
        <sz val="11"/>
        <color theme="1"/>
        <rFont val="Calibri"/>
        <family val="2"/>
        <scheme val="minor"/>
      </rPr>
      <t xml:space="preserve"> sensitivity. </t>
    </r>
    <r>
      <rPr>
        <b/>
        <sz val="11"/>
        <color theme="1"/>
        <rFont val="Calibri"/>
        <family val="2"/>
        <scheme val="minor"/>
      </rPr>
      <t>2) Cisplatin</t>
    </r>
    <r>
      <rPr>
        <sz val="11"/>
        <color theme="1"/>
        <rFont val="Calibri"/>
        <family val="2"/>
        <scheme val="minor"/>
      </rPr>
      <t xml:space="preserve"> up-regulates ICAM-1 expression in endothelial cell via a NF-kappaB dependent pathway.</t>
    </r>
  </si>
  <si>
    <r>
      <rPr>
        <b/>
        <sz val="11"/>
        <color theme="1"/>
        <rFont val="Calibri"/>
        <family val="2"/>
        <scheme val="minor"/>
      </rPr>
      <t>1) ID1</t>
    </r>
    <r>
      <rPr>
        <sz val="11"/>
        <color theme="1"/>
        <rFont val="Calibri"/>
        <family val="2"/>
        <scheme val="minor"/>
      </rPr>
      <t xml:space="preserve"> induces high </t>
    </r>
    <r>
      <rPr>
        <b/>
        <sz val="11"/>
        <color theme="1"/>
        <rFont val="Calibri"/>
        <family val="2"/>
        <scheme val="minor"/>
      </rPr>
      <t>autophagy</t>
    </r>
    <r>
      <rPr>
        <sz val="11"/>
        <color theme="1"/>
        <rFont val="Calibri"/>
        <family val="2"/>
        <scheme val="minor"/>
      </rPr>
      <t xml:space="preserve"> and confers cancer cell chemoresistance. </t>
    </r>
    <r>
      <rPr>
        <b/>
        <sz val="11"/>
        <color theme="1"/>
        <rFont val="Calibri"/>
        <family val="2"/>
        <scheme val="minor"/>
      </rPr>
      <t>2) ID1</t>
    </r>
    <r>
      <rPr>
        <sz val="11"/>
        <color theme="1"/>
        <rFont val="Calibri"/>
        <family val="2"/>
        <scheme val="minor"/>
      </rPr>
      <t xml:space="preserve"> first activates the </t>
    </r>
    <r>
      <rPr>
        <b/>
        <sz val="11"/>
        <color theme="1"/>
        <rFont val="Calibri"/>
        <family val="2"/>
        <scheme val="minor"/>
      </rPr>
      <t>NF-κB</t>
    </r>
    <r>
      <rPr>
        <sz val="11"/>
        <color theme="1"/>
        <rFont val="Calibri"/>
        <family val="2"/>
        <scheme val="minor"/>
      </rPr>
      <t xml:space="preserve"> signaling through facilitating the nuclear translocation of NF-κB p65, which strengthens the expression and secretion of </t>
    </r>
    <r>
      <rPr>
        <b/>
        <sz val="11"/>
        <color theme="1"/>
        <rFont val="Calibri"/>
        <family val="2"/>
        <scheme val="minor"/>
      </rPr>
      <t>IL-6</t>
    </r>
    <r>
      <rPr>
        <sz val="11"/>
        <color theme="1"/>
        <rFont val="Calibri"/>
        <family val="2"/>
        <scheme val="minor"/>
      </rPr>
      <t xml:space="preserve"> from cancer cells to subsequently activate </t>
    </r>
    <r>
      <rPr>
        <b/>
        <sz val="11"/>
        <color theme="1"/>
        <rFont val="Calibri"/>
        <family val="2"/>
        <scheme val="minor"/>
      </rPr>
      <t>STAT3</t>
    </r>
    <r>
      <rPr>
        <sz val="11"/>
        <color theme="1"/>
        <rFont val="Calibri"/>
        <family val="2"/>
        <scheme val="minor"/>
      </rPr>
      <t xml:space="preserve"> through the protein phosphorylation at Y705. </t>
    </r>
    <r>
      <rPr>
        <b/>
        <sz val="11"/>
        <color theme="1"/>
        <rFont val="Calibri"/>
        <family val="2"/>
        <scheme val="minor"/>
      </rPr>
      <t xml:space="preserve"> 3) STAT3</t>
    </r>
    <r>
      <rPr>
        <sz val="11"/>
        <color theme="1"/>
        <rFont val="Calibri"/>
        <family val="2"/>
        <scheme val="minor"/>
      </rPr>
      <t xml:space="preserve"> functions to promote the transcription of the activating transcription factor 6 (</t>
    </r>
    <r>
      <rPr>
        <b/>
        <sz val="11"/>
        <color theme="1"/>
        <rFont val="Calibri"/>
        <family val="2"/>
        <scheme val="minor"/>
      </rPr>
      <t>ATF6</t>
    </r>
    <r>
      <rPr>
        <sz val="11"/>
        <color theme="1"/>
        <rFont val="Calibri"/>
        <family val="2"/>
        <scheme val="minor"/>
      </rPr>
      <t xml:space="preserve">), which induces endoplasmic reticulum stress to promote cellular </t>
    </r>
    <r>
      <rPr>
        <b/>
        <sz val="11"/>
        <color theme="1"/>
        <rFont val="Calibri"/>
        <family val="2"/>
        <scheme val="minor"/>
      </rPr>
      <t>autophagy</t>
    </r>
    <r>
      <rPr>
        <sz val="11"/>
        <color theme="1"/>
        <rFont val="Calibri"/>
        <family val="2"/>
        <scheme val="minor"/>
      </rPr>
      <t xml:space="preserve">, granting cancer cell resistance to both </t>
    </r>
    <r>
      <rPr>
        <b/>
        <sz val="11"/>
        <color theme="1"/>
        <rFont val="Calibri"/>
        <family val="2"/>
        <scheme val="minor"/>
      </rPr>
      <t>cisplatin</t>
    </r>
    <r>
      <rPr>
        <sz val="11"/>
        <color theme="1"/>
        <rFont val="Calibri"/>
        <family val="2"/>
        <scheme val="minor"/>
      </rPr>
      <t xml:space="preserve"> and paclitaxel treatment. </t>
    </r>
    <r>
      <rPr>
        <b/>
        <sz val="11"/>
        <color theme="1"/>
        <rFont val="Calibri"/>
        <family val="2"/>
        <scheme val="minor"/>
      </rPr>
      <t>4)</t>
    </r>
    <r>
      <rPr>
        <sz val="11"/>
        <color theme="1"/>
        <rFont val="Calibri"/>
        <family val="2"/>
        <scheme val="minor"/>
      </rPr>
      <t xml:space="preserve"> a significant correlation between the expression of </t>
    </r>
    <r>
      <rPr>
        <b/>
        <sz val="11"/>
        <color theme="1"/>
        <rFont val="Calibri"/>
        <family val="2"/>
        <scheme val="minor"/>
      </rPr>
      <t>ID1</t>
    </r>
    <r>
      <rPr>
        <sz val="11"/>
        <color theme="1"/>
        <rFont val="Calibri"/>
        <family val="2"/>
        <scheme val="minor"/>
      </rPr>
      <t xml:space="preserve"> and </t>
    </r>
    <r>
      <rPr>
        <b/>
        <sz val="11"/>
        <color theme="1"/>
        <rFont val="Calibri"/>
        <family val="2"/>
        <scheme val="minor"/>
      </rPr>
      <t>ATF6</t>
    </r>
    <r>
      <rPr>
        <sz val="11"/>
        <color theme="1"/>
        <rFont val="Calibri"/>
        <family val="2"/>
        <scheme val="minor"/>
      </rPr>
      <t xml:space="preserve"> in 1104 high grade serous ovarian cancer tissues, and that patients with the high expression of ID1 or ATF6 were resistant to platinum treatment and had the poor overall survival and progression-free survival. </t>
    </r>
  </si>
  <si>
    <r>
      <rPr>
        <b/>
        <sz val="11"/>
        <color theme="1"/>
        <rFont val="Calibri"/>
        <family val="2"/>
        <scheme val="minor"/>
      </rPr>
      <t>1) IFNg</t>
    </r>
    <r>
      <rPr>
        <sz val="11"/>
        <color theme="1"/>
        <rFont val="Calibri"/>
        <family val="2"/>
        <scheme val="minor"/>
      </rPr>
      <t xml:space="preserve"> administration increased the therapeutic efficacy of </t>
    </r>
    <r>
      <rPr>
        <b/>
        <sz val="11"/>
        <color theme="1"/>
        <rFont val="Calibri"/>
        <family val="2"/>
        <scheme val="minor"/>
      </rPr>
      <t>cisplatin</t>
    </r>
    <r>
      <rPr>
        <sz val="11"/>
        <color theme="1"/>
        <rFont val="Calibri"/>
        <family val="2"/>
        <scheme val="minor"/>
      </rPr>
      <t xml:space="preserve"> treatment as shown by reduced </t>
    </r>
    <r>
      <rPr>
        <b/>
        <sz val="11"/>
        <color theme="1"/>
        <rFont val="Calibri"/>
        <family val="2"/>
        <scheme val="minor"/>
      </rPr>
      <t>ovarian</t>
    </r>
    <r>
      <rPr>
        <sz val="11"/>
        <color theme="1"/>
        <rFont val="Calibri"/>
        <family val="2"/>
        <scheme val="minor"/>
      </rPr>
      <t xml:space="preserve"> tumor volume. </t>
    </r>
    <r>
      <rPr>
        <b/>
        <sz val="11"/>
        <color theme="1"/>
        <rFont val="Calibri"/>
        <family val="2"/>
        <scheme val="minor"/>
      </rPr>
      <t xml:space="preserve">2) </t>
    </r>
    <r>
      <rPr>
        <sz val="11"/>
        <color theme="1"/>
        <rFont val="Calibri"/>
        <family val="2"/>
        <scheme val="minor"/>
      </rPr>
      <t xml:space="preserve">Human </t>
    </r>
    <r>
      <rPr>
        <b/>
        <sz val="11"/>
        <color theme="1"/>
        <rFont val="Calibri"/>
        <family val="2"/>
        <scheme val="minor"/>
      </rPr>
      <t>ovarian</t>
    </r>
    <r>
      <rPr>
        <sz val="11"/>
        <color theme="1"/>
        <rFont val="Calibri"/>
        <family val="2"/>
        <scheme val="minor"/>
      </rPr>
      <t xml:space="preserve"> carcinoma cells (2008 and its cisplatin-resistant sub-line 2008/C13*) were sensitized to </t>
    </r>
    <r>
      <rPr>
        <b/>
        <sz val="11"/>
        <color theme="1"/>
        <rFont val="Calibri"/>
        <family val="2"/>
        <scheme val="minor"/>
      </rPr>
      <t>cisplatin</t>
    </r>
    <r>
      <rPr>
        <sz val="11"/>
        <color theme="1"/>
        <rFont val="Calibri"/>
        <family val="2"/>
        <scheme val="minor"/>
      </rPr>
      <t xml:space="preserve"> by treatment with human recombinant IFN gamma; produced no significant change in the uptake of CDDP; but a time-dependent decrease of cellular glutathione and total glutathione-S-transferase activity, principally the pi isoform. </t>
    </r>
    <r>
      <rPr>
        <b/>
        <sz val="11"/>
        <color theme="1"/>
        <rFont val="Calibri"/>
        <family val="2"/>
        <scheme val="minor"/>
      </rPr>
      <t>3)</t>
    </r>
    <r>
      <rPr>
        <sz val="11"/>
        <color theme="1"/>
        <rFont val="Calibri"/>
        <family val="2"/>
        <scheme val="minor"/>
      </rPr>
      <t xml:space="preserve"> the inclusion of IFN-gamm in the first-line </t>
    </r>
    <r>
      <rPr>
        <b/>
        <sz val="11"/>
        <color theme="1"/>
        <rFont val="Calibri"/>
        <family val="2"/>
        <scheme val="minor"/>
      </rPr>
      <t>platinum</t>
    </r>
    <r>
      <rPr>
        <sz val="11"/>
        <color theme="1"/>
        <rFont val="Calibri"/>
        <family val="2"/>
        <scheme val="minor"/>
      </rPr>
      <t xml:space="preserve">-based chemotherapy of ovarian cancer yielded a benefit in prolonging progression-free survival. </t>
    </r>
    <r>
      <rPr>
        <b/>
        <sz val="11"/>
        <color theme="1"/>
        <rFont val="Calibri"/>
        <family val="2"/>
        <scheme val="minor"/>
      </rPr>
      <t xml:space="preserve">4) </t>
    </r>
    <r>
      <rPr>
        <sz val="11"/>
        <color theme="1"/>
        <rFont val="Calibri"/>
        <family val="2"/>
        <scheme val="minor"/>
      </rPr>
      <t xml:space="preserve">The analysis of residual tumour cells in chemo-responder PDX revealed a strong overexpression of IFN-inducible genes, induced early after </t>
    </r>
    <r>
      <rPr>
        <b/>
        <sz val="11"/>
        <color theme="1"/>
        <rFont val="Calibri"/>
        <family val="2"/>
        <scheme val="minor"/>
      </rPr>
      <t>Neoadjuvant chemotherapy</t>
    </r>
    <r>
      <rPr>
        <sz val="11"/>
        <color theme="1"/>
        <rFont val="Calibri"/>
        <family val="2"/>
        <scheme val="minor"/>
      </rPr>
      <t xml:space="preserve"> (NAC) treatment and associated with increased STAT1 phosphorylation, DNA-damage and apoptosis. </t>
    </r>
    <r>
      <rPr>
        <b/>
        <sz val="11"/>
        <color theme="1"/>
        <rFont val="Calibri"/>
        <family val="2"/>
        <scheme val="minor"/>
      </rPr>
      <t xml:space="preserve">5) </t>
    </r>
    <r>
      <rPr>
        <sz val="11"/>
        <color theme="1"/>
        <rFont val="Calibri"/>
        <family val="2"/>
        <scheme val="minor"/>
      </rPr>
      <t xml:space="preserve">No increase in IFN-inducible gene expression was observed in chemo-resistant PDXs upon chemotherapy. </t>
    </r>
    <r>
      <rPr>
        <b/>
        <sz val="11"/>
        <color theme="1"/>
        <rFont val="Calibri"/>
        <family val="2"/>
        <scheme val="minor"/>
      </rPr>
      <t xml:space="preserve">6) </t>
    </r>
    <r>
      <rPr>
        <sz val="11"/>
        <color theme="1"/>
        <rFont val="Calibri"/>
        <family val="2"/>
        <scheme val="minor"/>
      </rPr>
      <t>Overexpression of IFN-related genes was associated with human IFN-γ secretion by tumour cells.</t>
    </r>
  </si>
  <si>
    <r>
      <rPr>
        <b/>
        <sz val="11"/>
        <color theme="1"/>
        <rFont val="Calibri"/>
        <family val="2"/>
        <scheme val="minor"/>
      </rPr>
      <t xml:space="preserve">1) </t>
    </r>
    <r>
      <rPr>
        <sz val="11"/>
        <color theme="1"/>
        <rFont val="Calibri"/>
        <family val="2"/>
        <scheme val="minor"/>
      </rPr>
      <t xml:space="preserve">A2780 </t>
    </r>
    <r>
      <rPr>
        <b/>
        <sz val="11"/>
        <color theme="1"/>
        <rFont val="Calibri"/>
        <family val="2"/>
        <scheme val="minor"/>
      </rPr>
      <t>ovarian</t>
    </r>
    <r>
      <rPr>
        <sz val="11"/>
        <color theme="1"/>
        <rFont val="Calibri"/>
        <family val="2"/>
        <scheme val="minor"/>
      </rPr>
      <t xml:space="preserve"> cancer cells were treated by weekly cycles of </t>
    </r>
    <r>
      <rPr>
        <b/>
        <sz val="11"/>
        <color theme="1"/>
        <rFont val="Calibri"/>
        <family val="2"/>
        <scheme val="minor"/>
      </rPr>
      <t>cisplatin</t>
    </r>
    <r>
      <rPr>
        <sz val="11"/>
        <color theme="1"/>
        <rFont val="Calibri"/>
        <family val="2"/>
        <scheme val="minor"/>
      </rPr>
      <t xml:space="preserve"> over a period of 6 months. </t>
    </r>
    <r>
      <rPr>
        <b/>
        <sz val="11"/>
        <color theme="1"/>
        <rFont val="Calibri"/>
        <family val="2"/>
        <scheme val="minor"/>
      </rPr>
      <t>2)</t>
    </r>
    <r>
      <rPr>
        <sz val="11"/>
        <color theme="1"/>
        <rFont val="Calibri"/>
        <family val="2"/>
        <scheme val="minor"/>
      </rPr>
      <t xml:space="preserve"> IGF-IR expression levels increased during treatment cycles and correlated with cisplatin resistance. </t>
    </r>
    <r>
      <rPr>
        <b/>
        <sz val="11"/>
        <color theme="1"/>
        <rFont val="Calibri"/>
        <family val="2"/>
        <scheme val="minor"/>
      </rPr>
      <t xml:space="preserve">3) </t>
    </r>
    <r>
      <rPr>
        <sz val="11"/>
        <color theme="1"/>
        <rFont val="Calibri"/>
        <family val="2"/>
        <scheme val="minor"/>
      </rPr>
      <t xml:space="preserve">Purified IGF-I induced cisplatin resistance in diverse ovarian cancer cell lines, </t>
    </r>
    <r>
      <rPr>
        <b/>
        <sz val="11"/>
        <color theme="1"/>
        <rFont val="Calibri"/>
        <family val="2"/>
        <scheme val="minor"/>
      </rPr>
      <t xml:space="preserve">4) </t>
    </r>
    <r>
      <rPr>
        <sz val="11"/>
        <color theme="1"/>
        <rFont val="Calibri"/>
        <family val="2"/>
        <scheme val="minor"/>
      </rPr>
      <t xml:space="preserve">small molecule inhibitors proved that IGF-IR and PI3K are essential for cisplatin resistance. </t>
    </r>
    <r>
      <rPr>
        <b/>
        <sz val="11"/>
        <color theme="1"/>
        <rFont val="Calibri"/>
        <family val="2"/>
        <scheme val="minor"/>
      </rPr>
      <t xml:space="preserve">5) </t>
    </r>
    <r>
      <rPr>
        <sz val="11"/>
        <color theme="1"/>
        <rFont val="Calibri"/>
        <family val="2"/>
        <scheme val="minor"/>
      </rPr>
      <t xml:space="preserve">Ganitumab potently inhibited baseline and IGF-I-, IGF-II-, and insulin-induced IGF-IR and IGF-IR/insulin hybrid receptor signaling in vitro and in vivo. </t>
    </r>
    <r>
      <rPr>
        <b/>
        <sz val="11"/>
        <color theme="1"/>
        <rFont val="Calibri"/>
        <family val="2"/>
        <scheme val="minor"/>
      </rPr>
      <t xml:space="preserve">6) </t>
    </r>
    <r>
      <rPr>
        <sz val="11"/>
        <color theme="1"/>
        <rFont val="Calibri"/>
        <family val="2"/>
        <scheme val="minor"/>
      </rPr>
      <t xml:space="preserve">Synergistic and additive drug interactions were seen for ganitumab and carboplatin or paclitaxel in vitro. </t>
    </r>
    <r>
      <rPr>
        <b/>
        <sz val="11"/>
        <color theme="1"/>
        <rFont val="Calibri"/>
        <family val="2"/>
        <scheme val="minor"/>
      </rPr>
      <t>7)</t>
    </r>
    <r>
      <rPr>
        <sz val="11"/>
        <color theme="1"/>
        <rFont val="Calibri"/>
        <family val="2"/>
        <scheme val="minor"/>
      </rPr>
      <t xml:space="preserve"> ganitumab significantly increased the efficacy of cisplatin in ovarian cancer xenograft models in vivo. </t>
    </r>
    <r>
      <rPr>
        <b/>
        <sz val="11"/>
        <color theme="1"/>
        <rFont val="Calibri"/>
        <family val="2"/>
        <scheme val="minor"/>
      </rPr>
      <t xml:space="preserve">8) </t>
    </r>
    <r>
      <rPr>
        <sz val="11"/>
        <color theme="1"/>
        <rFont val="Calibri"/>
        <family val="2"/>
        <scheme val="minor"/>
      </rPr>
      <t xml:space="preserve">As IGF1R. </t>
    </r>
  </si>
  <si>
    <r>
      <rPr>
        <b/>
        <sz val="11"/>
        <color theme="1"/>
        <rFont val="Calibri"/>
        <family val="2"/>
        <scheme val="minor"/>
      </rPr>
      <t xml:space="preserve">1) </t>
    </r>
    <r>
      <rPr>
        <sz val="11"/>
        <color theme="1"/>
        <rFont val="Calibri"/>
        <family val="2"/>
        <scheme val="minor"/>
      </rPr>
      <t>As IGF1.</t>
    </r>
    <r>
      <rPr>
        <b/>
        <sz val="11"/>
        <color theme="1"/>
        <rFont val="Calibri"/>
        <family val="2"/>
        <scheme val="minor"/>
      </rPr>
      <t xml:space="preserve"> 2)</t>
    </r>
    <r>
      <rPr>
        <sz val="11"/>
        <color theme="1"/>
        <rFont val="Calibri"/>
        <family val="2"/>
        <scheme val="minor"/>
      </rPr>
      <t xml:space="preserve"> IGF1 and IGF-1R staining was positive in 169 (80%) and 139 (66%) colorectal cancer cases, respectively. </t>
    </r>
    <r>
      <rPr>
        <b/>
        <sz val="11"/>
        <color theme="1"/>
        <rFont val="Calibri"/>
        <family val="2"/>
        <scheme val="minor"/>
      </rPr>
      <t>3)</t>
    </r>
    <r>
      <rPr>
        <sz val="11"/>
        <color theme="1"/>
        <rFont val="Calibri"/>
        <family val="2"/>
        <scheme val="minor"/>
      </rPr>
      <t xml:space="preserve"> Univariate and multivariate analyses showed significant correlation between expression of IGF-1 and tumor size (p=0.0024), and depth of invasion (p=0.0147). </t>
    </r>
    <r>
      <rPr>
        <b/>
        <sz val="11"/>
        <color theme="1"/>
        <rFont val="Calibri"/>
        <family val="2"/>
        <scheme val="minor"/>
      </rPr>
      <t>3)</t>
    </r>
    <r>
      <rPr>
        <sz val="11"/>
        <color theme="1"/>
        <rFont val="Calibri"/>
        <family val="2"/>
        <scheme val="minor"/>
      </rPr>
      <t xml:space="preserve"> IGF-1R was significantly correlated to tumor size and depth of invasion in univariate analysis, only tumor size (p=0.0658) had a strong association in multivariate analysis. .</t>
    </r>
  </si>
  <si>
    <r>
      <rPr>
        <b/>
        <sz val="11"/>
        <color theme="1"/>
        <rFont val="Calibri"/>
        <family val="2"/>
        <scheme val="minor"/>
      </rPr>
      <t xml:space="preserve">1) </t>
    </r>
    <r>
      <rPr>
        <sz val="11"/>
        <color theme="1"/>
        <rFont val="Calibri"/>
        <family val="2"/>
        <scheme val="minor"/>
      </rPr>
      <t xml:space="preserve">lnc-MCEI knockdown significantly improved the chemosensitivity of ESCC to </t>
    </r>
    <r>
      <rPr>
        <b/>
        <sz val="11"/>
        <color theme="1"/>
        <rFont val="Calibri"/>
        <family val="2"/>
        <scheme val="minor"/>
      </rPr>
      <t>cisplatin</t>
    </r>
    <r>
      <rPr>
        <sz val="11"/>
        <color theme="1"/>
        <rFont val="Calibri"/>
        <family val="2"/>
        <scheme val="minor"/>
      </rPr>
      <t xml:space="preserve"> (DDP) both in vivo and in vitro. </t>
    </r>
    <r>
      <rPr>
        <b/>
        <sz val="11"/>
        <color theme="1"/>
        <rFont val="Calibri"/>
        <family val="2"/>
        <scheme val="minor"/>
      </rPr>
      <t>2)</t>
    </r>
    <r>
      <rPr>
        <sz val="11"/>
        <color theme="1"/>
        <rFont val="Calibri"/>
        <family val="2"/>
        <scheme val="minor"/>
      </rPr>
      <t xml:space="preserve"> lnc-MCEI functioned as a competing endogenous RNA (ceRNA) via sponging miR-6759-5p and </t>
    </r>
    <r>
      <rPr>
        <b/>
        <sz val="11"/>
        <color theme="1"/>
        <rFont val="Calibri"/>
        <family val="2"/>
        <scheme val="minor"/>
      </rPr>
      <t xml:space="preserve">IGF2 </t>
    </r>
    <r>
      <rPr>
        <sz val="11"/>
        <color theme="1"/>
        <rFont val="Calibri"/>
        <family val="2"/>
        <scheme val="minor"/>
      </rPr>
      <t xml:space="preserve">was a target of miR-6759-5p. </t>
    </r>
    <r>
      <rPr>
        <b/>
        <sz val="11"/>
        <color theme="1"/>
        <rFont val="Calibri"/>
        <family val="2"/>
        <scheme val="minor"/>
      </rPr>
      <t>3) IGF2</t>
    </r>
    <r>
      <rPr>
        <sz val="11"/>
        <color theme="1"/>
        <rFont val="Calibri"/>
        <family val="2"/>
        <scheme val="minor"/>
      </rPr>
      <t xml:space="preserve"> suppressed chemosensitivity of</t>
    </r>
    <r>
      <rPr>
        <b/>
        <sz val="11"/>
        <color theme="1"/>
        <rFont val="Calibri"/>
        <family val="2"/>
        <scheme val="minor"/>
      </rPr>
      <t xml:space="preserve"> ESCC</t>
    </r>
    <r>
      <rPr>
        <sz val="11"/>
        <color theme="1"/>
        <rFont val="Calibri"/>
        <family val="2"/>
        <scheme val="minor"/>
      </rPr>
      <t xml:space="preserve"> cells via PI3K/AKT pathway. </t>
    </r>
    <r>
      <rPr>
        <b/>
        <sz val="11"/>
        <color theme="1"/>
        <rFont val="Calibri"/>
        <family val="2"/>
        <scheme val="minor"/>
      </rPr>
      <t>4)</t>
    </r>
    <r>
      <rPr>
        <sz val="11"/>
        <color theme="1"/>
        <rFont val="Calibri"/>
        <family val="2"/>
        <scheme val="minor"/>
      </rPr>
      <t xml:space="preserve"> </t>
    </r>
    <r>
      <rPr>
        <b/>
        <sz val="11"/>
        <color theme="1"/>
        <rFont val="Calibri"/>
        <family val="2"/>
        <scheme val="minor"/>
      </rPr>
      <t>HNSCC</t>
    </r>
    <r>
      <rPr>
        <sz val="11"/>
        <color theme="1"/>
        <rFont val="Calibri"/>
        <family val="2"/>
        <scheme val="minor"/>
      </rPr>
      <t xml:space="preserve"> cell line RPMI2650CR showed a 9.38-fold increased IC50  for </t>
    </r>
    <r>
      <rPr>
        <b/>
        <sz val="11"/>
        <color theme="1"/>
        <rFont val="Calibri"/>
        <family val="2"/>
        <scheme val="minor"/>
      </rPr>
      <t>CDDP</t>
    </r>
    <r>
      <rPr>
        <sz val="11"/>
        <color theme="1"/>
        <rFont val="Calibri"/>
        <family val="2"/>
        <scheme val="minor"/>
      </rPr>
      <t xml:space="preserve"> in comparison with the parental cell line, RPMI2650: </t>
    </r>
    <r>
      <rPr>
        <b/>
        <sz val="11"/>
        <color theme="1"/>
        <rFont val="Calibri"/>
        <family val="2"/>
        <scheme val="minor"/>
      </rPr>
      <t>IGF2</t>
    </r>
    <r>
      <rPr>
        <sz val="11"/>
        <color theme="1"/>
        <rFont val="Calibri"/>
        <family val="2"/>
        <scheme val="minor"/>
      </rPr>
      <t xml:space="preserve"> was found to be one of the candidates for acquired CDDP-resistance. </t>
    </r>
    <r>
      <rPr>
        <b/>
        <sz val="11"/>
        <color theme="1"/>
        <rFont val="Calibri"/>
        <family val="2"/>
        <scheme val="minor"/>
      </rPr>
      <t xml:space="preserve">5) </t>
    </r>
    <r>
      <rPr>
        <sz val="11"/>
        <color theme="1"/>
        <rFont val="Calibri"/>
        <family val="2"/>
        <scheme val="minor"/>
      </rPr>
      <t>The introduction of</t>
    </r>
    <r>
      <rPr>
        <b/>
        <sz val="11"/>
        <color theme="1"/>
        <rFont val="Calibri"/>
        <family val="2"/>
        <scheme val="minor"/>
      </rPr>
      <t xml:space="preserve"> IGF2</t>
    </r>
    <r>
      <rPr>
        <sz val="11"/>
        <color theme="1"/>
        <rFont val="Calibri"/>
        <family val="2"/>
        <scheme val="minor"/>
      </rPr>
      <t xml:space="preserve"> into RPMI2650 caused </t>
    </r>
    <r>
      <rPr>
        <b/>
        <sz val="11"/>
        <color theme="1"/>
        <rFont val="Calibri"/>
        <family val="2"/>
        <scheme val="minor"/>
      </rPr>
      <t>CDDP</t>
    </r>
    <r>
      <rPr>
        <sz val="11"/>
        <color theme="1"/>
        <rFont val="Calibri"/>
        <family val="2"/>
        <scheme val="minor"/>
      </rPr>
      <t xml:space="preserve"> resistance. </t>
    </r>
    <r>
      <rPr>
        <b/>
        <sz val="11"/>
        <color theme="1"/>
        <rFont val="Calibri"/>
        <family val="2"/>
        <scheme val="minor"/>
      </rPr>
      <t xml:space="preserve">6) </t>
    </r>
    <r>
      <rPr>
        <sz val="11"/>
        <color theme="1"/>
        <rFont val="Calibri"/>
        <family val="2"/>
        <scheme val="minor"/>
      </rPr>
      <t xml:space="preserve">siRNA-mediated knockdown of </t>
    </r>
    <r>
      <rPr>
        <b/>
        <sz val="11"/>
        <color theme="1"/>
        <rFont val="Calibri"/>
        <family val="2"/>
        <scheme val="minor"/>
      </rPr>
      <t>IGF2</t>
    </r>
    <r>
      <rPr>
        <sz val="11"/>
        <color theme="1"/>
        <rFont val="Calibri"/>
        <family val="2"/>
        <scheme val="minor"/>
      </rPr>
      <t xml:space="preserve"> caused reduction of acquired CDDP-resistance in RPMI2650CR. </t>
    </r>
  </si>
  <si>
    <r>
      <rPr>
        <b/>
        <sz val="11"/>
        <color theme="1"/>
        <rFont val="Calibri"/>
        <family val="2"/>
        <scheme val="minor"/>
      </rPr>
      <t>1)</t>
    </r>
    <r>
      <rPr>
        <sz val="11"/>
        <color theme="1"/>
        <rFont val="Calibri"/>
        <family val="2"/>
        <scheme val="minor"/>
      </rPr>
      <t xml:space="preserve"> Ectopic expression of miR-708 sensitized SKOV3 and A2780 and SKOV3/DDP and A2780/DDP cells to cisplatin. </t>
    </r>
    <r>
      <rPr>
        <b/>
        <sz val="11"/>
        <color theme="1"/>
        <rFont val="Calibri"/>
        <family val="2"/>
        <scheme val="minor"/>
      </rPr>
      <t xml:space="preserve">2) </t>
    </r>
    <r>
      <rPr>
        <sz val="11"/>
        <color theme="1"/>
        <rFont val="Calibri"/>
        <family val="2"/>
        <scheme val="minor"/>
      </rPr>
      <t xml:space="preserve"> Mechanistically, miR-708 downregulated the expression of insulin-like </t>
    </r>
    <r>
      <rPr>
        <b/>
        <sz val="11"/>
        <color theme="1"/>
        <rFont val="Calibri"/>
        <family val="2"/>
        <scheme val="minor"/>
      </rPr>
      <t>growth factor 2 mRNA-binding protein 1</t>
    </r>
    <r>
      <rPr>
        <sz val="11"/>
        <color theme="1"/>
        <rFont val="Calibri"/>
        <family val="2"/>
        <scheme val="minor"/>
      </rPr>
      <t xml:space="preserve"> (IGF2BP1) and suppressed Akt phosphorylation. </t>
    </r>
    <r>
      <rPr>
        <b/>
        <sz val="11"/>
        <color theme="1"/>
        <rFont val="Calibri"/>
        <family val="2"/>
        <scheme val="minor"/>
      </rPr>
      <t>3)</t>
    </r>
    <r>
      <rPr>
        <sz val="11"/>
        <color theme="1"/>
        <rFont val="Calibri"/>
        <family val="2"/>
        <scheme val="minor"/>
      </rPr>
      <t xml:space="preserve"> Silencing of</t>
    </r>
    <r>
      <rPr>
        <b/>
        <sz val="11"/>
        <color theme="1"/>
        <rFont val="Calibri"/>
        <family val="2"/>
        <scheme val="minor"/>
      </rPr>
      <t xml:space="preserve"> IGF2BP1</t>
    </r>
    <r>
      <rPr>
        <sz val="11"/>
        <color theme="1"/>
        <rFont val="Calibri"/>
        <family val="2"/>
        <scheme val="minor"/>
      </rPr>
      <t xml:space="preserve"> markedly blocked the phosphorylation of Akt. </t>
    </r>
    <r>
      <rPr>
        <b/>
        <sz val="11"/>
        <color theme="1"/>
        <rFont val="Calibri"/>
        <family val="2"/>
        <scheme val="minor"/>
      </rPr>
      <t xml:space="preserve">4) </t>
    </r>
    <r>
      <rPr>
        <sz val="11"/>
        <color theme="1"/>
        <rFont val="Calibri"/>
        <family val="2"/>
        <scheme val="minor"/>
      </rPr>
      <t xml:space="preserve">Overexpression of IGF2BP1 restored </t>
    </r>
    <r>
      <rPr>
        <b/>
        <sz val="11"/>
        <color theme="1"/>
        <rFont val="Calibri"/>
        <family val="2"/>
        <scheme val="minor"/>
      </rPr>
      <t>cisplatin resistance</t>
    </r>
    <r>
      <rPr>
        <sz val="11"/>
        <color theme="1"/>
        <rFont val="Calibri"/>
        <family val="2"/>
        <scheme val="minor"/>
      </rPr>
      <t xml:space="preserve"> and Akt phosphorylation in miR-708-overexpressing ovarian cancer cells. </t>
    </r>
    <r>
      <rPr>
        <b/>
        <sz val="11"/>
        <color theme="1"/>
        <rFont val="Calibri"/>
        <family val="2"/>
        <scheme val="minor"/>
      </rPr>
      <t xml:space="preserve">5) </t>
    </r>
    <r>
      <rPr>
        <sz val="11"/>
        <color theme="1"/>
        <rFont val="Calibri"/>
        <family val="2"/>
        <scheme val="minor"/>
      </rPr>
      <t>In ovarian cancer, the enhanced expression of IGF2BP1 and most of its miRNA-controlled target mRNAs is associated with poor prognosis.</t>
    </r>
  </si>
  <si>
    <r>
      <rPr>
        <b/>
        <sz val="11"/>
        <color theme="1"/>
        <rFont val="Calibri"/>
        <family val="2"/>
        <scheme val="minor"/>
      </rPr>
      <t>1)</t>
    </r>
    <r>
      <rPr>
        <sz val="11"/>
        <color theme="1"/>
        <rFont val="Calibri"/>
        <family val="2"/>
        <scheme val="minor"/>
      </rPr>
      <t xml:space="preserve"> From 140 </t>
    </r>
    <r>
      <rPr>
        <b/>
        <sz val="11"/>
        <color theme="1"/>
        <rFont val="Calibri"/>
        <family val="2"/>
        <scheme val="minor"/>
      </rPr>
      <t>EOC</t>
    </r>
    <r>
      <rPr>
        <sz val="11"/>
        <color theme="1"/>
        <rFont val="Calibri"/>
        <family val="2"/>
        <scheme val="minor"/>
      </rPr>
      <t xml:space="preserve"> patients, high expression of </t>
    </r>
    <r>
      <rPr>
        <b/>
        <sz val="11"/>
        <color theme="1"/>
        <rFont val="Calibri"/>
        <family val="2"/>
        <scheme val="minor"/>
      </rPr>
      <t xml:space="preserve">IMP3 </t>
    </r>
    <r>
      <rPr>
        <sz val="11"/>
        <color theme="1"/>
        <rFont val="Calibri"/>
        <family val="2"/>
        <scheme val="minor"/>
      </rPr>
      <t xml:space="preserve">or Lin28B was associated with poor survival, and women diagnosed at advanced stages with elevated IMP3 and Lin28B were at higher risk of developing </t>
    </r>
    <r>
      <rPr>
        <b/>
        <sz val="11"/>
        <color theme="1"/>
        <rFont val="Calibri"/>
        <family val="2"/>
        <scheme val="minor"/>
      </rPr>
      <t>chemoresistance</t>
    </r>
    <r>
      <rPr>
        <sz val="11"/>
        <color theme="1"/>
        <rFont val="Calibri"/>
        <family val="2"/>
        <scheme val="minor"/>
      </rPr>
      <t xml:space="preserve">. </t>
    </r>
    <r>
      <rPr>
        <b/>
        <sz val="11"/>
        <color theme="1"/>
        <rFont val="Calibri"/>
        <family val="2"/>
        <scheme val="minor"/>
      </rPr>
      <t>2)</t>
    </r>
    <r>
      <rPr>
        <sz val="11"/>
        <color theme="1"/>
        <rFont val="Calibri"/>
        <family val="2"/>
        <scheme val="minor"/>
      </rPr>
      <t xml:space="preserve">High IMP3 levels combined with high Lin28B levels significantly correlated with the poorest 5-year survival rates. </t>
    </r>
    <r>
      <rPr>
        <b/>
        <sz val="11"/>
        <color theme="1"/>
        <rFont val="Calibri"/>
        <family val="2"/>
        <scheme val="minor"/>
      </rPr>
      <t>3)</t>
    </r>
    <r>
      <rPr>
        <sz val="11"/>
        <color theme="1"/>
        <rFont val="Calibri"/>
        <family val="2"/>
        <scheme val="minor"/>
      </rPr>
      <t xml:space="preserve"> Knockdown of IMP3 or Lin28B decreased cell proliferation, migration, and invasion, and increased the </t>
    </r>
    <r>
      <rPr>
        <b/>
        <sz val="11"/>
        <color theme="1"/>
        <rFont val="Calibri"/>
        <family val="2"/>
        <scheme val="minor"/>
      </rPr>
      <t>platinum</t>
    </r>
    <r>
      <rPr>
        <sz val="11"/>
        <color theme="1"/>
        <rFont val="Calibri"/>
        <family val="2"/>
        <scheme val="minor"/>
      </rPr>
      <t xml:space="preserve"> sensitivity, but not taxol sensitivity, </t>
    </r>
    <r>
      <rPr>
        <b/>
        <sz val="11"/>
        <color theme="1"/>
        <rFont val="Calibri"/>
        <family val="2"/>
        <scheme val="minor"/>
      </rPr>
      <t xml:space="preserve">4) </t>
    </r>
    <r>
      <rPr>
        <sz val="11"/>
        <color theme="1"/>
        <rFont val="Calibri"/>
        <family val="2"/>
        <scheme val="minor"/>
      </rPr>
      <t xml:space="preserve">of ovarian cancer cells through increased expression of hCTR1, a copper transporter involved in platinum uptake. </t>
    </r>
    <r>
      <rPr>
        <b/>
        <sz val="11"/>
        <color theme="1"/>
        <rFont val="Calibri"/>
        <family val="2"/>
        <scheme val="minor"/>
      </rPr>
      <t>5)</t>
    </r>
    <r>
      <rPr>
        <sz val="11"/>
        <color theme="1"/>
        <rFont val="Calibri"/>
        <family val="2"/>
        <scheme val="minor"/>
      </rPr>
      <t xml:space="preserve"> High expression of hCTR1 correlated with low expression of IMP3/Lin28B and better progression-free survival in advanced-stage EOC patients.</t>
    </r>
  </si>
  <si>
    <r>
      <rPr>
        <b/>
        <sz val="11"/>
        <color theme="1"/>
        <rFont val="Calibri"/>
        <family val="2"/>
        <scheme val="minor"/>
      </rPr>
      <t xml:space="preserve">1) </t>
    </r>
    <r>
      <rPr>
        <sz val="11"/>
        <color theme="1"/>
        <rFont val="Calibri"/>
        <family val="2"/>
        <scheme val="minor"/>
      </rPr>
      <t xml:space="preserve">Of all </t>
    </r>
    <r>
      <rPr>
        <b/>
        <sz val="11"/>
        <color theme="1"/>
        <rFont val="Calibri"/>
        <family val="2"/>
        <scheme val="minor"/>
      </rPr>
      <t>NSCLC</t>
    </r>
    <r>
      <rPr>
        <sz val="11"/>
        <color theme="1"/>
        <rFont val="Calibri"/>
        <family val="2"/>
        <scheme val="minor"/>
      </rPr>
      <t xml:space="preserve"> patients, 204 had high </t>
    </r>
    <r>
      <rPr>
        <b/>
        <sz val="11"/>
        <color theme="1"/>
        <rFont val="Calibri"/>
        <family val="2"/>
        <scheme val="minor"/>
      </rPr>
      <t>IGF2R</t>
    </r>
    <r>
      <rPr>
        <sz val="11"/>
        <color theme="1"/>
        <rFont val="Calibri"/>
        <family val="2"/>
        <scheme val="minor"/>
      </rPr>
      <t xml:space="preserve"> expression and 260 had low IGF2R expression. </t>
    </r>
    <r>
      <rPr>
        <b/>
        <sz val="11"/>
        <color theme="1"/>
        <rFont val="Calibri"/>
        <family val="2"/>
        <scheme val="minor"/>
      </rPr>
      <t xml:space="preserve">2) </t>
    </r>
    <r>
      <rPr>
        <sz val="11"/>
        <color theme="1"/>
        <rFont val="Calibri"/>
        <family val="2"/>
        <scheme val="minor"/>
      </rPr>
      <t>the low</t>
    </r>
    <r>
      <rPr>
        <b/>
        <sz val="11"/>
        <color theme="1"/>
        <rFont val="Calibri"/>
        <family val="2"/>
        <scheme val="minor"/>
      </rPr>
      <t xml:space="preserve"> IGF2R</t>
    </r>
    <r>
      <rPr>
        <sz val="11"/>
        <color theme="1"/>
        <rFont val="Calibri"/>
        <family val="2"/>
        <scheme val="minor"/>
      </rPr>
      <t xml:space="preserve"> expression was closely associated with the chemotherapy response in </t>
    </r>
    <r>
      <rPr>
        <b/>
        <sz val="11"/>
        <color theme="1"/>
        <rFont val="Calibri"/>
        <family val="2"/>
        <scheme val="minor"/>
      </rPr>
      <t>NSCLC</t>
    </r>
    <r>
      <rPr>
        <sz val="11"/>
        <color theme="1"/>
        <rFont val="Calibri"/>
        <family val="2"/>
        <scheme val="minor"/>
      </rPr>
      <t xml:space="preserve"> patients: Patients with low IGF2R expressions had a poorer prognosis than those with high IGF2R expressions. </t>
    </r>
    <r>
      <rPr>
        <b/>
        <sz val="11"/>
        <color theme="1"/>
        <rFont val="Calibri"/>
        <family val="2"/>
        <scheme val="minor"/>
      </rPr>
      <t>3) IGF2R</t>
    </r>
    <r>
      <rPr>
        <sz val="11"/>
        <color theme="1"/>
        <rFont val="Calibri"/>
        <family val="2"/>
        <scheme val="minor"/>
      </rPr>
      <t xml:space="preserve"> inhibition by si-RNA technique in NSCLC cell lines increased the proliferation, migration and invasion abilities, but reduced the apoptosis rate. 4)  </t>
    </r>
    <r>
      <rPr>
        <b/>
        <sz val="11"/>
        <color theme="1"/>
        <rFont val="Calibri"/>
        <family val="2"/>
        <scheme val="minor"/>
      </rPr>
      <t>IGF2R</t>
    </r>
    <r>
      <rPr>
        <sz val="11"/>
        <color theme="1"/>
        <rFont val="Calibri"/>
        <family val="2"/>
        <scheme val="minor"/>
      </rPr>
      <t xml:space="preserve"> silencing significantly enhanced the chemo-resistance of NSCLC cell lines to </t>
    </r>
    <r>
      <rPr>
        <b/>
        <sz val="11"/>
        <color theme="1"/>
        <rFont val="Calibri"/>
        <family val="2"/>
        <scheme val="minor"/>
      </rPr>
      <t>cisplatin</t>
    </r>
    <r>
      <rPr>
        <sz val="11"/>
        <color theme="1"/>
        <rFont val="Calibri"/>
        <family val="2"/>
        <scheme val="minor"/>
      </rPr>
      <t xml:space="preserve"> treatment.</t>
    </r>
  </si>
  <si>
    <r>
      <rPr>
        <b/>
        <sz val="11"/>
        <color theme="1"/>
        <rFont val="Calibri"/>
        <family val="2"/>
        <scheme val="minor"/>
      </rPr>
      <t xml:space="preserve">1) </t>
    </r>
    <r>
      <rPr>
        <sz val="11"/>
        <color theme="1"/>
        <rFont val="Calibri"/>
        <family val="2"/>
        <scheme val="minor"/>
      </rPr>
      <t xml:space="preserve">the expression of mRNA level of </t>
    </r>
    <r>
      <rPr>
        <b/>
        <sz val="11"/>
        <color theme="1"/>
        <rFont val="Calibri"/>
        <family val="2"/>
        <scheme val="minor"/>
      </rPr>
      <t>IKBKB</t>
    </r>
    <r>
      <rPr>
        <sz val="11"/>
        <color theme="1"/>
        <rFont val="Calibri"/>
        <family val="2"/>
        <scheme val="minor"/>
      </rPr>
      <t xml:space="preserve"> gene in A549/DDP was significantly higher than that in </t>
    </r>
    <r>
      <rPr>
        <b/>
        <sz val="11"/>
        <color theme="1"/>
        <rFont val="Calibri"/>
        <family val="2"/>
        <scheme val="minor"/>
      </rPr>
      <t>lung</t>
    </r>
    <r>
      <rPr>
        <sz val="11"/>
        <color theme="1"/>
        <rFont val="Calibri"/>
        <family val="2"/>
        <scheme val="minor"/>
      </rPr>
      <t xml:space="preserve"> cancer A549 cell line. </t>
    </r>
    <r>
      <rPr>
        <b/>
        <sz val="11"/>
        <color theme="1"/>
        <rFont val="Calibri"/>
        <family val="2"/>
        <scheme val="minor"/>
      </rPr>
      <t xml:space="preserve">2) </t>
    </r>
    <r>
      <rPr>
        <sz val="11"/>
        <color theme="1"/>
        <rFont val="Calibri"/>
        <family val="2"/>
        <scheme val="minor"/>
      </rPr>
      <t xml:space="preserve">overexpression of IKBKB decreased the sensitivity to </t>
    </r>
    <r>
      <rPr>
        <b/>
        <sz val="11"/>
        <color theme="1"/>
        <rFont val="Calibri"/>
        <family val="2"/>
        <scheme val="minor"/>
      </rPr>
      <t>cisplain:</t>
    </r>
    <r>
      <rPr>
        <sz val="11"/>
        <color theme="1"/>
        <rFont val="Calibri"/>
        <family val="2"/>
        <scheme val="minor"/>
      </rPr>
      <t xml:space="preserve"> the IC50 was increased 2.85 fold, the apoptosis rate was decreased 59%, the activity of NF-κB is greatly increased. </t>
    </r>
    <r>
      <rPr>
        <b/>
        <sz val="11"/>
        <color theme="1"/>
        <rFont val="Calibri"/>
        <family val="2"/>
        <scheme val="minor"/>
      </rPr>
      <t>3) cisplatin</t>
    </r>
    <r>
      <rPr>
        <sz val="11"/>
        <color theme="1"/>
        <rFont val="Calibri"/>
        <family val="2"/>
        <scheme val="minor"/>
      </rPr>
      <t xml:space="preserve">-resistant </t>
    </r>
    <r>
      <rPr>
        <b/>
        <sz val="11"/>
        <color theme="1"/>
        <rFont val="Calibri"/>
        <family val="2"/>
        <scheme val="minor"/>
      </rPr>
      <t>HNSCC</t>
    </r>
    <r>
      <rPr>
        <sz val="11"/>
        <color theme="1"/>
        <rFont val="Calibri"/>
        <family val="2"/>
        <scheme val="minor"/>
      </rPr>
      <t xml:space="preserve"> cells have a stronger ability to migrate and invade, as well as display higher </t>
    </r>
    <r>
      <rPr>
        <b/>
        <sz val="11"/>
        <color theme="1"/>
        <rFont val="Calibri"/>
        <family val="2"/>
        <scheme val="minor"/>
      </rPr>
      <t xml:space="preserve">IKKβ/NF-κB </t>
    </r>
    <r>
      <rPr>
        <sz val="11"/>
        <color theme="1"/>
        <rFont val="Calibri"/>
        <family val="2"/>
        <scheme val="minor"/>
      </rPr>
      <t xml:space="preserve">activity compared to their parental partners. </t>
    </r>
    <r>
      <rPr>
        <b/>
        <sz val="11"/>
        <color theme="1"/>
        <rFont val="Calibri"/>
        <family val="2"/>
        <scheme val="minor"/>
      </rPr>
      <t xml:space="preserve">4) </t>
    </r>
    <r>
      <rPr>
        <sz val="11"/>
        <color theme="1"/>
        <rFont val="Calibri"/>
        <family val="2"/>
        <scheme val="minor"/>
      </rPr>
      <t xml:space="preserve">knockdown of </t>
    </r>
    <r>
      <rPr>
        <b/>
        <sz val="11"/>
        <color theme="1"/>
        <rFont val="Calibri"/>
        <family val="2"/>
        <scheme val="minor"/>
      </rPr>
      <t>IKKβ</t>
    </r>
    <r>
      <rPr>
        <sz val="11"/>
        <color theme="1"/>
        <rFont val="Calibri"/>
        <family val="2"/>
        <scheme val="minor"/>
      </rPr>
      <t xml:space="preserve">, but not </t>
    </r>
    <r>
      <rPr>
        <b/>
        <sz val="11"/>
        <color theme="1"/>
        <rFont val="Calibri"/>
        <family val="2"/>
        <scheme val="minor"/>
      </rPr>
      <t>NF-κB</t>
    </r>
    <r>
      <rPr>
        <sz val="11"/>
        <color theme="1"/>
        <rFont val="Calibri"/>
        <family val="2"/>
        <scheme val="minor"/>
      </rPr>
      <t xml:space="preserve">, dramatically impaired cell migration and invasion in these cells. </t>
    </r>
    <r>
      <rPr>
        <b/>
        <sz val="11"/>
        <color theme="1"/>
        <rFont val="Calibri"/>
        <family val="2"/>
        <scheme val="minor"/>
      </rPr>
      <t>5)</t>
    </r>
    <r>
      <rPr>
        <sz val="11"/>
        <color theme="1"/>
        <rFont val="Calibri"/>
        <family val="2"/>
        <scheme val="minor"/>
      </rPr>
      <t xml:space="preserve"> the IKKβ inhibitor, </t>
    </r>
    <r>
      <rPr>
        <b/>
        <sz val="11"/>
        <color theme="1"/>
        <rFont val="Calibri"/>
        <family val="2"/>
        <scheme val="minor"/>
      </rPr>
      <t>CmpdA</t>
    </r>
    <r>
      <rPr>
        <sz val="11"/>
        <color theme="1"/>
        <rFont val="Calibri"/>
        <family val="2"/>
        <scheme val="minor"/>
      </rPr>
      <t xml:space="preserve">, also inhibited cell migration and invasion. </t>
    </r>
    <r>
      <rPr>
        <b/>
        <sz val="11"/>
        <color theme="1"/>
        <rFont val="Calibri"/>
        <family val="2"/>
        <scheme val="minor"/>
      </rPr>
      <t>6) cisplatin</t>
    </r>
    <r>
      <rPr>
        <sz val="11"/>
        <color theme="1"/>
        <rFont val="Calibri"/>
        <family val="2"/>
        <scheme val="minor"/>
      </rPr>
      <t xml:space="preserve">-resistant HNSCC expressed higher levels of </t>
    </r>
    <r>
      <rPr>
        <b/>
        <sz val="11"/>
        <color theme="1"/>
        <rFont val="Calibri"/>
        <family val="2"/>
        <scheme val="minor"/>
      </rPr>
      <t>N-Cadherin</t>
    </r>
    <r>
      <rPr>
        <sz val="11"/>
        <color theme="1"/>
        <rFont val="Calibri"/>
        <family val="2"/>
        <scheme val="minor"/>
      </rPr>
      <t xml:space="preserve"> and </t>
    </r>
    <r>
      <rPr>
        <b/>
        <sz val="11"/>
        <color theme="1"/>
        <rFont val="Calibri"/>
        <family val="2"/>
        <scheme val="minor"/>
      </rPr>
      <t>IL-6</t>
    </r>
    <r>
      <rPr>
        <sz val="11"/>
        <color theme="1"/>
        <rFont val="Calibri"/>
        <family val="2"/>
        <scheme val="minor"/>
      </rPr>
      <t xml:space="preserve">, which were significantly inhibited by CmpdA. </t>
    </r>
    <r>
      <rPr>
        <b/>
        <sz val="11"/>
        <color theme="1"/>
        <rFont val="Calibri"/>
        <family val="2"/>
        <scheme val="minor"/>
      </rPr>
      <t>7) CmpdA</t>
    </r>
    <r>
      <rPr>
        <sz val="11"/>
        <color theme="1"/>
        <rFont val="Calibri"/>
        <family val="2"/>
        <scheme val="minor"/>
      </rPr>
      <t xml:space="preserve"> treatment dramatically abated cisplatin-resistant HNSCC cell metastasis to lungs in a mouse model. </t>
    </r>
  </si>
  <si>
    <r>
      <rPr>
        <b/>
        <sz val="11"/>
        <color theme="1"/>
        <rFont val="Calibri"/>
        <family val="2"/>
        <scheme val="minor"/>
      </rPr>
      <t xml:space="preserve">1) </t>
    </r>
    <r>
      <rPr>
        <sz val="11"/>
        <color theme="1"/>
        <rFont val="Calibri"/>
        <family val="2"/>
        <scheme val="minor"/>
      </rPr>
      <t xml:space="preserve">Of 96 ovarian cancer specimens examined, 63 exhibited elevated levels of IKKepsilon. </t>
    </r>
    <r>
      <rPr>
        <b/>
        <sz val="11"/>
        <color theme="1"/>
        <rFont val="Calibri"/>
        <family val="2"/>
        <scheme val="minor"/>
      </rPr>
      <t xml:space="preserve">2) </t>
    </r>
    <r>
      <rPr>
        <sz val="11"/>
        <color theme="1"/>
        <rFont val="Calibri"/>
        <family val="2"/>
        <scheme val="minor"/>
      </rPr>
      <t xml:space="preserve">alterations of IKKepsilon were associated with late-stage and high-grade tumors. </t>
    </r>
    <r>
      <rPr>
        <b/>
        <sz val="11"/>
        <color theme="1"/>
        <rFont val="Calibri"/>
        <family val="2"/>
        <scheme val="minor"/>
      </rPr>
      <t>3)</t>
    </r>
    <r>
      <rPr>
        <sz val="11"/>
        <color theme="1"/>
        <rFont val="Calibri"/>
        <family val="2"/>
        <scheme val="minor"/>
      </rPr>
      <t xml:space="preserve"> Overall survival in patients with elevated levels of IKKepsilon was significantly lower than patients whose tumors expressed normal levels of IKKepsilon. </t>
    </r>
    <r>
      <rPr>
        <b/>
        <sz val="11"/>
        <color theme="1"/>
        <rFont val="Calibri"/>
        <family val="2"/>
        <scheme val="minor"/>
      </rPr>
      <t xml:space="preserve">4) </t>
    </r>
    <r>
      <rPr>
        <sz val="11"/>
        <color theme="1"/>
        <rFont val="Calibri"/>
        <family val="2"/>
        <scheme val="minor"/>
      </rPr>
      <t xml:space="preserve">both early and late-stage tumors that overexpressed IKKepsilon conferred a poor prognosis, as compared with those that did not possess elevated IKKepsilon levels. </t>
    </r>
    <r>
      <rPr>
        <b/>
        <sz val="11"/>
        <color theme="1"/>
        <rFont val="Calibri"/>
        <family val="2"/>
        <scheme val="minor"/>
      </rPr>
      <t xml:space="preserve">5) </t>
    </r>
    <r>
      <rPr>
        <sz val="11"/>
        <color theme="1"/>
        <rFont val="Calibri"/>
        <family val="2"/>
        <scheme val="minor"/>
      </rPr>
      <t xml:space="preserve">overexpression of IKKepsilon rendered cells resistant to </t>
    </r>
    <r>
      <rPr>
        <b/>
        <sz val="11"/>
        <color theme="1"/>
        <rFont val="Calibri"/>
        <family val="2"/>
        <scheme val="minor"/>
      </rPr>
      <t>cisplatin</t>
    </r>
    <r>
      <rPr>
        <sz val="11"/>
        <color theme="1"/>
        <rFont val="Calibri"/>
        <family val="2"/>
        <scheme val="minor"/>
      </rPr>
      <t xml:space="preserve">, </t>
    </r>
    <r>
      <rPr>
        <b/>
        <sz val="11"/>
        <color theme="1"/>
        <rFont val="Calibri"/>
        <family val="2"/>
        <scheme val="minor"/>
      </rPr>
      <t>6)</t>
    </r>
    <r>
      <rPr>
        <sz val="11"/>
        <color theme="1"/>
        <rFont val="Calibri"/>
        <family val="2"/>
        <scheme val="minor"/>
      </rPr>
      <t xml:space="preserve"> knockdown of IKKepsilon overcame cisplatin resistance in both A2780CP and C13 cells.  </t>
    </r>
  </si>
  <si>
    <r>
      <rPr>
        <b/>
        <sz val="11"/>
        <color theme="1"/>
        <rFont val="Calibri"/>
        <family val="2"/>
        <scheme val="minor"/>
      </rPr>
      <t>1) platinum</t>
    </r>
    <r>
      <rPr>
        <sz val="11"/>
        <color theme="1"/>
        <rFont val="Calibri"/>
        <family val="2"/>
        <scheme val="minor"/>
      </rPr>
      <t xml:space="preserve">-resistant </t>
    </r>
    <r>
      <rPr>
        <b/>
        <sz val="11"/>
        <color theme="1"/>
        <rFont val="Calibri"/>
        <family val="2"/>
        <scheme val="minor"/>
      </rPr>
      <t>ovarian</t>
    </r>
    <r>
      <rPr>
        <sz val="11"/>
        <color theme="1"/>
        <rFont val="Calibri"/>
        <family val="2"/>
        <scheme val="minor"/>
      </rPr>
      <t xml:space="preserve"> cancer elevated ROS levels sustain high level of </t>
    </r>
    <r>
      <rPr>
        <b/>
        <sz val="11"/>
        <color theme="1"/>
        <rFont val="Calibri"/>
        <family val="2"/>
        <scheme val="minor"/>
      </rPr>
      <t>IL-11</t>
    </r>
    <r>
      <rPr>
        <sz val="11"/>
        <color theme="1"/>
        <rFont val="Calibri"/>
        <family val="2"/>
        <scheme val="minor"/>
      </rPr>
      <t xml:space="preserve"> by stimulating FRA1-mediated IL-11 expression </t>
    </r>
    <r>
      <rPr>
        <b/>
        <sz val="11"/>
        <color theme="1"/>
        <rFont val="Calibri"/>
        <family val="2"/>
        <scheme val="minor"/>
      </rPr>
      <t>2)</t>
    </r>
    <r>
      <rPr>
        <sz val="11"/>
        <color theme="1"/>
        <rFont val="Calibri"/>
        <family val="2"/>
        <scheme val="minor"/>
      </rPr>
      <t xml:space="preserve"> increased </t>
    </r>
    <r>
      <rPr>
        <b/>
        <sz val="11"/>
        <color theme="1"/>
        <rFont val="Calibri"/>
        <family val="2"/>
        <scheme val="minor"/>
      </rPr>
      <t>IL-11</t>
    </r>
    <r>
      <rPr>
        <sz val="11"/>
        <color theme="1"/>
        <rFont val="Calibri"/>
        <family val="2"/>
        <scheme val="minor"/>
      </rPr>
      <t xml:space="preserve"> causes resistance to platinum drugs by constitutively activating </t>
    </r>
    <r>
      <rPr>
        <b/>
        <sz val="11"/>
        <color theme="1"/>
        <rFont val="Calibri"/>
        <family val="2"/>
        <scheme val="minor"/>
      </rPr>
      <t>JAK2-STAT5</t>
    </r>
    <r>
      <rPr>
        <sz val="11"/>
        <color theme="1"/>
        <rFont val="Calibri"/>
        <family val="2"/>
        <scheme val="minor"/>
      </rPr>
      <t xml:space="preserve"> via an autocrine mechanism. </t>
    </r>
    <r>
      <rPr>
        <b/>
        <sz val="11"/>
        <color theme="1"/>
        <rFont val="Calibri"/>
        <family val="2"/>
        <scheme val="minor"/>
      </rPr>
      <t>3)</t>
    </r>
    <r>
      <rPr>
        <sz val="11"/>
        <color theme="1"/>
        <rFont val="Calibri"/>
        <family val="2"/>
        <scheme val="minor"/>
      </rPr>
      <t xml:space="preserve"> Inhibition of</t>
    </r>
    <r>
      <rPr>
        <b/>
        <sz val="11"/>
        <color theme="1"/>
        <rFont val="Calibri"/>
        <family val="2"/>
        <scheme val="minor"/>
      </rPr>
      <t xml:space="preserve"> JAK2</t>
    </r>
    <r>
      <rPr>
        <sz val="11"/>
        <color theme="1"/>
        <rFont val="Calibri"/>
        <family val="2"/>
        <scheme val="minor"/>
      </rPr>
      <t xml:space="preserve"> by LY2784544 or </t>
    </r>
    <r>
      <rPr>
        <b/>
        <sz val="11"/>
        <color theme="1"/>
        <rFont val="Calibri"/>
        <family val="2"/>
        <scheme val="minor"/>
      </rPr>
      <t>IL-11</t>
    </r>
    <r>
      <rPr>
        <sz val="11"/>
        <color theme="1"/>
        <rFont val="Calibri"/>
        <family val="2"/>
        <scheme val="minor"/>
      </rPr>
      <t xml:space="preserve"> by anti-IL-11 antibody overcomes the platinum resistance in vitro or in vivo. </t>
    </r>
    <r>
      <rPr>
        <b/>
        <sz val="11"/>
        <color theme="1"/>
        <rFont val="Calibri"/>
        <family val="2"/>
        <scheme val="minor"/>
      </rPr>
      <t xml:space="preserve">4) </t>
    </r>
    <r>
      <rPr>
        <sz val="11"/>
        <color theme="1"/>
        <rFont val="Calibri"/>
        <family val="2"/>
        <scheme val="minor"/>
      </rPr>
      <t xml:space="preserve">clinic studies also confirm the activated </t>
    </r>
    <r>
      <rPr>
        <b/>
        <sz val="11"/>
        <color theme="1"/>
        <rFont val="Calibri"/>
        <family val="2"/>
        <scheme val="minor"/>
      </rPr>
      <t>IL-11-JAK2</t>
    </r>
    <r>
      <rPr>
        <sz val="11"/>
        <color theme="1"/>
        <rFont val="Calibri"/>
        <family val="2"/>
        <scheme val="minor"/>
      </rPr>
      <t xml:space="preserve"> pathway in</t>
    </r>
    <r>
      <rPr>
        <b/>
        <sz val="11"/>
        <color theme="1"/>
        <rFont val="Calibri"/>
        <family val="2"/>
        <scheme val="minor"/>
      </rPr>
      <t xml:space="preserve"> platinum</t>
    </r>
    <r>
      <rPr>
        <sz val="11"/>
        <color theme="1"/>
        <rFont val="Calibri"/>
        <family val="2"/>
        <scheme val="minor"/>
      </rPr>
      <t xml:space="preserve">-resistant ovarian cancer patients, which highly correlates with poor prognosis. </t>
    </r>
  </si>
  <si>
    <r>
      <rPr>
        <b/>
        <sz val="11"/>
        <color theme="1"/>
        <rFont val="Calibri"/>
        <family val="2"/>
        <scheme val="minor"/>
      </rPr>
      <t>1)</t>
    </r>
    <r>
      <rPr>
        <sz val="11"/>
        <color theme="1"/>
        <rFont val="Calibri"/>
        <family val="2"/>
        <scheme val="minor"/>
      </rPr>
      <t xml:space="preserve"> It has been suggested that </t>
    </r>
    <r>
      <rPr>
        <b/>
        <sz val="11"/>
        <color theme="1"/>
        <rFont val="Calibri"/>
        <family val="2"/>
        <scheme val="minor"/>
      </rPr>
      <t>IL-17</t>
    </r>
    <r>
      <rPr>
        <sz val="11"/>
        <color theme="1"/>
        <rFont val="Calibri"/>
        <family val="2"/>
        <scheme val="minor"/>
      </rPr>
      <t xml:space="preserve"> is key to promoting the development of resistance to </t>
    </r>
    <r>
      <rPr>
        <b/>
        <sz val="11"/>
        <color theme="1"/>
        <rFont val="Calibri"/>
        <family val="2"/>
        <scheme val="minor"/>
      </rPr>
      <t>DDP</t>
    </r>
    <r>
      <rPr>
        <sz val="11"/>
        <color theme="1"/>
        <rFont val="Calibri"/>
        <family val="2"/>
        <scheme val="minor"/>
      </rPr>
      <t xml:space="preserve"> in several major types of cancer. </t>
    </r>
    <r>
      <rPr>
        <b/>
        <sz val="11"/>
        <color theme="1"/>
        <rFont val="Calibri"/>
        <family val="2"/>
        <scheme val="minor"/>
      </rPr>
      <t>2) IL-17</t>
    </r>
    <r>
      <rPr>
        <sz val="11"/>
        <color theme="1"/>
        <rFont val="Calibri"/>
        <family val="2"/>
        <scheme val="minor"/>
      </rPr>
      <t xml:space="preserve"> was found to promote the viability of HCT116 colorectal cells treated with </t>
    </r>
    <r>
      <rPr>
        <b/>
        <sz val="11"/>
        <color theme="1"/>
        <rFont val="Calibri"/>
        <family val="2"/>
        <scheme val="minor"/>
      </rPr>
      <t>DDP</t>
    </r>
    <r>
      <rPr>
        <sz val="11"/>
        <color theme="1"/>
        <rFont val="Calibri"/>
        <family val="2"/>
        <scheme val="minor"/>
      </rPr>
      <t xml:space="preserve">, </t>
    </r>
    <r>
      <rPr>
        <b/>
        <sz val="11"/>
        <color theme="1"/>
        <rFont val="Calibri"/>
        <family val="2"/>
        <scheme val="minor"/>
      </rPr>
      <t>3)</t>
    </r>
    <r>
      <rPr>
        <sz val="11"/>
        <color theme="1"/>
        <rFont val="Calibri"/>
        <family val="2"/>
        <scheme val="minor"/>
      </rPr>
      <t xml:space="preserve"> blocking </t>
    </r>
    <r>
      <rPr>
        <b/>
        <sz val="11"/>
        <color theme="1"/>
        <rFont val="Calibri"/>
        <family val="2"/>
        <scheme val="minor"/>
      </rPr>
      <t>IL-17</t>
    </r>
    <r>
      <rPr>
        <sz val="11"/>
        <color theme="1"/>
        <rFont val="Calibri"/>
        <family val="2"/>
        <scheme val="minor"/>
      </rPr>
      <t xml:space="preserve"> signaling leading to HCT116 cell apoptosis. </t>
    </r>
    <r>
      <rPr>
        <b/>
        <sz val="11"/>
        <color theme="1"/>
        <rFont val="Calibri"/>
        <family val="2"/>
        <scheme val="minor"/>
      </rPr>
      <t>4) IL-17</t>
    </r>
    <r>
      <rPr>
        <sz val="11"/>
        <color theme="1"/>
        <rFont val="Calibri"/>
        <family val="2"/>
        <scheme val="minor"/>
      </rPr>
      <t xml:space="preserve"> was also shown to regulate the expression of several apoptosis-related proteins, including phosphorylated-protein kinase B (p-Akt), apoptosis regulator BAX (Bax), apoptosis regulator Bcl-2 (Bcl-2) and serine/threonine-protein kinase mTOR (mTOR). </t>
    </r>
  </si>
  <si>
    <r>
      <rPr>
        <b/>
        <sz val="11"/>
        <color theme="1"/>
        <rFont val="Calibri"/>
        <family val="2"/>
        <scheme val="minor"/>
      </rPr>
      <t>1)</t>
    </r>
    <r>
      <rPr>
        <sz val="11"/>
        <color theme="1"/>
        <rFont val="Calibri"/>
        <family val="2"/>
        <scheme val="minor"/>
      </rPr>
      <t xml:space="preserve"> </t>
    </r>
    <r>
      <rPr>
        <b/>
        <sz val="11"/>
        <color theme="1"/>
        <rFont val="Calibri"/>
        <family val="2"/>
        <scheme val="minor"/>
      </rPr>
      <t>ovarian</t>
    </r>
    <r>
      <rPr>
        <sz val="11"/>
        <color theme="1"/>
        <rFont val="Calibri"/>
        <family val="2"/>
        <scheme val="minor"/>
      </rPr>
      <t xml:space="preserve"> carcinoma OVCAR-3 cells are resistant to clinically relevant concentrations of chemotherapeutic agents, including </t>
    </r>
    <r>
      <rPr>
        <b/>
        <sz val="11"/>
        <color theme="1"/>
        <rFont val="Calibri"/>
        <family val="2"/>
        <scheme val="minor"/>
      </rPr>
      <t>cisplatin</t>
    </r>
    <r>
      <rPr>
        <sz val="11"/>
        <color theme="1"/>
        <rFont val="Calibri"/>
        <family val="2"/>
        <scheme val="minor"/>
      </rPr>
      <t xml:space="preserve">. </t>
    </r>
    <r>
      <rPr>
        <b/>
        <sz val="11"/>
        <color theme="1"/>
        <rFont val="Calibri"/>
        <family val="2"/>
        <scheme val="minor"/>
      </rPr>
      <t xml:space="preserve">2) </t>
    </r>
    <r>
      <rPr>
        <sz val="11"/>
        <color theme="1"/>
        <rFont val="Calibri"/>
        <family val="2"/>
        <scheme val="minor"/>
      </rPr>
      <t xml:space="preserve">Both </t>
    </r>
    <r>
      <rPr>
        <b/>
        <sz val="11"/>
        <color theme="1"/>
        <rFont val="Calibri"/>
        <family val="2"/>
        <scheme val="minor"/>
      </rPr>
      <t>carboplatin</t>
    </r>
    <r>
      <rPr>
        <sz val="11"/>
        <color theme="1"/>
        <rFont val="Calibri"/>
        <family val="2"/>
        <scheme val="minor"/>
      </rPr>
      <t xml:space="preserve"> and </t>
    </r>
    <r>
      <rPr>
        <b/>
        <sz val="11"/>
        <color theme="1"/>
        <rFont val="Calibri"/>
        <family val="2"/>
        <scheme val="minor"/>
      </rPr>
      <t>IL-1alpha</t>
    </r>
    <r>
      <rPr>
        <sz val="11"/>
        <color theme="1"/>
        <rFont val="Calibri"/>
        <family val="2"/>
        <scheme val="minor"/>
      </rPr>
      <t xml:space="preserve"> as single agents inhibited the growth of OVCAR-3 cells grown as xenograft in nude mice;</t>
    </r>
    <r>
      <rPr>
        <b/>
        <sz val="11"/>
        <color theme="1"/>
        <rFont val="Calibri"/>
        <family val="2"/>
        <scheme val="minor"/>
      </rPr>
      <t xml:space="preserve"> 3)</t>
    </r>
    <r>
      <rPr>
        <sz val="11"/>
        <color theme="1"/>
        <rFont val="Calibri"/>
        <family val="2"/>
        <scheme val="minor"/>
      </rPr>
      <t xml:space="preserve"> Treatment with </t>
    </r>
    <r>
      <rPr>
        <b/>
        <sz val="11"/>
        <color theme="1"/>
        <rFont val="Calibri"/>
        <family val="2"/>
        <scheme val="minor"/>
      </rPr>
      <t>IL-1alpha</t>
    </r>
    <r>
      <rPr>
        <sz val="11"/>
        <color theme="1"/>
        <rFont val="Calibri"/>
        <family val="2"/>
        <scheme val="minor"/>
      </rPr>
      <t xml:space="preserve"> followed by </t>
    </r>
    <r>
      <rPr>
        <b/>
        <sz val="11"/>
        <color theme="1"/>
        <rFont val="Calibri"/>
        <family val="2"/>
        <scheme val="minor"/>
      </rPr>
      <t>carboplatin</t>
    </r>
    <r>
      <rPr>
        <sz val="11"/>
        <color theme="1"/>
        <rFont val="Calibri"/>
        <family val="2"/>
        <scheme val="minor"/>
      </rPr>
      <t xml:space="preserve"> caused a significant delay in tumor growth, resulting in a significant enhancement (4-fold) of the anti-tumor effect of carboplatin. </t>
    </r>
    <r>
      <rPr>
        <b/>
        <sz val="11"/>
        <color theme="1"/>
        <rFont val="Calibri"/>
        <family val="2"/>
        <scheme val="minor"/>
      </rPr>
      <t>4)</t>
    </r>
    <r>
      <rPr>
        <sz val="11"/>
        <color theme="1"/>
        <rFont val="Calibri"/>
        <family val="2"/>
        <scheme val="minor"/>
      </rPr>
      <t xml:space="preserve"> Potentiation of the anti-tumor activity of carboplatin by IL-1alpha was due to a significant (3- to 4-fold) increase in the </t>
    </r>
    <r>
      <rPr>
        <b/>
        <sz val="11"/>
        <color theme="1"/>
        <rFont val="Calibri"/>
        <family val="2"/>
        <scheme val="minor"/>
      </rPr>
      <t xml:space="preserve">accumulation of total Pt </t>
    </r>
    <r>
      <rPr>
        <sz val="11"/>
        <color theme="1"/>
        <rFont val="Calibri"/>
        <family val="2"/>
        <scheme val="minor"/>
      </rPr>
      <t xml:space="preserve">in IL-1-treated tumor xenograft, resulting in a 2-fold increase in DNA-Pt adduct formation in these tumors. </t>
    </r>
  </si>
  <si>
    <r>
      <rPr>
        <b/>
        <sz val="11"/>
        <color theme="1"/>
        <rFont val="Calibri"/>
        <family val="2"/>
        <scheme val="minor"/>
      </rPr>
      <t>1) interleukin 1β (IL-1β)</t>
    </r>
    <r>
      <rPr>
        <sz val="11"/>
        <color theme="1"/>
        <rFont val="Calibri"/>
        <family val="2"/>
        <scheme val="minor"/>
      </rPr>
      <t xml:space="preserve">-induced upregulation of genes was associated with </t>
    </r>
    <r>
      <rPr>
        <b/>
        <sz val="11"/>
        <color theme="1"/>
        <rFont val="Calibri"/>
        <family val="2"/>
        <scheme val="minor"/>
      </rPr>
      <t>cisplatin</t>
    </r>
    <r>
      <rPr>
        <sz val="11"/>
        <color theme="1"/>
        <rFont val="Calibri"/>
        <family val="2"/>
        <scheme val="minor"/>
      </rPr>
      <t xml:space="preserve"> resistance in </t>
    </r>
    <r>
      <rPr>
        <b/>
        <sz val="11"/>
        <color theme="1"/>
        <rFont val="Calibri"/>
        <family val="2"/>
        <scheme val="minor"/>
      </rPr>
      <t>breast</t>
    </r>
    <r>
      <rPr>
        <sz val="11"/>
        <color theme="1"/>
        <rFont val="Calibri"/>
        <family val="2"/>
        <scheme val="minor"/>
      </rPr>
      <t xml:space="preserve"> cancer cells. </t>
    </r>
    <r>
      <rPr>
        <b/>
        <sz val="11"/>
        <color theme="1"/>
        <rFont val="Calibri"/>
        <family val="2"/>
        <scheme val="minor"/>
      </rPr>
      <t>2) IL-1β</t>
    </r>
    <r>
      <rPr>
        <sz val="11"/>
        <color theme="1"/>
        <rFont val="Calibri"/>
        <family val="2"/>
        <scheme val="minor"/>
      </rPr>
      <t xml:space="preserve"> particularly upregulates the expression of the tumor protein 63 (TP63) isoform </t>
    </r>
    <r>
      <rPr>
        <b/>
        <sz val="11"/>
        <color theme="1"/>
        <rFont val="Calibri"/>
        <family val="2"/>
        <scheme val="minor"/>
      </rPr>
      <t>ΔNP63α</t>
    </r>
    <r>
      <rPr>
        <sz val="11"/>
        <color theme="1"/>
        <rFont val="Calibri"/>
        <family val="2"/>
        <scheme val="minor"/>
      </rPr>
      <t xml:space="preserve">, through the activation of the </t>
    </r>
    <r>
      <rPr>
        <b/>
        <sz val="11"/>
        <color theme="1"/>
        <rFont val="Calibri"/>
        <family val="2"/>
        <scheme val="minor"/>
      </rPr>
      <t>IL-1β/IL-1RI/β-catenin signaling pathway</t>
    </r>
    <r>
      <rPr>
        <sz val="11"/>
        <color theme="1"/>
        <rFont val="Calibri"/>
        <family val="2"/>
        <scheme val="minor"/>
      </rPr>
      <t xml:space="preserve">. </t>
    </r>
    <r>
      <rPr>
        <b/>
        <sz val="11"/>
        <color theme="1"/>
        <rFont val="Calibri"/>
        <family val="2"/>
        <scheme val="minor"/>
      </rPr>
      <t xml:space="preserve">3) </t>
    </r>
    <r>
      <rPr>
        <sz val="11"/>
        <color theme="1"/>
        <rFont val="Calibri"/>
        <family val="2"/>
        <scheme val="minor"/>
      </rPr>
      <t>Upregulation of ΔNP63α leads to an increase in the expression of the cell survival factors epidermal growth factor receptor (</t>
    </r>
    <r>
      <rPr>
        <b/>
        <sz val="11"/>
        <color theme="1"/>
        <rFont val="Calibri"/>
        <family val="2"/>
        <scheme val="minor"/>
      </rPr>
      <t>EGFR</t>
    </r>
    <r>
      <rPr>
        <sz val="11"/>
        <color theme="1"/>
        <rFont val="Calibri"/>
        <family val="2"/>
        <scheme val="minor"/>
      </rPr>
      <t>) and phosphatase 1D (</t>
    </r>
    <r>
      <rPr>
        <b/>
        <sz val="11"/>
        <color theme="1"/>
        <rFont val="Calibri"/>
        <family val="2"/>
        <scheme val="minor"/>
      </rPr>
      <t>Wip1</t>
    </r>
    <r>
      <rPr>
        <sz val="11"/>
        <color theme="1"/>
        <rFont val="Calibri"/>
        <family val="2"/>
        <scheme val="minor"/>
      </rPr>
      <t>), and a decrease in the DNA damage sensor, ataxia-telangiectasia mutated (</t>
    </r>
    <r>
      <rPr>
        <b/>
        <sz val="11"/>
        <color theme="1"/>
        <rFont val="Calibri"/>
        <family val="2"/>
        <scheme val="minor"/>
      </rPr>
      <t>ATM</t>
    </r>
    <r>
      <rPr>
        <sz val="11"/>
        <color theme="1"/>
        <rFont val="Calibri"/>
        <family val="2"/>
        <scheme val="minor"/>
      </rPr>
      <t xml:space="preserve">). </t>
    </r>
    <r>
      <rPr>
        <b/>
        <sz val="11"/>
        <color theme="1"/>
        <rFont val="Calibri"/>
        <family val="2"/>
        <scheme val="minor"/>
      </rPr>
      <t xml:space="preserve">4) </t>
    </r>
    <r>
      <rPr>
        <sz val="11"/>
        <color theme="1"/>
        <rFont val="Calibri"/>
        <family val="2"/>
        <scheme val="minor"/>
      </rPr>
      <t>The participation of these processes in the increase of resistance to cisplatin was confirmed by silencing TP63 expression or by inhibition of the phosphoinositide 3-kinase (PI3K)/protein kinase B (AKT) activity in the IL-1β/IL-1RI/β-catenin signaling pathway. </t>
    </r>
  </si>
  <si>
    <r>
      <rPr>
        <b/>
        <sz val="11"/>
        <color theme="1"/>
        <rFont val="Calibri"/>
        <family val="2"/>
        <scheme val="minor"/>
      </rPr>
      <t>1) IL-22</t>
    </r>
    <r>
      <rPr>
        <sz val="11"/>
        <color theme="1"/>
        <rFont val="Calibri"/>
        <family val="2"/>
        <scheme val="minor"/>
      </rPr>
      <t xml:space="preserve"> expression was significantly increased in </t>
    </r>
    <r>
      <rPr>
        <b/>
        <sz val="11"/>
        <color theme="1"/>
        <rFont val="Calibri"/>
        <family val="2"/>
        <scheme val="minor"/>
      </rPr>
      <t>osteosarcoma</t>
    </r>
    <r>
      <rPr>
        <sz val="11"/>
        <color theme="1"/>
        <rFont val="Calibri"/>
        <family val="2"/>
        <scheme val="minor"/>
      </rPr>
      <t xml:space="preserve"> tissues and cell lines compared with the adjacent normal tissues and the normal osteoblast hFOB1.19 cells.</t>
    </r>
    <r>
      <rPr>
        <b/>
        <sz val="11"/>
        <color theme="1"/>
        <rFont val="Calibri"/>
        <family val="2"/>
        <scheme val="minor"/>
      </rPr>
      <t xml:space="preserve"> 2) IL-22</t>
    </r>
    <r>
      <rPr>
        <sz val="11"/>
        <color theme="1"/>
        <rFont val="Calibri"/>
        <family val="2"/>
        <scheme val="minor"/>
      </rPr>
      <t xml:space="preserve"> expression was higher in MG63/DDP cells compared with MG63 cells. </t>
    </r>
    <r>
      <rPr>
        <b/>
        <sz val="11"/>
        <color theme="1"/>
        <rFont val="Calibri"/>
        <family val="2"/>
        <scheme val="minor"/>
      </rPr>
      <t xml:space="preserve">3) </t>
    </r>
    <r>
      <rPr>
        <sz val="11"/>
        <color theme="1"/>
        <rFont val="Calibri"/>
        <family val="2"/>
        <scheme val="minor"/>
      </rPr>
      <t xml:space="preserve">The IL-22 siRNA in MG63/DDP cells significantly decreased the IC50 of DDP and decreased the cell viability of MG63/DDP cells. </t>
    </r>
    <r>
      <rPr>
        <b/>
        <sz val="11"/>
        <color theme="1"/>
        <rFont val="Calibri"/>
        <family val="2"/>
        <scheme val="minor"/>
      </rPr>
      <t xml:space="preserve">4) </t>
    </r>
    <r>
      <rPr>
        <sz val="11"/>
        <color theme="1"/>
        <rFont val="Calibri"/>
        <family val="2"/>
        <scheme val="minor"/>
      </rPr>
      <t xml:space="preserve">IL-22 RNA interference decreased </t>
    </r>
    <r>
      <rPr>
        <b/>
        <sz val="11"/>
        <color theme="1"/>
        <rFont val="Calibri"/>
        <family val="2"/>
        <scheme val="minor"/>
      </rPr>
      <t>BCl-2</t>
    </r>
    <r>
      <rPr>
        <sz val="11"/>
        <color theme="1"/>
        <rFont val="Calibri"/>
        <family val="2"/>
        <scheme val="minor"/>
      </rPr>
      <t xml:space="preserve"> expression and phosphorylation of </t>
    </r>
    <r>
      <rPr>
        <b/>
        <sz val="11"/>
        <color theme="1"/>
        <rFont val="Calibri"/>
        <family val="2"/>
        <scheme val="minor"/>
      </rPr>
      <t>STAT3</t>
    </r>
    <r>
      <rPr>
        <sz val="11"/>
        <color theme="1"/>
        <rFont val="Calibri"/>
        <family val="2"/>
        <scheme val="minor"/>
      </rPr>
      <t xml:space="preserve">, induced apoptosis, and increased the expression of </t>
    </r>
    <r>
      <rPr>
        <b/>
        <sz val="11"/>
        <color theme="1"/>
        <rFont val="Calibri"/>
        <family val="2"/>
        <scheme val="minor"/>
      </rPr>
      <t>Bax</t>
    </r>
    <r>
      <rPr>
        <sz val="11"/>
        <color theme="1"/>
        <rFont val="Calibri"/>
        <family val="2"/>
        <scheme val="minor"/>
      </rPr>
      <t xml:space="preserve"> and cleaved </t>
    </r>
    <r>
      <rPr>
        <b/>
        <sz val="11"/>
        <color theme="1"/>
        <rFont val="Calibri"/>
        <family val="2"/>
        <scheme val="minor"/>
      </rPr>
      <t>caspase-3</t>
    </r>
    <r>
      <rPr>
        <sz val="11"/>
        <color theme="1"/>
        <rFont val="Calibri"/>
        <family val="2"/>
        <scheme val="minor"/>
      </rPr>
      <t>. 5) The IL-22 overexpression plasmid had opposite effects to the observations in IL-22 siRNA-transfected MG63 cells. </t>
    </r>
  </si>
  <si>
    <r>
      <rPr>
        <b/>
        <sz val="11"/>
        <color theme="1"/>
        <rFont val="Calibri"/>
        <family val="2"/>
        <scheme val="minor"/>
      </rPr>
      <t>1)</t>
    </r>
    <r>
      <rPr>
        <sz val="11"/>
        <color theme="1"/>
        <rFont val="Calibri"/>
        <family val="2"/>
        <scheme val="minor"/>
      </rPr>
      <t xml:space="preserve"> </t>
    </r>
    <r>
      <rPr>
        <b/>
        <sz val="11"/>
        <color theme="1"/>
        <rFont val="Calibri"/>
        <family val="2"/>
        <scheme val="minor"/>
      </rPr>
      <t>ZBTB7A</t>
    </r>
    <r>
      <rPr>
        <sz val="11"/>
        <color theme="1"/>
        <rFont val="Calibri"/>
        <family val="2"/>
        <scheme val="minor"/>
      </rPr>
      <t xml:space="preserve"> is increased in </t>
    </r>
    <r>
      <rPr>
        <b/>
        <sz val="11"/>
        <color theme="1"/>
        <rFont val="Calibri"/>
        <family val="2"/>
        <scheme val="minor"/>
      </rPr>
      <t>cisplatin</t>
    </r>
    <r>
      <rPr>
        <sz val="11"/>
        <color theme="1"/>
        <rFont val="Calibri"/>
        <family val="2"/>
        <scheme val="minor"/>
      </rPr>
      <t xml:space="preserve">-resistant </t>
    </r>
    <r>
      <rPr>
        <b/>
        <sz val="11"/>
        <color theme="1"/>
        <rFont val="Calibri"/>
        <family val="2"/>
        <scheme val="minor"/>
      </rPr>
      <t>osteosarcoma</t>
    </r>
    <r>
      <rPr>
        <sz val="11"/>
        <color theme="1"/>
        <rFont val="Calibri"/>
        <family val="2"/>
        <scheme val="minor"/>
      </rPr>
      <t xml:space="preserve"> cells.</t>
    </r>
    <r>
      <rPr>
        <b/>
        <sz val="11"/>
        <color theme="1"/>
        <rFont val="Calibri"/>
        <family val="2"/>
        <scheme val="minor"/>
      </rPr>
      <t xml:space="preserve"> 2) </t>
    </r>
    <r>
      <rPr>
        <sz val="11"/>
        <color theme="1"/>
        <rFont val="Calibri"/>
        <family val="2"/>
        <scheme val="minor"/>
      </rPr>
      <t xml:space="preserve">elevated </t>
    </r>
    <r>
      <rPr>
        <b/>
        <sz val="11"/>
        <color theme="1"/>
        <rFont val="Calibri"/>
        <family val="2"/>
        <scheme val="minor"/>
      </rPr>
      <t>ZBTB7A</t>
    </r>
    <r>
      <rPr>
        <sz val="11"/>
        <color theme="1"/>
        <rFont val="Calibri"/>
        <family val="2"/>
        <scheme val="minor"/>
      </rPr>
      <t xml:space="preserve"> inhibits cisplatin-induced apoptosis by repressing </t>
    </r>
    <r>
      <rPr>
        <b/>
        <sz val="11"/>
        <color theme="1"/>
        <rFont val="Calibri"/>
        <family val="2"/>
        <scheme val="minor"/>
      </rPr>
      <t>IL24</t>
    </r>
    <r>
      <rPr>
        <sz val="11"/>
        <color theme="1"/>
        <rFont val="Calibri"/>
        <family val="2"/>
        <scheme val="minor"/>
      </rPr>
      <t>. </t>
    </r>
    <r>
      <rPr>
        <b/>
        <sz val="11"/>
        <color theme="1"/>
        <rFont val="Calibri"/>
        <family val="2"/>
        <scheme val="minor"/>
      </rPr>
      <t xml:space="preserve">3) </t>
    </r>
    <r>
      <rPr>
        <sz val="11"/>
        <color theme="1"/>
        <rFont val="Calibri"/>
        <family val="2"/>
        <scheme val="minor"/>
      </rPr>
      <t xml:space="preserve">The </t>
    </r>
    <r>
      <rPr>
        <b/>
        <sz val="11"/>
        <color theme="1"/>
        <rFont val="Calibri"/>
        <family val="2"/>
        <scheme val="minor"/>
      </rPr>
      <t>cisplatin</t>
    </r>
    <r>
      <rPr>
        <sz val="11"/>
        <color theme="1"/>
        <rFont val="Calibri"/>
        <family val="2"/>
        <scheme val="minor"/>
      </rPr>
      <t xml:space="preserve"> (DDP)-resistant lung carcinoma cell line A549/DDP was subjected to adenovirus-mediated transfection with the human </t>
    </r>
    <r>
      <rPr>
        <b/>
        <sz val="11"/>
        <color theme="1"/>
        <rFont val="Calibri"/>
        <family val="2"/>
        <scheme val="minor"/>
      </rPr>
      <t>IL-24</t>
    </r>
    <r>
      <rPr>
        <sz val="11"/>
        <color theme="1"/>
        <rFont val="Calibri"/>
        <family val="2"/>
        <scheme val="minor"/>
      </rPr>
      <t xml:space="preserve"> gene (Ad-hIL-24): Ad-hIL-24 significantly decreased the levels of p-AKT and P-gp, and effectively inhibited A549/DDP cell growth and a significantly increased rate of apoptosis, as well as G2/M-phase. </t>
    </r>
    <r>
      <rPr>
        <b/>
        <sz val="11"/>
        <color theme="1"/>
        <rFont val="Calibri"/>
        <family val="2"/>
        <scheme val="minor"/>
      </rPr>
      <t xml:space="preserve">6) </t>
    </r>
    <r>
      <rPr>
        <sz val="11"/>
        <color theme="1"/>
        <rFont val="Calibri"/>
        <family val="2"/>
        <scheme val="minor"/>
      </rPr>
      <t>these effects were increased in cells treated with Ad-</t>
    </r>
    <r>
      <rPr>
        <b/>
        <sz val="11"/>
        <color theme="1"/>
        <rFont val="Calibri"/>
        <family val="2"/>
        <scheme val="minor"/>
      </rPr>
      <t>IL-24</t>
    </r>
    <r>
      <rPr>
        <sz val="11"/>
        <color theme="1"/>
        <rFont val="Calibri"/>
        <family val="2"/>
        <scheme val="minor"/>
      </rPr>
      <t xml:space="preserve"> combined with </t>
    </r>
    <r>
      <rPr>
        <b/>
        <sz val="11"/>
        <color theme="1"/>
        <rFont val="Calibri"/>
        <family val="2"/>
        <scheme val="minor"/>
      </rPr>
      <t>DDP</t>
    </r>
    <r>
      <rPr>
        <sz val="11"/>
        <color theme="1"/>
        <rFont val="Calibri"/>
        <family val="2"/>
        <scheme val="minor"/>
      </rPr>
      <t xml:space="preserve"> when compared with those treated with Ad-hIL-24 or DDP alone. </t>
    </r>
  </si>
  <si>
    <r>
      <rPr>
        <b/>
        <sz val="11"/>
        <color theme="1"/>
        <rFont val="Calibri"/>
        <family val="2"/>
        <scheme val="minor"/>
      </rPr>
      <t>1)</t>
    </r>
    <r>
      <rPr>
        <sz val="11"/>
        <color theme="1"/>
        <rFont val="Calibri"/>
        <family val="2"/>
        <scheme val="minor"/>
      </rPr>
      <t xml:space="preserve"> both </t>
    </r>
    <r>
      <rPr>
        <b/>
        <sz val="11"/>
        <color theme="1"/>
        <rFont val="Calibri"/>
        <family val="2"/>
        <scheme val="minor"/>
      </rPr>
      <t>IL-25</t>
    </r>
    <r>
      <rPr>
        <sz val="11"/>
        <color theme="1"/>
        <rFont val="Calibri"/>
        <family val="2"/>
        <scheme val="minor"/>
      </rPr>
      <t xml:space="preserve"> and </t>
    </r>
    <r>
      <rPr>
        <b/>
        <sz val="11"/>
        <color theme="1"/>
        <rFont val="Calibri"/>
        <family val="2"/>
        <scheme val="minor"/>
      </rPr>
      <t>MVP</t>
    </r>
    <r>
      <rPr>
        <sz val="11"/>
        <color theme="1"/>
        <rFont val="Calibri"/>
        <family val="2"/>
        <scheme val="minor"/>
      </rPr>
      <t xml:space="preserve"> were elevated expressed in </t>
    </r>
    <r>
      <rPr>
        <b/>
        <sz val="11"/>
        <color theme="1"/>
        <rFont val="Calibri"/>
        <family val="2"/>
        <scheme val="minor"/>
      </rPr>
      <t>cisplatin</t>
    </r>
    <r>
      <rPr>
        <sz val="11"/>
        <color theme="1"/>
        <rFont val="Calibri"/>
        <family val="2"/>
        <scheme val="minor"/>
      </rPr>
      <t xml:space="preserve">-resistant </t>
    </r>
    <r>
      <rPr>
        <b/>
        <sz val="11"/>
        <color theme="1"/>
        <rFont val="Calibri"/>
        <family val="2"/>
        <scheme val="minor"/>
      </rPr>
      <t>lung</t>
    </r>
    <r>
      <rPr>
        <sz val="11"/>
        <color theme="1"/>
        <rFont val="Calibri"/>
        <family val="2"/>
        <scheme val="minor"/>
      </rPr>
      <t xml:space="preserve"> adenocarcinoma cell line (A549/CDDP). </t>
    </r>
    <r>
      <rPr>
        <b/>
        <sz val="11"/>
        <color theme="1"/>
        <rFont val="Calibri"/>
        <family val="2"/>
        <scheme val="minor"/>
      </rPr>
      <t>2)</t>
    </r>
    <r>
      <rPr>
        <sz val="11"/>
        <color theme="1"/>
        <rFont val="Calibri"/>
        <family val="2"/>
        <scheme val="minor"/>
      </rPr>
      <t xml:space="preserve"> Silencing of IL-25 resulted in down-regulation of MVP expression and reduced cisplatin tolerance of A549/CDDP cells. </t>
    </r>
    <r>
      <rPr>
        <b/>
        <sz val="11"/>
        <color theme="1"/>
        <rFont val="Calibri"/>
        <family val="2"/>
        <scheme val="minor"/>
      </rPr>
      <t>3)</t>
    </r>
    <r>
      <rPr>
        <sz val="11"/>
        <color theme="1"/>
        <rFont val="Calibri"/>
        <family val="2"/>
        <scheme val="minor"/>
      </rPr>
      <t xml:space="preserve"> Overexpression of IL-25 resulted in increase of MVP expression and the cisplatin tolerance in A549 cells. </t>
    </r>
    <r>
      <rPr>
        <b/>
        <sz val="11"/>
        <color theme="1"/>
        <rFont val="Calibri"/>
        <family val="2"/>
        <scheme val="minor"/>
      </rPr>
      <t xml:space="preserve">4) </t>
    </r>
    <r>
      <rPr>
        <sz val="11"/>
        <color theme="1"/>
        <rFont val="Calibri"/>
        <family val="2"/>
        <scheme val="minor"/>
      </rPr>
      <t xml:space="preserve">the extracellular IL-25 could stimulate the expression of MVP and activate the NF-κB signaling pathway. </t>
    </r>
    <r>
      <rPr>
        <b/>
        <sz val="11"/>
        <color theme="1"/>
        <rFont val="Calibri"/>
        <family val="2"/>
        <scheme val="minor"/>
      </rPr>
      <t>5) IL-25</t>
    </r>
    <r>
      <rPr>
        <sz val="11"/>
        <color theme="1"/>
        <rFont val="Calibri"/>
        <family val="2"/>
        <scheme val="minor"/>
      </rPr>
      <t xml:space="preserve"> reduced the sensitivity of xenografts to chemotherapy. </t>
    </r>
  </si>
  <si>
    <r>
      <rPr>
        <b/>
        <sz val="11"/>
        <color theme="1"/>
        <rFont val="Calibri"/>
        <family val="2"/>
        <scheme val="minor"/>
      </rPr>
      <t>1)</t>
    </r>
    <r>
      <rPr>
        <sz val="11"/>
        <color theme="1"/>
        <rFont val="Calibri"/>
        <family val="2"/>
        <scheme val="minor"/>
      </rPr>
      <t xml:space="preserve"> The expression of </t>
    </r>
    <r>
      <rPr>
        <b/>
        <sz val="11"/>
        <color theme="1"/>
        <rFont val="Calibri"/>
        <family val="2"/>
        <scheme val="minor"/>
      </rPr>
      <t>IL-6</t>
    </r>
    <r>
      <rPr>
        <sz val="11"/>
        <color theme="1"/>
        <rFont val="Calibri"/>
        <family val="2"/>
        <scheme val="minor"/>
      </rPr>
      <t xml:space="preserve"> was higher in the </t>
    </r>
    <r>
      <rPr>
        <b/>
        <sz val="11"/>
        <color theme="1"/>
        <rFont val="Calibri"/>
        <family val="2"/>
        <scheme val="minor"/>
      </rPr>
      <t>CDDP</t>
    </r>
    <r>
      <rPr>
        <sz val="11"/>
        <color theme="1"/>
        <rFont val="Calibri"/>
        <family val="2"/>
        <scheme val="minor"/>
      </rPr>
      <t xml:space="preserve">-resistant </t>
    </r>
    <r>
      <rPr>
        <b/>
        <sz val="11"/>
        <color theme="1"/>
        <rFont val="Calibri"/>
        <family val="2"/>
        <scheme val="minor"/>
      </rPr>
      <t>osteosarcoma</t>
    </r>
    <r>
      <rPr>
        <sz val="11"/>
        <color theme="1"/>
        <rFont val="Calibri"/>
        <family val="2"/>
        <scheme val="minor"/>
      </rPr>
      <t xml:space="preserve"> tissue samples as compared to the sensitive samples.</t>
    </r>
    <r>
      <rPr>
        <b/>
        <sz val="11"/>
        <color theme="1"/>
        <rFont val="Calibri"/>
        <family val="2"/>
        <scheme val="minor"/>
      </rPr>
      <t xml:space="preserve"> 2) </t>
    </r>
    <r>
      <rPr>
        <sz val="11"/>
        <color theme="1"/>
        <rFont val="Calibri"/>
        <family val="2"/>
        <scheme val="minor"/>
      </rPr>
      <t xml:space="preserve">treatment of </t>
    </r>
    <r>
      <rPr>
        <b/>
        <sz val="11"/>
        <color theme="1"/>
        <rFont val="Calibri"/>
        <family val="2"/>
        <scheme val="minor"/>
      </rPr>
      <t>osteosarcoma</t>
    </r>
    <r>
      <rPr>
        <sz val="11"/>
        <color theme="1"/>
        <rFont val="Calibri"/>
        <family val="2"/>
        <scheme val="minor"/>
      </rPr>
      <t xml:space="preserve"> Saos-2 cells with </t>
    </r>
    <r>
      <rPr>
        <b/>
        <sz val="11"/>
        <color theme="1"/>
        <rFont val="Calibri"/>
        <family val="2"/>
        <scheme val="minor"/>
      </rPr>
      <t>IL-6</t>
    </r>
    <r>
      <rPr>
        <sz val="11"/>
        <color theme="1"/>
        <rFont val="Calibri"/>
        <family val="2"/>
        <scheme val="minor"/>
      </rPr>
      <t xml:space="preserve"> inhibited </t>
    </r>
    <r>
      <rPr>
        <b/>
        <sz val="11"/>
        <color theme="1"/>
        <rFont val="Calibri"/>
        <family val="2"/>
        <scheme val="minor"/>
      </rPr>
      <t>cisplatin</t>
    </r>
    <r>
      <rPr>
        <sz val="11"/>
        <color theme="1"/>
        <rFont val="Calibri"/>
        <family val="2"/>
        <scheme val="minor"/>
      </rPr>
      <t xml:space="preserve">-induced apoptosis. </t>
    </r>
    <r>
      <rPr>
        <b/>
        <sz val="11"/>
        <color theme="1"/>
        <rFont val="Calibri"/>
        <family val="2"/>
        <scheme val="minor"/>
      </rPr>
      <t>3)</t>
    </r>
    <r>
      <rPr>
        <sz val="11"/>
        <color theme="1"/>
        <rFont val="Calibri"/>
        <family val="2"/>
        <scheme val="minor"/>
      </rPr>
      <t xml:space="preserve"> lockade of </t>
    </r>
    <r>
      <rPr>
        <b/>
        <sz val="11"/>
        <color theme="1"/>
        <rFont val="Calibri"/>
        <family val="2"/>
        <scheme val="minor"/>
      </rPr>
      <t>IL-6</t>
    </r>
    <r>
      <rPr>
        <sz val="11"/>
        <color theme="1"/>
        <rFont val="Calibri"/>
        <family val="2"/>
        <scheme val="minor"/>
      </rPr>
      <t xml:space="preserve"> in mesenchymal stem cells (MSCs) conditioned medium via specific neutralizing antibodies attenuated the protective effect of MSCs on Saos-2 tumor cells against </t>
    </r>
    <r>
      <rPr>
        <b/>
        <sz val="11"/>
        <color theme="1"/>
        <rFont val="Calibri"/>
        <family val="2"/>
        <scheme val="minor"/>
      </rPr>
      <t>cisplatin</t>
    </r>
    <r>
      <rPr>
        <sz val="11"/>
        <color theme="1"/>
        <rFont val="Calibri"/>
        <family val="2"/>
        <scheme val="minor"/>
      </rPr>
      <t xml:space="preserve">. </t>
    </r>
    <r>
      <rPr>
        <b/>
        <sz val="11"/>
        <color theme="1"/>
        <rFont val="Calibri"/>
        <family val="2"/>
        <scheme val="minor"/>
      </rPr>
      <t>4)</t>
    </r>
    <r>
      <rPr>
        <sz val="11"/>
        <color theme="1"/>
        <rFont val="Calibri"/>
        <family val="2"/>
        <scheme val="minor"/>
      </rPr>
      <t xml:space="preserve"> Analyzing tumorous mRNA expression data from 399 </t>
    </r>
    <r>
      <rPr>
        <b/>
        <sz val="11"/>
        <color theme="1"/>
        <rFont val="Calibri"/>
        <family val="2"/>
        <scheme val="minor"/>
      </rPr>
      <t>HNSCC</t>
    </r>
    <r>
      <rPr>
        <sz val="11"/>
        <color theme="1"/>
        <rFont val="Calibri"/>
        <family val="2"/>
        <scheme val="minor"/>
      </rPr>
      <t xml:space="preserve"> patients revealed that high</t>
    </r>
    <r>
      <rPr>
        <b/>
        <sz val="11"/>
        <color theme="1"/>
        <rFont val="Calibri"/>
        <family val="2"/>
        <scheme val="minor"/>
      </rPr>
      <t xml:space="preserve"> IL-6</t>
    </r>
    <r>
      <rPr>
        <sz val="11"/>
        <color theme="1"/>
        <rFont val="Calibri"/>
        <family val="2"/>
        <scheme val="minor"/>
      </rPr>
      <t xml:space="preserve"> expression predicted poor prognosis. Similar tendency was observed in </t>
    </r>
    <r>
      <rPr>
        <b/>
        <sz val="11"/>
        <color theme="1"/>
        <rFont val="Calibri"/>
        <family val="2"/>
        <scheme val="minor"/>
      </rPr>
      <t>platinum</t>
    </r>
    <r>
      <rPr>
        <sz val="11"/>
        <color theme="1"/>
        <rFont val="Calibri"/>
        <family val="2"/>
        <scheme val="minor"/>
      </rPr>
      <t xml:space="preserve"> treated patients. </t>
    </r>
    <r>
      <rPr>
        <b/>
        <sz val="11"/>
        <color theme="1"/>
        <rFont val="Calibri"/>
        <family val="2"/>
        <scheme val="minor"/>
      </rPr>
      <t>5)</t>
    </r>
    <r>
      <rPr>
        <sz val="11"/>
        <color theme="1"/>
        <rFont val="Calibri"/>
        <family val="2"/>
        <scheme val="minor"/>
      </rPr>
      <t xml:space="preserve"> knockdown of </t>
    </r>
    <r>
      <rPr>
        <b/>
        <sz val="11"/>
        <color theme="1"/>
        <rFont val="Calibri"/>
        <family val="2"/>
        <scheme val="minor"/>
      </rPr>
      <t>IL-6</t>
    </r>
    <r>
      <rPr>
        <sz val="11"/>
        <color theme="1"/>
        <rFont val="Calibri"/>
        <family val="2"/>
        <scheme val="minor"/>
      </rPr>
      <t xml:space="preserve"> in human </t>
    </r>
    <r>
      <rPr>
        <b/>
        <sz val="11"/>
        <color theme="1"/>
        <rFont val="Calibri"/>
        <family val="2"/>
        <scheme val="minor"/>
      </rPr>
      <t>NSCLC</t>
    </r>
    <r>
      <rPr>
        <sz val="11"/>
        <color theme="1"/>
        <rFont val="Calibri"/>
        <family val="2"/>
        <scheme val="minor"/>
      </rPr>
      <t xml:space="preserve"> cells (A549IL-6si and H157IL-6si) enhanced cisplatin cytotoxicity as compared to their parents (A549IL-6sc and H157IL-6sc). </t>
    </r>
    <r>
      <rPr>
        <b/>
        <sz val="11"/>
        <color theme="1"/>
        <rFont val="Calibri"/>
        <family val="2"/>
        <scheme val="minor"/>
      </rPr>
      <t xml:space="preserve">6) </t>
    </r>
    <r>
      <rPr>
        <sz val="11"/>
        <color theme="1"/>
        <rFont val="Calibri"/>
        <family val="2"/>
        <scheme val="minor"/>
      </rPr>
      <t xml:space="preserve">Subcutaneous xenograft mouse models were developed using a pair of A549sc and A549IL-6si cells: Higher tumor regression was detected in the A549IL-6si xenografts compared to A549sc xenografts following </t>
    </r>
    <r>
      <rPr>
        <b/>
        <sz val="11"/>
        <color theme="1"/>
        <rFont val="Calibri"/>
        <family val="2"/>
        <scheme val="minor"/>
      </rPr>
      <t>cisplatin</t>
    </r>
    <r>
      <rPr>
        <sz val="11"/>
        <color theme="1"/>
        <rFont val="Calibri"/>
        <family val="2"/>
        <scheme val="minor"/>
      </rPr>
      <t xml:space="preserve"> treatment. </t>
    </r>
    <r>
      <rPr>
        <b/>
        <sz val="11"/>
        <color theme="1"/>
        <rFont val="Calibri"/>
        <family val="2"/>
        <scheme val="minor"/>
      </rPr>
      <t>7)</t>
    </r>
    <r>
      <rPr>
        <sz val="11"/>
        <color theme="1"/>
        <rFont val="Calibri"/>
        <family val="2"/>
        <scheme val="minor"/>
      </rPr>
      <t xml:space="preserve"> Expression of anti-apoptotic proteins </t>
    </r>
    <r>
      <rPr>
        <b/>
        <sz val="11"/>
        <color theme="1"/>
        <rFont val="Calibri"/>
        <family val="2"/>
        <scheme val="minor"/>
      </rPr>
      <t>Bcl-2</t>
    </r>
    <r>
      <rPr>
        <sz val="11"/>
        <color theme="1"/>
        <rFont val="Calibri"/>
        <family val="2"/>
        <scheme val="minor"/>
      </rPr>
      <t xml:space="preserve"> and </t>
    </r>
    <r>
      <rPr>
        <b/>
        <sz val="11"/>
        <color theme="1"/>
        <rFont val="Calibri"/>
        <family val="2"/>
        <scheme val="minor"/>
      </rPr>
      <t>Mcl-1</t>
    </r>
    <r>
      <rPr>
        <sz val="11"/>
        <color theme="1"/>
        <rFont val="Calibri"/>
        <family val="2"/>
        <scheme val="minor"/>
      </rPr>
      <t xml:space="preserve"> and DNA repair associated molecules </t>
    </r>
    <r>
      <rPr>
        <b/>
        <sz val="11"/>
        <color theme="1"/>
        <rFont val="Calibri"/>
        <family val="2"/>
        <scheme val="minor"/>
      </rPr>
      <t>ATM, CHK1, TP73, p53</t>
    </r>
    <r>
      <rPr>
        <sz val="11"/>
        <color theme="1"/>
        <rFont val="Calibri"/>
        <family val="2"/>
        <scheme val="minor"/>
      </rPr>
      <t xml:space="preserve">, and </t>
    </r>
    <r>
      <rPr>
        <b/>
        <sz val="11"/>
        <color theme="1"/>
        <rFont val="Calibri"/>
        <family val="2"/>
        <scheme val="minor"/>
      </rPr>
      <t>ERCC1</t>
    </r>
    <r>
      <rPr>
        <sz val="11"/>
        <color theme="1"/>
        <rFont val="Calibri"/>
        <family val="2"/>
        <scheme val="minor"/>
      </rPr>
      <t xml:space="preserve"> were significantly up regulated in cisplatin-treated A549sc and H157sc cells, but no increase was detected in A549IL-6si and H157IL-6si cells. </t>
    </r>
    <r>
      <rPr>
        <b/>
        <sz val="11"/>
        <color theme="1"/>
        <rFont val="Calibri"/>
        <family val="2"/>
        <scheme val="minor"/>
      </rPr>
      <t>8)</t>
    </r>
    <r>
      <rPr>
        <sz val="11"/>
        <color theme="1"/>
        <rFont val="Calibri"/>
        <family val="2"/>
        <scheme val="minor"/>
      </rPr>
      <t xml:space="preserve"> up regulation of these molecules by </t>
    </r>
    <r>
      <rPr>
        <b/>
        <sz val="11"/>
        <color theme="1"/>
        <rFont val="Calibri"/>
        <family val="2"/>
        <scheme val="minor"/>
      </rPr>
      <t>IL-6</t>
    </r>
    <r>
      <rPr>
        <sz val="11"/>
        <color theme="1"/>
        <rFont val="Calibri"/>
        <family val="2"/>
        <scheme val="minor"/>
      </rPr>
      <t xml:space="preserve"> may be through activation of IL-6 downstream signaling pathways like </t>
    </r>
    <r>
      <rPr>
        <b/>
        <sz val="11"/>
        <color theme="1"/>
        <rFont val="Calibri"/>
        <family val="2"/>
        <scheme val="minor"/>
      </rPr>
      <t>Akt, MAPK, Stat3</t>
    </r>
    <r>
      <rPr>
        <sz val="11"/>
        <color theme="1"/>
        <rFont val="Calibri"/>
        <family val="2"/>
        <scheme val="minor"/>
      </rPr>
      <t xml:space="preserve">, and </t>
    </r>
    <r>
      <rPr>
        <b/>
        <sz val="11"/>
        <color theme="1"/>
        <rFont val="Calibri"/>
        <family val="2"/>
        <scheme val="minor"/>
      </rPr>
      <t>Erk</t>
    </r>
    <r>
      <rPr>
        <sz val="11"/>
        <color theme="1"/>
        <rFont val="Calibri"/>
        <family val="2"/>
        <scheme val="minor"/>
      </rPr>
      <t xml:space="preserve">. </t>
    </r>
  </si>
  <si>
    <r>
      <rPr>
        <b/>
        <sz val="11"/>
        <color theme="1"/>
        <rFont val="Calibri"/>
        <family val="2"/>
        <scheme val="minor"/>
      </rPr>
      <t xml:space="preserve">1) </t>
    </r>
    <r>
      <rPr>
        <sz val="11"/>
        <color theme="1"/>
        <rFont val="Calibri"/>
        <family val="2"/>
        <scheme val="minor"/>
      </rPr>
      <t>interleukin-6 (</t>
    </r>
    <r>
      <rPr>
        <b/>
        <sz val="11"/>
        <color theme="1"/>
        <rFont val="Calibri"/>
        <family val="2"/>
        <scheme val="minor"/>
      </rPr>
      <t>IL-6</t>
    </r>
    <r>
      <rPr>
        <sz val="11"/>
        <color theme="1"/>
        <rFont val="Calibri"/>
        <family val="2"/>
        <scheme val="minor"/>
      </rPr>
      <t xml:space="preserve">) activates oncogenic STAT3, which directly repressed miR-204 via a conserved STAT3-binding site near the TRPM3 promoter region upstream of miR-204. </t>
    </r>
    <r>
      <rPr>
        <b/>
        <sz val="11"/>
        <color theme="1"/>
        <rFont val="Calibri"/>
        <family val="2"/>
        <scheme val="minor"/>
      </rPr>
      <t xml:space="preserve">2) </t>
    </r>
    <r>
      <rPr>
        <sz val="11"/>
        <color theme="1"/>
        <rFont val="Calibri"/>
        <family val="2"/>
        <scheme val="minor"/>
      </rPr>
      <t xml:space="preserve">Repression of miR-204 was required for IL-6-induced cisplatin (cDDP) resistance in epithelial ovarian cancer (EOC) cells. </t>
    </r>
    <r>
      <rPr>
        <b/>
        <sz val="11"/>
        <color theme="1"/>
        <rFont val="Calibri"/>
        <family val="2"/>
        <scheme val="minor"/>
      </rPr>
      <t>3) Conversely,</t>
    </r>
    <r>
      <rPr>
        <sz val="11"/>
        <color theme="1"/>
        <rFont val="Calibri"/>
        <family val="2"/>
        <scheme val="minor"/>
      </rPr>
      <t xml:space="preserve"> IL-6 receptor (IL-6R) is a direct miR-204 target. </t>
    </r>
    <r>
      <rPr>
        <b/>
        <sz val="11"/>
        <color theme="1"/>
        <rFont val="Calibri"/>
        <family val="2"/>
        <scheme val="minor"/>
      </rPr>
      <t>4)</t>
    </r>
    <r>
      <rPr>
        <sz val="11"/>
        <color theme="1"/>
        <rFont val="Calibri"/>
        <family val="2"/>
        <scheme val="minor"/>
      </rPr>
      <t xml:space="preserve"> the resulting IL-6R/STAT3/miR-204 feedback loop was identified in patients with </t>
    </r>
    <r>
      <rPr>
        <b/>
        <sz val="11"/>
        <color theme="1"/>
        <rFont val="Calibri"/>
        <family val="2"/>
        <scheme val="minor"/>
      </rPr>
      <t>EOC</t>
    </r>
    <r>
      <rPr>
        <sz val="11"/>
        <color theme="1"/>
        <rFont val="Calibri"/>
        <family val="2"/>
        <scheme val="minor"/>
      </rPr>
      <t xml:space="preserve">, and its activity correlated with chemosensitivity. </t>
    </r>
    <r>
      <rPr>
        <b/>
        <sz val="11"/>
        <color theme="1"/>
        <rFont val="Calibri"/>
        <family val="2"/>
        <scheme val="minor"/>
      </rPr>
      <t>5)</t>
    </r>
    <r>
      <rPr>
        <sz val="11"/>
        <color theme="1"/>
        <rFont val="Calibri"/>
        <family val="2"/>
        <scheme val="minor"/>
      </rPr>
      <t xml:space="preserve"> exogenous miR-204 blocked this circuit and enhanced </t>
    </r>
    <r>
      <rPr>
        <b/>
        <sz val="11"/>
        <color theme="1"/>
        <rFont val="Calibri"/>
        <family val="2"/>
        <scheme val="minor"/>
      </rPr>
      <t>cDDP</t>
    </r>
    <r>
      <rPr>
        <sz val="11"/>
        <color theme="1"/>
        <rFont val="Calibri"/>
        <family val="2"/>
        <scheme val="minor"/>
      </rPr>
      <t xml:space="preserve"> sensitivity both in vitro and in vivo by inactivating IL-6R/STAT3 signaling and subsequently decreasing the expression of anti-apoptotic proteins. </t>
    </r>
  </si>
  <si>
    <r>
      <rPr>
        <b/>
        <sz val="11"/>
        <color theme="1"/>
        <rFont val="Calibri"/>
        <family val="2"/>
        <scheme val="minor"/>
      </rPr>
      <t>1) glioma</t>
    </r>
    <r>
      <rPr>
        <sz val="11"/>
        <color theme="1"/>
        <rFont val="Calibri"/>
        <family val="2"/>
        <scheme val="minor"/>
      </rPr>
      <t xml:space="preserve"> U251/CP2 cells gained two to three copies of C8orf70 and </t>
    </r>
    <r>
      <rPr>
        <b/>
        <sz val="11"/>
        <color theme="1"/>
        <rFont val="Calibri"/>
        <family val="2"/>
        <scheme val="minor"/>
      </rPr>
      <t>IL-7</t>
    </r>
    <r>
      <rPr>
        <sz val="11"/>
        <color theme="1"/>
        <rFont val="Calibri"/>
        <family val="2"/>
        <scheme val="minor"/>
      </rPr>
      <t xml:space="preserve"> genes. </t>
    </r>
    <r>
      <rPr>
        <b/>
        <sz val="11"/>
        <color theme="1"/>
        <rFont val="Calibri"/>
        <family val="2"/>
        <scheme val="minor"/>
      </rPr>
      <t>2)</t>
    </r>
    <r>
      <rPr>
        <sz val="11"/>
        <color theme="1"/>
        <rFont val="Calibri"/>
        <family val="2"/>
        <scheme val="minor"/>
      </rPr>
      <t xml:space="preserve"> IL-7 mRNA expression was studied in 12 glioma cell lines, and expression was positively correlated with the IC 50 of </t>
    </r>
    <r>
      <rPr>
        <b/>
        <sz val="11"/>
        <color theme="1"/>
        <rFont val="Calibri"/>
        <family val="2"/>
        <scheme val="minor"/>
      </rPr>
      <t>cisplatin</t>
    </r>
    <r>
      <rPr>
        <sz val="11"/>
        <color theme="1"/>
        <rFont val="Calibri"/>
        <family val="2"/>
        <scheme val="minor"/>
      </rPr>
      <t xml:space="preserve">. </t>
    </r>
    <r>
      <rPr>
        <b/>
        <sz val="11"/>
        <color theme="1"/>
        <rFont val="Calibri"/>
        <family val="2"/>
        <scheme val="minor"/>
      </rPr>
      <t>3) IL-7</t>
    </r>
    <r>
      <rPr>
        <sz val="11"/>
        <color theme="1"/>
        <rFont val="Calibri"/>
        <family val="2"/>
        <scheme val="minor"/>
      </rPr>
      <t xml:space="preserve"> mRNA expression was also positively correlated with the IC 50 of </t>
    </r>
    <r>
      <rPr>
        <b/>
        <sz val="11"/>
        <color theme="1"/>
        <rFont val="Calibri"/>
        <family val="2"/>
        <scheme val="minor"/>
      </rPr>
      <t>cisplatin</t>
    </r>
    <r>
      <rPr>
        <sz val="11"/>
        <color theme="1"/>
        <rFont val="Calibri"/>
        <family val="2"/>
        <scheme val="minor"/>
      </rPr>
      <t xml:space="preserve"> in 91 clinical glioma specimens. </t>
    </r>
    <r>
      <rPr>
        <b/>
        <sz val="11"/>
        <color theme="1"/>
        <rFont val="Calibri"/>
        <family val="2"/>
        <scheme val="minor"/>
      </rPr>
      <t xml:space="preserve">4) </t>
    </r>
    <r>
      <rPr>
        <sz val="11"/>
        <color theme="1"/>
        <rFont val="Calibri"/>
        <family val="2"/>
        <scheme val="minor"/>
      </rPr>
      <t>treatment with recombinant human</t>
    </r>
    <r>
      <rPr>
        <b/>
        <sz val="11"/>
        <color theme="1"/>
        <rFont val="Calibri"/>
        <family val="2"/>
        <scheme val="minor"/>
      </rPr>
      <t xml:space="preserve"> IL-7</t>
    </r>
    <r>
      <rPr>
        <sz val="11"/>
        <color theme="1"/>
        <rFont val="Calibri"/>
        <family val="2"/>
        <scheme val="minor"/>
      </rPr>
      <t xml:space="preserve"> (rhIL-7) enhanced </t>
    </r>
    <r>
      <rPr>
        <b/>
        <sz val="11"/>
        <color theme="1"/>
        <rFont val="Calibri"/>
        <family val="2"/>
        <scheme val="minor"/>
      </rPr>
      <t>cisplatin</t>
    </r>
    <r>
      <rPr>
        <sz val="11"/>
        <color theme="1"/>
        <rFont val="Calibri"/>
        <family val="2"/>
        <scheme val="minor"/>
      </rPr>
      <t xml:space="preserve"> resistance and increased the relative growth rate of the </t>
    </r>
    <r>
      <rPr>
        <b/>
        <sz val="11"/>
        <color theme="1"/>
        <rFont val="Calibri"/>
        <family val="2"/>
        <scheme val="minor"/>
      </rPr>
      <t>glioma</t>
    </r>
    <r>
      <rPr>
        <sz val="11"/>
        <color theme="1"/>
        <rFont val="Calibri"/>
        <family val="2"/>
        <scheme val="minor"/>
      </rPr>
      <t xml:space="preserve"> cells. </t>
    </r>
    <r>
      <rPr>
        <b/>
        <sz val="11"/>
        <color theme="1"/>
        <rFont val="Calibri"/>
        <family val="2"/>
        <scheme val="minor"/>
      </rPr>
      <t>5)</t>
    </r>
    <r>
      <rPr>
        <sz val="11"/>
        <color theme="1"/>
        <rFont val="Calibri"/>
        <family val="2"/>
        <scheme val="minor"/>
      </rPr>
      <t xml:space="preserve"> the apoptosis induced by </t>
    </r>
    <r>
      <rPr>
        <b/>
        <sz val="11"/>
        <color theme="1"/>
        <rFont val="Calibri"/>
        <family val="2"/>
        <scheme val="minor"/>
      </rPr>
      <t>cisplatin</t>
    </r>
    <r>
      <rPr>
        <sz val="11"/>
        <color theme="1"/>
        <rFont val="Calibri"/>
        <family val="2"/>
        <scheme val="minor"/>
      </rPr>
      <t xml:space="preserve"> could be inhibited by</t>
    </r>
    <r>
      <rPr>
        <b/>
        <sz val="11"/>
        <color theme="1"/>
        <rFont val="Calibri"/>
        <family val="2"/>
        <scheme val="minor"/>
      </rPr>
      <t xml:space="preserve"> IL-7</t>
    </r>
    <r>
      <rPr>
        <sz val="11"/>
        <color theme="1"/>
        <rFont val="Calibri"/>
        <family val="2"/>
        <scheme val="minor"/>
      </rPr>
      <t xml:space="preserve">. </t>
    </r>
    <r>
      <rPr>
        <b/>
        <sz val="11"/>
        <color theme="1"/>
        <rFont val="Calibri"/>
        <family val="2"/>
        <scheme val="minor"/>
      </rPr>
      <t>5) IL-7R</t>
    </r>
    <r>
      <rPr>
        <sz val="11"/>
        <color theme="1"/>
        <rFont val="Calibri"/>
        <family val="2"/>
        <scheme val="minor"/>
      </rPr>
      <t xml:space="preserve"> was increased in A549/DDP cells compared with A549 cells. The block of IL-7R reversed the inhibitory effects of </t>
    </r>
    <r>
      <rPr>
        <b/>
        <sz val="11"/>
        <color theme="1"/>
        <rFont val="Calibri"/>
        <family val="2"/>
        <scheme val="minor"/>
      </rPr>
      <t>IL-7</t>
    </r>
    <r>
      <rPr>
        <sz val="11"/>
        <color theme="1"/>
        <rFont val="Calibri"/>
        <family val="2"/>
        <scheme val="minor"/>
      </rPr>
      <t xml:space="preserve"> combined with </t>
    </r>
    <r>
      <rPr>
        <b/>
        <sz val="11"/>
        <color theme="1"/>
        <rFont val="Calibri"/>
        <family val="2"/>
        <scheme val="minor"/>
      </rPr>
      <t>cisplatin</t>
    </r>
    <r>
      <rPr>
        <sz val="11"/>
        <color theme="1"/>
        <rFont val="Calibri"/>
        <family val="2"/>
        <scheme val="minor"/>
      </rPr>
      <t xml:space="preserve"> and decreased the numbers of apoptosis cells induced by treatment of </t>
    </r>
    <r>
      <rPr>
        <b/>
        <sz val="11"/>
        <color theme="1"/>
        <rFont val="Calibri"/>
        <family val="2"/>
        <scheme val="minor"/>
      </rPr>
      <t>IL-7</t>
    </r>
    <r>
      <rPr>
        <sz val="11"/>
        <color theme="1"/>
        <rFont val="Calibri"/>
        <family val="2"/>
        <scheme val="minor"/>
      </rPr>
      <t xml:space="preserve"> combined with </t>
    </r>
    <r>
      <rPr>
        <b/>
        <sz val="11"/>
        <color theme="1"/>
        <rFont val="Calibri"/>
        <family val="2"/>
        <scheme val="minor"/>
      </rPr>
      <t>cisplatin</t>
    </r>
    <r>
      <rPr>
        <sz val="11"/>
        <color theme="1"/>
        <rFont val="Calibri"/>
        <family val="2"/>
        <scheme val="minor"/>
      </rPr>
      <t>.</t>
    </r>
    <r>
      <rPr>
        <b/>
        <sz val="11"/>
        <color theme="1"/>
        <rFont val="Calibri"/>
        <family val="2"/>
        <scheme val="minor"/>
      </rPr>
      <t xml:space="preserve"> 6) JAK3/STAT5</t>
    </r>
    <r>
      <rPr>
        <sz val="11"/>
        <color theme="1"/>
        <rFont val="Calibri"/>
        <family val="2"/>
        <scheme val="minor"/>
      </rPr>
      <t xml:space="preserve"> pathway was involved in enhancing role of</t>
    </r>
    <r>
      <rPr>
        <b/>
        <sz val="11"/>
        <color theme="1"/>
        <rFont val="Calibri"/>
        <family val="2"/>
        <scheme val="minor"/>
      </rPr>
      <t xml:space="preserve"> cisplatin</t>
    </r>
    <r>
      <rPr>
        <sz val="11"/>
        <color theme="1"/>
        <rFont val="Calibri"/>
        <family val="2"/>
        <scheme val="minor"/>
      </rPr>
      <t xml:space="preserve"> sensitivity of NSCLC cells by</t>
    </r>
    <r>
      <rPr>
        <b/>
        <sz val="11"/>
        <color theme="1"/>
        <rFont val="Calibri"/>
        <family val="2"/>
        <scheme val="minor"/>
      </rPr>
      <t xml:space="preserve"> IL-7</t>
    </r>
    <r>
      <rPr>
        <sz val="11"/>
        <color theme="1"/>
        <rFont val="Calibri"/>
        <family val="2"/>
        <scheme val="minor"/>
      </rPr>
      <t xml:space="preserve">. </t>
    </r>
    <r>
      <rPr>
        <b/>
        <sz val="11"/>
        <color theme="1"/>
        <rFont val="Calibri"/>
        <family val="2"/>
        <scheme val="minor"/>
      </rPr>
      <t>7)</t>
    </r>
    <r>
      <rPr>
        <sz val="11"/>
        <color theme="1"/>
        <rFont val="Calibri"/>
        <family val="2"/>
        <scheme val="minor"/>
      </rPr>
      <t xml:space="preserve"> In vivo, </t>
    </r>
    <r>
      <rPr>
        <b/>
        <sz val="11"/>
        <color theme="1"/>
        <rFont val="Calibri"/>
        <family val="2"/>
        <scheme val="minor"/>
      </rPr>
      <t>cisplatin</t>
    </r>
    <r>
      <rPr>
        <sz val="11"/>
        <color theme="1"/>
        <rFont val="Calibri"/>
        <family val="2"/>
        <scheme val="minor"/>
      </rPr>
      <t xml:space="preserve"> significantly inhibited tumour growth and </t>
    </r>
    <r>
      <rPr>
        <b/>
        <sz val="11"/>
        <color theme="1"/>
        <rFont val="Calibri"/>
        <family val="2"/>
        <scheme val="minor"/>
      </rPr>
      <t>IL-7</t>
    </r>
    <r>
      <rPr>
        <sz val="11"/>
        <color theme="1"/>
        <rFont val="Calibri"/>
        <family val="2"/>
        <scheme val="minor"/>
      </rPr>
      <t xml:space="preserve"> combined with </t>
    </r>
    <r>
      <rPr>
        <b/>
        <sz val="11"/>
        <color theme="1"/>
        <rFont val="Calibri"/>
        <family val="2"/>
        <scheme val="minor"/>
      </rPr>
      <t>cisplatin</t>
    </r>
    <r>
      <rPr>
        <sz val="11"/>
        <color theme="1"/>
        <rFont val="Calibri"/>
        <family val="2"/>
        <scheme val="minor"/>
      </rPr>
      <t xml:space="preserve"> achieved the best therapeutic effect.</t>
    </r>
  </si>
  <si>
    <r>
      <rPr>
        <b/>
        <sz val="11"/>
        <color theme="1"/>
        <rFont val="Calibri"/>
        <family val="2"/>
        <scheme val="minor"/>
      </rPr>
      <t xml:space="preserve">1) </t>
    </r>
    <r>
      <rPr>
        <sz val="11"/>
        <color theme="1"/>
        <rFont val="Calibri"/>
        <family val="2"/>
        <scheme val="minor"/>
      </rPr>
      <t xml:space="preserve">combined treatment with lentivirus-mediated </t>
    </r>
    <r>
      <rPr>
        <b/>
        <sz val="11"/>
        <color theme="1"/>
        <rFont val="Calibri"/>
        <family val="2"/>
        <scheme val="minor"/>
      </rPr>
      <t>ILK</t>
    </r>
    <r>
      <rPr>
        <sz val="11"/>
        <color theme="1"/>
        <rFont val="Calibri"/>
        <family val="2"/>
        <scheme val="minor"/>
      </rPr>
      <t xml:space="preserve"> interference and </t>
    </r>
    <r>
      <rPr>
        <b/>
        <sz val="11"/>
        <color theme="1"/>
        <rFont val="Calibri"/>
        <family val="2"/>
        <scheme val="minor"/>
      </rPr>
      <t>cisplatin</t>
    </r>
    <r>
      <rPr>
        <sz val="11"/>
        <color theme="1"/>
        <rFont val="Calibri"/>
        <family val="2"/>
        <scheme val="minor"/>
      </rPr>
      <t> chemotherapy induced significantly more cell apoptosis than mono-chemotherapy or knockdown. </t>
    </r>
    <r>
      <rPr>
        <b/>
        <sz val="11"/>
        <color theme="1"/>
        <rFont val="Calibri"/>
        <family val="2"/>
        <scheme val="minor"/>
      </rPr>
      <t xml:space="preserve">2) </t>
    </r>
    <r>
      <rPr>
        <sz val="11"/>
        <color theme="1"/>
        <rFont val="Calibri"/>
        <family val="2"/>
        <scheme val="minor"/>
      </rPr>
      <t xml:space="preserve">The increased cell apoptosis and proliferation inhibition were attributed to abnormal downstream protein expression of ILK, including phospho-glycogen synthase kinase 3β, p-AKT, activator protein-1, β-catenin, cyclin D1 and matrix metalloproteinase-9. ILK inhibition may suppress the proliferation of </t>
    </r>
    <r>
      <rPr>
        <b/>
        <sz val="11"/>
        <color theme="1"/>
        <rFont val="Calibri"/>
        <family val="2"/>
        <scheme val="minor"/>
      </rPr>
      <t>lung</t>
    </r>
    <r>
      <rPr>
        <sz val="11"/>
        <color theme="1"/>
        <rFont val="Calibri"/>
        <family val="2"/>
        <scheme val="minor"/>
      </rPr>
      <t xml:space="preserve"> cancer cell A549 and increase A549 sensitivity to cisplatin. </t>
    </r>
  </si>
  <si>
    <r>
      <rPr>
        <b/>
        <sz val="11"/>
        <color theme="1"/>
        <rFont val="Calibri"/>
        <family val="2"/>
        <scheme val="minor"/>
      </rPr>
      <t xml:space="preserve">1) </t>
    </r>
    <r>
      <rPr>
        <sz val="11"/>
        <color theme="1"/>
        <rFont val="Calibri"/>
        <family val="2"/>
        <scheme val="minor"/>
      </rPr>
      <t xml:space="preserve">The treatment of </t>
    </r>
    <r>
      <rPr>
        <b/>
        <sz val="11"/>
        <color theme="1"/>
        <rFont val="Calibri"/>
        <family val="2"/>
        <scheme val="minor"/>
      </rPr>
      <t>ovarian</t>
    </r>
    <r>
      <rPr>
        <sz val="11"/>
        <color theme="1"/>
        <rFont val="Calibri"/>
        <family val="2"/>
        <scheme val="minor"/>
      </rPr>
      <t xml:space="preserve"> cancer cells with CDDP boosted the expression of IRF-1. </t>
    </r>
    <r>
      <rPr>
        <b/>
        <sz val="11"/>
        <color theme="1"/>
        <rFont val="Calibri"/>
        <family val="2"/>
        <scheme val="minor"/>
      </rPr>
      <t xml:space="preserve">2) </t>
    </r>
    <r>
      <rPr>
        <sz val="11"/>
        <color theme="1"/>
        <rFont val="Calibri"/>
        <family val="2"/>
        <scheme val="minor"/>
      </rPr>
      <t xml:space="preserve">overexpressing IRF-1 suppressed the transformed phenotype of ovarian cancer cells and  associated with p21 induction irrespective of p53 proficiency. </t>
    </r>
    <r>
      <rPr>
        <b/>
        <sz val="11"/>
        <color theme="1"/>
        <rFont val="Calibri"/>
        <family val="2"/>
        <scheme val="minor"/>
      </rPr>
      <t>3)</t>
    </r>
    <r>
      <rPr>
        <sz val="11"/>
        <color theme="1"/>
        <rFont val="Calibri"/>
        <family val="2"/>
        <scheme val="minor"/>
      </rPr>
      <t xml:space="preserve"> IRF-1 silencing sensitized cells to the apoptotic death induced by </t>
    </r>
    <r>
      <rPr>
        <b/>
        <sz val="11"/>
        <color theme="1"/>
        <rFont val="Calibri"/>
        <family val="2"/>
        <scheme val="minor"/>
      </rPr>
      <t>CDDP</t>
    </r>
    <r>
      <rPr>
        <sz val="11"/>
        <color theme="1"/>
        <rFont val="Calibri"/>
        <family val="2"/>
        <scheme val="minor"/>
      </rPr>
      <t xml:space="preserve"> and reduced the induction of p21 by CDDP. </t>
    </r>
    <r>
      <rPr>
        <b/>
        <sz val="11"/>
        <color theme="1"/>
        <rFont val="Calibri"/>
        <family val="2"/>
        <scheme val="minor"/>
      </rPr>
      <t xml:space="preserve">4) </t>
    </r>
    <r>
      <rPr>
        <sz val="11"/>
        <color theme="1"/>
        <rFont val="Calibri"/>
        <family val="2"/>
        <scheme val="minor"/>
      </rPr>
      <t xml:space="preserve">After </t>
    </r>
    <r>
      <rPr>
        <b/>
        <sz val="11"/>
        <color theme="1"/>
        <rFont val="Calibri"/>
        <family val="2"/>
        <scheme val="minor"/>
      </rPr>
      <t xml:space="preserve">patinum </t>
    </r>
    <r>
      <rPr>
        <sz val="11"/>
        <color theme="1"/>
        <rFont val="Calibri"/>
        <family val="2"/>
        <scheme val="minor"/>
      </rPr>
      <t xml:space="preserve">drug treatment, HGSOC patients with low IRF1 had a 61% [95% CI: 42%–80%] probability of recurrence within the same 12-month time period. Patients in the high IRF1 group had only a 12.5% [95% CI: 2%–61%] probability of recurrence within the first 12 months following surgery. 5) IRF-1 reverses platinum resistance by downregulating the expression of P-glycoprotein in </t>
    </r>
    <r>
      <rPr>
        <b/>
        <sz val="11"/>
        <color theme="1"/>
        <rFont val="Calibri"/>
        <family val="2"/>
        <scheme val="minor"/>
      </rPr>
      <t>gastric</t>
    </r>
    <r>
      <rPr>
        <sz val="11"/>
        <color theme="1"/>
        <rFont val="Calibri"/>
        <family val="2"/>
        <scheme val="minor"/>
      </rPr>
      <t xml:space="preserve"> cancer. </t>
    </r>
  </si>
  <si>
    <r>
      <rPr>
        <b/>
        <sz val="11"/>
        <color theme="1"/>
        <rFont val="Calibri"/>
        <family val="2"/>
        <scheme val="minor"/>
      </rPr>
      <t xml:space="preserve">1) </t>
    </r>
    <r>
      <rPr>
        <sz val="11"/>
        <color theme="1"/>
        <rFont val="Calibri"/>
        <family val="2"/>
        <scheme val="minor"/>
      </rPr>
      <t xml:space="preserve">the </t>
    </r>
    <r>
      <rPr>
        <b/>
        <sz val="11"/>
        <color theme="1"/>
        <rFont val="Calibri"/>
        <family val="2"/>
        <scheme val="minor"/>
      </rPr>
      <t>integrin α5</t>
    </r>
    <r>
      <rPr>
        <sz val="11"/>
        <color theme="1"/>
        <rFont val="Calibri"/>
        <family val="2"/>
        <scheme val="minor"/>
      </rPr>
      <t xml:space="preserve"> expression is remarkably upregulated in </t>
    </r>
    <r>
      <rPr>
        <b/>
        <sz val="11"/>
        <color theme="1"/>
        <rFont val="Calibri"/>
        <family val="2"/>
        <scheme val="minor"/>
      </rPr>
      <t>cisplatin</t>
    </r>
    <r>
      <rPr>
        <sz val="11"/>
        <color theme="1"/>
        <rFont val="Calibri"/>
        <family val="2"/>
        <scheme val="minor"/>
      </rPr>
      <t xml:space="preserve"> resistant </t>
    </r>
    <r>
      <rPr>
        <b/>
        <sz val="11"/>
        <color theme="1"/>
        <rFont val="Calibri"/>
        <family val="2"/>
        <scheme val="minor"/>
      </rPr>
      <t>esophageal</t>
    </r>
    <r>
      <rPr>
        <sz val="11"/>
        <color theme="1"/>
        <rFont val="Calibri"/>
        <family val="2"/>
        <scheme val="minor"/>
      </rPr>
      <t xml:space="preserve"> squamous cell carcinoma (Res) cells, and inhibition of α5 results in more apoptosis and endows the Res cells resensitize to cisplatin in vitro and in vivo. </t>
    </r>
    <r>
      <rPr>
        <b/>
        <sz val="11"/>
        <color theme="1"/>
        <rFont val="Calibri"/>
        <family val="2"/>
        <scheme val="minor"/>
      </rPr>
      <t xml:space="preserve">2) </t>
    </r>
    <r>
      <rPr>
        <sz val="11"/>
        <color theme="1"/>
        <rFont val="Calibri"/>
        <family val="2"/>
        <scheme val="minor"/>
      </rPr>
      <t xml:space="preserve">the expression of </t>
    </r>
    <r>
      <rPr>
        <b/>
        <sz val="11"/>
        <color theme="1"/>
        <rFont val="Calibri"/>
        <family val="2"/>
        <scheme val="minor"/>
      </rPr>
      <t>BARD1</t>
    </r>
    <r>
      <rPr>
        <sz val="11"/>
        <color theme="1"/>
        <rFont val="Calibri"/>
        <family val="2"/>
        <scheme val="minor"/>
      </rPr>
      <t xml:space="preserve"> is significantly increased in Res cells, and silencing of </t>
    </r>
    <r>
      <rPr>
        <b/>
        <sz val="11"/>
        <color theme="1"/>
        <rFont val="Calibri"/>
        <family val="2"/>
        <scheme val="minor"/>
      </rPr>
      <t>BARD1</t>
    </r>
    <r>
      <rPr>
        <sz val="11"/>
        <color theme="1"/>
        <rFont val="Calibri"/>
        <family val="2"/>
        <scheme val="minor"/>
      </rPr>
      <t xml:space="preserve"> reverse the effects of </t>
    </r>
    <r>
      <rPr>
        <b/>
        <sz val="11"/>
        <color theme="1"/>
        <rFont val="Calibri"/>
        <family val="2"/>
        <scheme val="minor"/>
      </rPr>
      <t>α5</t>
    </r>
    <r>
      <rPr>
        <sz val="11"/>
        <color theme="1"/>
        <rFont val="Calibri"/>
        <family val="2"/>
        <scheme val="minor"/>
      </rPr>
      <t xml:space="preserve"> on </t>
    </r>
    <r>
      <rPr>
        <b/>
        <sz val="11"/>
        <color theme="1"/>
        <rFont val="Calibri"/>
        <family val="2"/>
        <scheme val="minor"/>
      </rPr>
      <t>cisplatin</t>
    </r>
    <r>
      <rPr>
        <sz val="11"/>
        <color theme="1"/>
        <rFont val="Calibri"/>
        <family val="2"/>
        <scheme val="minor"/>
      </rPr>
      <t xml:space="preserve"> resistance. </t>
    </r>
    <r>
      <rPr>
        <b/>
        <sz val="11"/>
        <color theme="1"/>
        <rFont val="Calibri"/>
        <family val="2"/>
        <scheme val="minor"/>
      </rPr>
      <t xml:space="preserve">3) </t>
    </r>
    <r>
      <rPr>
        <sz val="11"/>
        <color theme="1"/>
        <rFont val="Calibri"/>
        <family val="2"/>
        <scheme val="minor"/>
      </rPr>
      <t xml:space="preserve">the </t>
    </r>
    <r>
      <rPr>
        <b/>
        <sz val="11"/>
        <color theme="1"/>
        <rFont val="Calibri"/>
        <family val="2"/>
        <scheme val="minor"/>
      </rPr>
      <t>α5/FAK/PI3K/AKT</t>
    </r>
    <r>
      <rPr>
        <sz val="11"/>
        <color theme="1"/>
        <rFont val="Calibri"/>
        <family val="2"/>
        <scheme val="minor"/>
      </rPr>
      <t xml:space="preserve"> signal axis is activated in Res cells, which mediates the increased expression of </t>
    </r>
    <r>
      <rPr>
        <b/>
        <sz val="11"/>
        <color theme="1"/>
        <rFont val="Calibri"/>
        <family val="2"/>
        <scheme val="minor"/>
      </rPr>
      <t>BARD1</t>
    </r>
    <r>
      <rPr>
        <sz val="11"/>
        <color theme="1"/>
        <rFont val="Calibri"/>
        <family val="2"/>
        <scheme val="minor"/>
      </rPr>
      <t xml:space="preserve">, as well as the </t>
    </r>
    <r>
      <rPr>
        <b/>
        <sz val="11"/>
        <color theme="1"/>
        <rFont val="Calibri"/>
        <family val="2"/>
        <scheme val="minor"/>
      </rPr>
      <t>cisplatin</t>
    </r>
    <r>
      <rPr>
        <sz val="11"/>
        <color theme="1"/>
        <rFont val="Calibri"/>
        <family val="2"/>
        <scheme val="minor"/>
      </rPr>
      <t xml:space="preserve"> resistance and cell survival. </t>
    </r>
    <r>
      <rPr>
        <b/>
        <sz val="11"/>
        <color theme="1"/>
        <rFont val="Calibri"/>
        <family val="2"/>
        <scheme val="minor"/>
      </rPr>
      <t xml:space="preserve">3) </t>
    </r>
    <r>
      <rPr>
        <sz val="11"/>
        <color theme="1"/>
        <rFont val="Calibri"/>
        <family val="2"/>
        <scheme val="minor"/>
      </rPr>
      <t xml:space="preserve">The expression of </t>
    </r>
    <r>
      <rPr>
        <b/>
        <sz val="11"/>
        <color theme="1"/>
        <rFont val="Calibri"/>
        <family val="2"/>
        <scheme val="minor"/>
      </rPr>
      <t>ITGA5</t>
    </r>
    <r>
      <rPr>
        <sz val="11"/>
        <color theme="1"/>
        <rFont val="Calibri"/>
        <family val="2"/>
        <scheme val="minor"/>
      </rPr>
      <t xml:space="preserve"> and ITGA6 in SKOV3/DDP2 and A2780/DDP cells of ovarian cancer was increased as compared to their </t>
    </r>
    <r>
      <rPr>
        <b/>
        <sz val="11"/>
        <color theme="1"/>
        <rFont val="Calibri"/>
        <family val="2"/>
        <scheme val="minor"/>
      </rPr>
      <t>DDP</t>
    </r>
    <r>
      <rPr>
        <sz val="11"/>
        <color theme="1"/>
        <rFont val="Calibri"/>
        <family val="2"/>
        <scheme val="minor"/>
      </rPr>
      <t xml:space="preserve">-sensitive parents. </t>
    </r>
    <r>
      <rPr>
        <b/>
        <sz val="11"/>
        <color theme="1"/>
        <rFont val="Calibri"/>
        <family val="2"/>
        <scheme val="minor"/>
      </rPr>
      <t>4)</t>
    </r>
    <r>
      <rPr>
        <sz val="11"/>
        <color theme="1"/>
        <rFont val="Calibri"/>
        <family val="2"/>
        <scheme val="minor"/>
      </rPr>
      <t xml:space="preserve"> Integrin </t>
    </r>
    <r>
      <rPr>
        <b/>
        <sz val="11"/>
        <color theme="1"/>
        <rFont val="Calibri"/>
        <family val="2"/>
        <scheme val="minor"/>
      </rPr>
      <t>αvβ6</t>
    </r>
    <r>
      <rPr>
        <sz val="11"/>
        <color theme="1"/>
        <rFont val="Calibri"/>
        <family val="2"/>
        <scheme val="minor"/>
      </rPr>
      <t xml:space="preserve"> not only played an important role in colony formation, but also protected </t>
    </r>
    <r>
      <rPr>
        <b/>
        <sz val="11"/>
        <color theme="1"/>
        <rFont val="Calibri"/>
        <family val="2"/>
        <scheme val="minor"/>
      </rPr>
      <t>cholangiocarcinoma</t>
    </r>
    <r>
      <rPr>
        <sz val="11"/>
        <color theme="1"/>
        <rFont val="Calibri"/>
        <family val="2"/>
        <scheme val="minor"/>
      </rPr>
      <t xml:space="preserve"> cells from </t>
    </r>
    <r>
      <rPr>
        <b/>
        <sz val="11"/>
        <color theme="1"/>
        <rFont val="Calibri"/>
        <family val="2"/>
        <scheme val="minor"/>
      </rPr>
      <t>cisplatin</t>
    </r>
    <r>
      <rPr>
        <sz val="11"/>
        <color theme="1"/>
        <rFont val="Calibri"/>
        <family val="2"/>
        <scheme val="minor"/>
      </rPr>
      <t xml:space="preserve">-induced growth inhibition and apoptosis. </t>
    </r>
    <r>
      <rPr>
        <b/>
        <sz val="11"/>
        <color theme="1"/>
        <rFont val="Calibri"/>
        <family val="2"/>
        <scheme val="minor"/>
      </rPr>
      <t>5)</t>
    </r>
    <r>
      <rPr>
        <sz val="11"/>
        <color theme="1"/>
        <rFont val="Calibri"/>
        <family val="2"/>
        <scheme val="minor"/>
      </rPr>
      <t xml:space="preserve"> ERK/MAPK signaling pathway was involved in integrin </t>
    </r>
    <r>
      <rPr>
        <b/>
        <sz val="11"/>
        <color theme="1"/>
        <rFont val="Calibri"/>
        <family val="2"/>
        <scheme val="minor"/>
      </rPr>
      <t>αvβ6</t>
    </r>
    <r>
      <rPr>
        <sz val="11"/>
        <color theme="1"/>
        <rFont val="Calibri"/>
        <family val="2"/>
        <scheme val="minor"/>
      </rPr>
      <t xml:space="preserve">-mediated resistance of cholangiocarcinoma cells to </t>
    </r>
    <r>
      <rPr>
        <b/>
        <sz val="11"/>
        <color theme="1"/>
        <rFont val="Calibri"/>
        <family val="2"/>
        <scheme val="minor"/>
      </rPr>
      <t>cisplatin</t>
    </r>
    <r>
      <rPr>
        <sz val="11"/>
        <color theme="1"/>
        <rFont val="Calibri"/>
        <family val="2"/>
        <scheme val="minor"/>
      </rPr>
      <t xml:space="preserve">. </t>
    </r>
    <r>
      <rPr>
        <b/>
        <sz val="11"/>
        <color theme="1"/>
        <rFont val="Calibri"/>
        <family val="2"/>
        <scheme val="minor"/>
      </rPr>
      <t>6)</t>
    </r>
    <r>
      <rPr>
        <sz val="11"/>
        <color theme="1"/>
        <rFont val="Calibri"/>
        <family val="2"/>
        <scheme val="minor"/>
      </rPr>
      <t xml:space="preserve"> </t>
    </r>
    <r>
      <rPr>
        <b/>
        <sz val="11"/>
        <color theme="1"/>
        <rFont val="Calibri"/>
        <family val="2"/>
        <scheme val="minor"/>
      </rPr>
      <t>cholangiocarcinoma</t>
    </r>
    <r>
      <rPr>
        <sz val="11"/>
        <color theme="1"/>
        <rFont val="Calibri"/>
        <family val="2"/>
        <scheme val="minor"/>
      </rPr>
      <t xml:space="preserve"> patients who were </t>
    </r>
    <r>
      <rPr>
        <b/>
        <sz val="11"/>
        <color theme="1"/>
        <rFont val="Calibri"/>
        <family val="2"/>
        <scheme val="minor"/>
      </rPr>
      <t>αvβ6</t>
    </r>
    <r>
      <rPr>
        <sz val="11"/>
        <color theme="1"/>
        <rFont val="Calibri"/>
        <family val="2"/>
        <scheme val="minor"/>
      </rPr>
      <t xml:space="preserve">-positive showed a significantly shorter overall survival period than those who were αvβ6-negative (p=0.004). </t>
    </r>
    <r>
      <rPr>
        <b/>
        <sz val="11"/>
        <color theme="1"/>
        <rFont val="Calibri"/>
        <family val="2"/>
        <scheme val="minor"/>
      </rPr>
      <t>7) Integrin alpha V (ITGAV)</t>
    </r>
    <r>
      <rPr>
        <sz val="11"/>
        <color theme="1"/>
        <rFont val="Calibri"/>
        <family val="2"/>
        <scheme val="minor"/>
      </rPr>
      <t xml:space="preserve"> expression is associated with shortened overall-survival in </t>
    </r>
    <r>
      <rPr>
        <b/>
        <sz val="11"/>
        <color theme="1"/>
        <rFont val="Calibri"/>
        <family val="2"/>
        <scheme val="minor"/>
      </rPr>
      <t>esophageal</t>
    </r>
    <r>
      <rPr>
        <sz val="11"/>
        <color theme="1"/>
        <rFont val="Calibri"/>
        <family val="2"/>
        <scheme val="minor"/>
      </rPr>
      <t xml:space="preserve"> adenocarcinoma patients who received preoperative chemoradiation (5-Fluouracil, </t>
    </r>
    <r>
      <rPr>
        <b/>
        <sz val="11"/>
        <color theme="1"/>
        <rFont val="Calibri"/>
        <family val="2"/>
        <scheme val="minor"/>
      </rPr>
      <t>cisplatin</t>
    </r>
    <r>
      <rPr>
        <sz val="11"/>
        <color theme="1"/>
        <rFont val="Calibri"/>
        <family val="2"/>
        <scheme val="minor"/>
      </rPr>
      <t>, 40 Gy) or chemotherapy alone.</t>
    </r>
  </si>
  <si>
    <r>
      <rPr>
        <b/>
        <sz val="11"/>
        <color theme="1"/>
        <rFont val="Calibri"/>
        <family val="2"/>
        <scheme val="minor"/>
      </rPr>
      <t xml:space="preserve">1) </t>
    </r>
    <r>
      <rPr>
        <sz val="11"/>
        <color theme="1"/>
        <rFont val="Calibri"/>
        <family val="2"/>
        <scheme val="minor"/>
      </rPr>
      <t xml:space="preserve">The high expression of ITGA6 in 287 ovarian cancer patients of TCGA cohort was significantly associated with poorer progression-free survival. </t>
    </r>
    <r>
      <rPr>
        <b/>
        <sz val="11"/>
        <color theme="1"/>
        <rFont val="Calibri"/>
        <family val="2"/>
        <scheme val="minor"/>
      </rPr>
      <t>2) ITGA6</t>
    </r>
    <r>
      <rPr>
        <sz val="11"/>
        <color theme="1"/>
        <rFont val="Calibri"/>
        <family val="2"/>
        <scheme val="minor"/>
      </rPr>
      <t xml:space="preserve"> is a central drug resistance gene, and that its expression was upregulated in </t>
    </r>
    <r>
      <rPr>
        <b/>
        <sz val="11"/>
        <color theme="1"/>
        <rFont val="Calibri"/>
        <family val="2"/>
        <scheme val="minor"/>
      </rPr>
      <t>cisplatin</t>
    </r>
    <r>
      <rPr>
        <sz val="11"/>
        <color theme="1"/>
        <rFont val="Calibri"/>
        <family val="2"/>
        <scheme val="minor"/>
      </rPr>
      <t xml:space="preserve">-resistant SKOV3 (SKOV3/DDP2), cisplatin-resistant A2780 (A2780/DDP) cells, and in 54 cases of drug-resistant tissues, as compared with in the controls. </t>
    </r>
    <r>
      <rPr>
        <b/>
        <sz val="11"/>
        <color theme="1"/>
        <rFont val="Calibri"/>
        <family val="2"/>
        <scheme val="minor"/>
      </rPr>
      <t>3)</t>
    </r>
    <r>
      <rPr>
        <sz val="11"/>
        <color theme="1"/>
        <rFont val="Calibri"/>
        <family val="2"/>
        <scheme val="minor"/>
      </rPr>
      <t xml:space="preserve"> </t>
    </r>
    <r>
      <rPr>
        <b/>
        <sz val="11"/>
        <color theme="1"/>
        <rFont val="Calibri"/>
        <family val="2"/>
        <scheme val="minor"/>
      </rPr>
      <t>ITGA6</t>
    </r>
    <r>
      <rPr>
        <sz val="11"/>
        <color theme="1"/>
        <rFont val="Calibri"/>
        <family val="2"/>
        <scheme val="minor"/>
      </rPr>
      <t xml:space="preserve"> was significantly associated with ovarian cancer and drug resistance. </t>
    </r>
  </si>
  <si>
    <r>
      <rPr>
        <b/>
        <sz val="11"/>
        <color theme="1"/>
        <rFont val="Calibri"/>
        <family val="2"/>
        <scheme val="minor"/>
      </rPr>
      <t xml:space="preserve">1) </t>
    </r>
    <r>
      <rPr>
        <sz val="11"/>
        <color theme="1"/>
        <rFont val="Calibri"/>
        <family val="2"/>
        <scheme val="minor"/>
      </rPr>
      <t>silencing of</t>
    </r>
    <r>
      <rPr>
        <b/>
        <sz val="11"/>
        <color theme="1"/>
        <rFont val="Calibri"/>
        <family val="2"/>
        <scheme val="minor"/>
      </rPr>
      <t xml:space="preserve"> β1 integrin</t>
    </r>
    <r>
      <rPr>
        <sz val="11"/>
        <color theme="1"/>
        <rFont val="Calibri"/>
        <family val="2"/>
        <scheme val="minor"/>
      </rPr>
      <t xml:space="preserve"> inhibited cell migration, invasion, and increased the sensitivity to </t>
    </r>
    <r>
      <rPr>
        <b/>
        <sz val="11"/>
        <color theme="1"/>
        <rFont val="Calibri"/>
        <family val="2"/>
        <scheme val="minor"/>
      </rPr>
      <t xml:space="preserve">cisplatin </t>
    </r>
    <r>
      <rPr>
        <sz val="11"/>
        <color theme="1"/>
        <rFont val="Calibri"/>
        <family val="2"/>
        <scheme val="minor"/>
      </rPr>
      <t>in</t>
    </r>
    <r>
      <rPr>
        <b/>
        <sz val="11"/>
        <color theme="1"/>
        <rFont val="Calibri"/>
        <family val="2"/>
        <scheme val="minor"/>
      </rPr>
      <t xml:space="preserve"> TNBC </t>
    </r>
    <r>
      <rPr>
        <sz val="11"/>
        <color theme="1"/>
        <rFont val="Calibri"/>
        <family val="2"/>
        <scheme val="minor"/>
      </rPr>
      <t xml:space="preserve">cells. </t>
    </r>
    <r>
      <rPr>
        <b/>
        <sz val="11"/>
        <color theme="1"/>
        <rFont val="Calibri"/>
        <family val="2"/>
        <scheme val="minor"/>
      </rPr>
      <t>2)</t>
    </r>
    <r>
      <rPr>
        <sz val="11"/>
        <color theme="1"/>
        <rFont val="Calibri"/>
        <family val="2"/>
        <scheme val="minor"/>
      </rPr>
      <t xml:space="preserve"> activation of </t>
    </r>
    <r>
      <rPr>
        <b/>
        <sz val="11"/>
        <color theme="1"/>
        <rFont val="Calibri"/>
        <family val="2"/>
        <scheme val="minor"/>
      </rPr>
      <t>β1 integrin</t>
    </r>
    <r>
      <rPr>
        <sz val="11"/>
        <color theme="1"/>
        <rFont val="Calibri"/>
        <family val="2"/>
        <scheme val="minor"/>
      </rPr>
      <t xml:space="preserve"> increased cell migration, invasion, and decreased the sensitivity to </t>
    </r>
    <r>
      <rPr>
        <b/>
        <sz val="11"/>
        <color theme="1"/>
        <rFont val="Calibri"/>
        <family val="2"/>
        <scheme val="minor"/>
      </rPr>
      <t>cisplatin</t>
    </r>
    <r>
      <rPr>
        <sz val="11"/>
        <color theme="1"/>
        <rFont val="Calibri"/>
        <family val="2"/>
        <scheme val="minor"/>
      </rPr>
      <t xml:space="preserve">. </t>
    </r>
    <r>
      <rPr>
        <b/>
        <sz val="11"/>
        <color theme="1"/>
        <rFont val="Calibri"/>
        <family val="2"/>
        <scheme val="minor"/>
      </rPr>
      <t xml:space="preserve">3) </t>
    </r>
    <r>
      <rPr>
        <sz val="11"/>
        <color theme="1"/>
        <rFont val="Calibri"/>
        <family val="2"/>
        <scheme val="minor"/>
      </rPr>
      <t xml:space="preserve">silencing of </t>
    </r>
    <r>
      <rPr>
        <b/>
        <sz val="11"/>
        <color theme="1"/>
        <rFont val="Calibri"/>
        <family val="2"/>
        <scheme val="minor"/>
      </rPr>
      <t>β1 integrin</t>
    </r>
    <r>
      <rPr>
        <sz val="11"/>
        <color theme="1"/>
        <rFont val="Calibri"/>
        <family val="2"/>
        <scheme val="minor"/>
      </rPr>
      <t xml:space="preserve"> abolished</t>
    </r>
    <r>
      <rPr>
        <b/>
        <sz val="11"/>
        <color theme="1"/>
        <rFont val="Calibri"/>
        <family val="2"/>
        <scheme val="minor"/>
      </rPr>
      <t xml:space="preserve"> Focal adhesion kinese (FAK) </t>
    </r>
    <r>
      <rPr>
        <sz val="11"/>
        <color theme="1"/>
        <rFont val="Calibri"/>
        <family val="2"/>
        <scheme val="minor"/>
      </rPr>
      <t xml:space="preserve">mediated cell survival. </t>
    </r>
    <r>
      <rPr>
        <b/>
        <sz val="11"/>
        <color theme="1"/>
        <rFont val="Calibri"/>
        <family val="2"/>
        <scheme val="minor"/>
      </rPr>
      <t xml:space="preserve">4) </t>
    </r>
    <r>
      <rPr>
        <sz val="11"/>
        <color theme="1"/>
        <rFont val="Calibri"/>
        <family val="2"/>
        <scheme val="minor"/>
      </rPr>
      <t xml:space="preserve">Overexpression of </t>
    </r>
    <r>
      <rPr>
        <b/>
        <sz val="11"/>
        <color theme="1"/>
        <rFont val="Calibri"/>
        <family val="2"/>
        <scheme val="minor"/>
      </rPr>
      <t>FAK</t>
    </r>
    <r>
      <rPr>
        <sz val="11"/>
        <color theme="1"/>
        <rFont val="Calibri"/>
        <family val="2"/>
        <scheme val="minor"/>
      </rPr>
      <t xml:space="preserve"> could restore </t>
    </r>
    <r>
      <rPr>
        <b/>
        <sz val="11"/>
        <color theme="1"/>
        <rFont val="Calibri"/>
        <family val="2"/>
        <scheme val="minor"/>
      </rPr>
      <t>cisplatin</t>
    </r>
    <r>
      <rPr>
        <sz val="11"/>
        <color theme="1"/>
        <rFont val="Calibri"/>
        <family val="2"/>
        <scheme val="minor"/>
      </rPr>
      <t xml:space="preserve">-induced apoptosis in β1 integrin-depleted cells. </t>
    </r>
    <r>
      <rPr>
        <b/>
        <sz val="11"/>
        <color theme="1"/>
        <rFont val="Calibri"/>
        <family val="2"/>
        <scheme val="minor"/>
      </rPr>
      <t>5)</t>
    </r>
    <r>
      <rPr>
        <sz val="11"/>
        <color theme="1"/>
        <rFont val="Calibri"/>
        <family val="2"/>
        <scheme val="minor"/>
      </rPr>
      <t xml:space="preserve"> </t>
    </r>
    <r>
      <rPr>
        <b/>
        <sz val="11"/>
        <color theme="1"/>
        <rFont val="Calibri"/>
        <family val="2"/>
        <scheme val="minor"/>
      </rPr>
      <t>β1 integrin</t>
    </r>
    <r>
      <rPr>
        <sz val="11"/>
        <color theme="1"/>
        <rFont val="Calibri"/>
        <family val="2"/>
        <scheme val="minor"/>
      </rPr>
      <t xml:space="preserve"> expression was also positively correlated with FAK (p = 0.031) in clinical tissue.</t>
    </r>
    <r>
      <rPr>
        <b/>
        <sz val="11"/>
        <color theme="1"/>
        <rFont val="Calibri"/>
        <family val="2"/>
        <scheme val="minor"/>
      </rPr>
      <t xml:space="preserve"> 6) β1 integrin</t>
    </r>
    <r>
      <rPr>
        <sz val="11"/>
        <color theme="1"/>
        <rFont val="Calibri"/>
        <family val="2"/>
        <scheme val="minor"/>
      </rPr>
      <t xml:space="preserve"> expression was significantly correlated with patient outcome. </t>
    </r>
    <r>
      <rPr>
        <b/>
        <sz val="11"/>
        <color theme="1"/>
        <rFont val="Calibri"/>
        <family val="2"/>
        <scheme val="minor"/>
      </rPr>
      <t>7)</t>
    </r>
    <r>
      <rPr>
        <sz val="11"/>
        <color theme="1"/>
        <rFont val="Calibri"/>
        <family val="2"/>
        <scheme val="minor"/>
      </rPr>
      <t xml:space="preserve"> Epithelial cells expressing either </t>
    </r>
    <r>
      <rPr>
        <b/>
        <sz val="11"/>
        <color theme="1"/>
        <rFont val="Calibri"/>
        <family val="2"/>
        <scheme val="minor"/>
      </rPr>
      <t>beta1</t>
    </r>
    <r>
      <rPr>
        <sz val="11"/>
        <color theme="1"/>
        <rFont val="Calibri"/>
        <family val="2"/>
        <scheme val="minor"/>
      </rPr>
      <t xml:space="preserve"> or beta3 integrins, in which p53 activity is suppressed, undergo G(2) arrest but show little apoptosis after treatment with </t>
    </r>
    <r>
      <rPr>
        <b/>
        <sz val="11"/>
        <color theme="1"/>
        <rFont val="Calibri"/>
        <family val="2"/>
        <scheme val="minor"/>
      </rPr>
      <t>cisplatin</t>
    </r>
    <r>
      <rPr>
        <sz val="11"/>
        <color theme="1"/>
        <rFont val="Calibri"/>
        <family val="2"/>
        <scheme val="minor"/>
      </rPr>
      <t xml:space="preserve"> or other genotoxicants. </t>
    </r>
    <r>
      <rPr>
        <b/>
        <sz val="11"/>
        <color theme="1"/>
        <rFont val="Calibri"/>
        <family val="2"/>
        <scheme val="minor"/>
      </rPr>
      <t>8)</t>
    </r>
    <r>
      <rPr>
        <sz val="11"/>
        <color theme="1"/>
        <rFont val="Calibri"/>
        <family val="2"/>
        <scheme val="minor"/>
      </rPr>
      <t xml:space="preserve"> The apoptotic response is strongly enhanced by the c-Src[Y530F] oncogene in cells expressing</t>
    </r>
    <r>
      <rPr>
        <b/>
        <sz val="11"/>
        <color theme="1"/>
        <rFont val="Calibri"/>
        <family val="2"/>
        <scheme val="minor"/>
      </rPr>
      <t xml:space="preserve"> beta1 integrins</t>
    </r>
    <r>
      <rPr>
        <sz val="11"/>
        <color theme="1"/>
        <rFont val="Calibri"/>
        <family val="2"/>
        <scheme val="minor"/>
      </rPr>
      <t>, whereas such sensitization is reduced when these cells are engineered to express beta3 integrins instead.</t>
    </r>
  </si>
  <si>
    <r>
      <rPr>
        <b/>
        <sz val="11"/>
        <color theme="1"/>
        <rFont val="Calibri"/>
        <family val="2"/>
        <scheme val="minor"/>
      </rPr>
      <t>1)</t>
    </r>
    <r>
      <rPr>
        <sz val="11"/>
        <color theme="1"/>
        <rFont val="Calibri"/>
        <family val="2"/>
        <scheme val="minor"/>
      </rPr>
      <t xml:space="preserve"> cisplatin suppressed glycolysis-related proteins expression, including glucose transporter 1 (</t>
    </r>
    <r>
      <rPr>
        <b/>
        <sz val="11"/>
        <color theme="1"/>
        <rFont val="Calibri"/>
        <family val="2"/>
        <scheme val="minor"/>
      </rPr>
      <t>GLUT1</t>
    </r>
    <r>
      <rPr>
        <sz val="11"/>
        <color theme="1"/>
        <rFont val="Calibri"/>
        <family val="2"/>
        <scheme val="minor"/>
      </rPr>
      <t>), glucose transporter 4 (</t>
    </r>
    <r>
      <rPr>
        <b/>
        <sz val="11"/>
        <color theme="1"/>
        <rFont val="Calibri"/>
        <family val="2"/>
        <scheme val="minor"/>
      </rPr>
      <t>GLUT4</t>
    </r>
    <r>
      <rPr>
        <sz val="11"/>
        <color theme="1"/>
        <rFont val="Calibri"/>
        <family val="2"/>
        <scheme val="minor"/>
      </rPr>
      <t>) and lactate dehydrogenase B (</t>
    </r>
    <r>
      <rPr>
        <b/>
        <sz val="11"/>
        <color theme="1"/>
        <rFont val="Calibri"/>
        <family val="2"/>
        <scheme val="minor"/>
      </rPr>
      <t>LDHB</t>
    </r>
    <r>
      <rPr>
        <sz val="11"/>
        <color theme="1"/>
        <rFont val="Calibri"/>
        <family val="2"/>
        <scheme val="minor"/>
      </rPr>
      <t>), through down-regulating integrin β5 (</t>
    </r>
    <r>
      <rPr>
        <b/>
        <sz val="11"/>
        <color theme="1"/>
        <rFont val="Calibri"/>
        <family val="2"/>
        <scheme val="minor"/>
      </rPr>
      <t>ITGB5</t>
    </r>
    <r>
      <rPr>
        <sz val="11"/>
        <color theme="1"/>
        <rFont val="Calibri"/>
        <family val="2"/>
        <scheme val="minor"/>
      </rPr>
      <t>)/focal adhesion kinase (FAK) signaling pathway. </t>
    </r>
    <r>
      <rPr>
        <b/>
        <sz val="11"/>
        <color theme="1"/>
        <rFont val="Calibri"/>
        <family val="2"/>
        <scheme val="minor"/>
      </rPr>
      <t>2) ITGB5</t>
    </r>
    <r>
      <rPr>
        <sz val="11"/>
        <color theme="1"/>
        <rFont val="Calibri"/>
        <family val="2"/>
        <scheme val="minor"/>
      </rPr>
      <t xml:space="preserve"> overexpression rescued cisplatin-induced inhibition of cancer cell glycolysis, growth and proliferation. </t>
    </r>
    <r>
      <rPr>
        <b/>
        <sz val="11"/>
        <color theme="1"/>
        <rFont val="Calibri"/>
        <family val="2"/>
        <scheme val="minor"/>
      </rPr>
      <t>3)</t>
    </r>
    <r>
      <rPr>
        <sz val="11"/>
        <color theme="1"/>
        <rFont val="Calibri"/>
        <family val="2"/>
        <scheme val="minor"/>
      </rPr>
      <t xml:space="preserve"> expression of three of the family members, </t>
    </r>
    <r>
      <rPr>
        <b/>
        <sz val="11"/>
        <color theme="1"/>
        <rFont val="Calibri"/>
        <family val="2"/>
        <scheme val="minor"/>
      </rPr>
      <t>ITGA5</t>
    </r>
    <r>
      <rPr>
        <sz val="11"/>
        <color theme="1"/>
        <rFont val="Calibri"/>
        <family val="2"/>
        <scheme val="minor"/>
      </rPr>
      <t>,</t>
    </r>
    <r>
      <rPr>
        <b/>
        <sz val="11"/>
        <color theme="1"/>
        <rFont val="Calibri"/>
        <family val="2"/>
        <scheme val="minor"/>
      </rPr>
      <t xml:space="preserve"> ITGB5</t>
    </r>
    <r>
      <rPr>
        <sz val="11"/>
        <color theme="1"/>
        <rFont val="Calibri"/>
        <family val="2"/>
        <scheme val="minor"/>
      </rPr>
      <t xml:space="preserve"> and </t>
    </r>
    <r>
      <rPr>
        <b/>
        <sz val="11"/>
        <color theme="1"/>
        <rFont val="Calibri"/>
        <family val="2"/>
        <scheme val="minor"/>
      </rPr>
      <t>ITGA2B</t>
    </r>
    <r>
      <rPr>
        <sz val="11"/>
        <color theme="1"/>
        <rFont val="Calibri"/>
        <family val="2"/>
        <scheme val="minor"/>
      </rPr>
      <t xml:space="preserve">, were significantly associated with the overall survival (OS) or relapse-free survival (RFS) of HBV-related HCC patients. </t>
    </r>
    <r>
      <rPr>
        <b/>
        <sz val="11"/>
        <color theme="1"/>
        <rFont val="Calibri"/>
        <family val="2"/>
        <scheme val="minor"/>
      </rPr>
      <t xml:space="preserve">4) </t>
    </r>
    <r>
      <rPr>
        <sz val="11"/>
        <color theme="1"/>
        <rFont val="Calibri"/>
        <family val="2"/>
        <scheme val="minor"/>
      </rPr>
      <t xml:space="preserve">patients with lower expression of both </t>
    </r>
    <r>
      <rPr>
        <b/>
        <sz val="11"/>
        <color theme="1"/>
        <rFont val="Calibri"/>
        <family val="2"/>
        <scheme val="minor"/>
      </rPr>
      <t>ITGA5</t>
    </r>
    <r>
      <rPr>
        <sz val="11"/>
        <color theme="1"/>
        <rFont val="Calibri"/>
        <family val="2"/>
        <scheme val="minor"/>
      </rPr>
      <t xml:space="preserve"> and</t>
    </r>
    <r>
      <rPr>
        <b/>
        <sz val="11"/>
        <color theme="1"/>
        <rFont val="Calibri"/>
        <family val="2"/>
        <scheme val="minor"/>
      </rPr>
      <t xml:space="preserve"> ITGB5</t>
    </r>
    <r>
      <rPr>
        <sz val="11"/>
        <color theme="1"/>
        <rFont val="Calibri"/>
        <family val="2"/>
        <scheme val="minor"/>
      </rPr>
      <t xml:space="preserve"> had the best OS and RFS (P = 0.017 and P = 0.002, respectively).</t>
    </r>
  </si>
  <si>
    <r>
      <rPr>
        <b/>
        <sz val="11"/>
        <color theme="1"/>
        <rFont val="Calibri"/>
        <family val="2"/>
        <scheme val="minor"/>
      </rPr>
      <t xml:space="preserve">1) </t>
    </r>
    <r>
      <rPr>
        <sz val="11"/>
        <color theme="1"/>
        <rFont val="Calibri"/>
        <family val="2"/>
        <scheme val="minor"/>
      </rPr>
      <t>Retinoic acid-related orphan receptor C (</t>
    </r>
    <r>
      <rPr>
        <b/>
        <sz val="11"/>
        <color theme="1"/>
        <rFont val="Calibri"/>
        <family val="2"/>
        <scheme val="minor"/>
      </rPr>
      <t>RORC</t>
    </r>
    <r>
      <rPr>
        <sz val="11"/>
        <color theme="1"/>
        <rFont val="Calibri"/>
        <family val="2"/>
        <scheme val="minor"/>
      </rPr>
      <t xml:space="preserve">) bound the promoter region of </t>
    </r>
    <r>
      <rPr>
        <b/>
        <sz val="11"/>
        <color theme="1"/>
        <rFont val="Calibri"/>
        <family val="2"/>
        <scheme val="minor"/>
      </rPr>
      <t>PD-L1</t>
    </r>
    <r>
      <rPr>
        <sz val="11"/>
        <color theme="1"/>
        <rFont val="Calibri"/>
        <family val="2"/>
        <scheme val="minor"/>
      </rPr>
      <t xml:space="preserve"> and negatively regulated </t>
    </r>
    <r>
      <rPr>
        <b/>
        <sz val="11"/>
        <color theme="1"/>
        <rFont val="Calibri"/>
        <family val="2"/>
        <scheme val="minor"/>
      </rPr>
      <t>PD-L1</t>
    </r>
    <r>
      <rPr>
        <sz val="11"/>
        <color theme="1"/>
        <rFont val="Calibri"/>
        <family val="2"/>
        <scheme val="minor"/>
      </rPr>
      <t xml:space="preserve"> expression. </t>
    </r>
    <r>
      <rPr>
        <b/>
        <sz val="11"/>
        <color theme="1"/>
        <rFont val="Calibri"/>
        <family val="2"/>
        <scheme val="minor"/>
      </rPr>
      <t>2)</t>
    </r>
    <r>
      <rPr>
        <sz val="11"/>
        <color theme="1"/>
        <rFont val="Calibri"/>
        <family val="2"/>
        <scheme val="minor"/>
      </rPr>
      <t xml:space="preserve"> </t>
    </r>
    <r>
      <rPr>
        <b/>
        <sz val="11"/>
        <color theme="1"/>
        <rFont val="Calibri"/>
        <family val="2"/>
        <scheme val="minor"/>
      </rPr>
      <t xml:space="preserve">PD-L1 </t>
    </r>
    <r>
      <rPr>
        <sz val="11"/>
        <color theme="1"/>
        <rFont val="Calibri"/>
        <family val="2"/>
        <scheme val="minor"/>
      </rPr>
      <t>directly interacted with integrin β6 (</t>
    </r>
    <r>
      <rPr>
        <b/>
        <sz val="11"/>
        <color theme="1"/>
        <rFont val="Calibri"/>
        <family val="2"/>
        <scheme val="minor"/>
      </rPr>
      <t>ITGB6</t>
    </r>
    <r>
      <rPr>
        <sz val="11"/>
        <color theme="1"/>
        <rFont val="Calibri"/>
        <family val="2"/>
        <scheme val="minor"/>
      </rPr>
      <t xml:space="preserve">) and activated the </t>
    </r>
    <r>
      <rPr>
        <b/>
        <sz val="11"/>
        <color theme="1"/>
        <rFont val="Calibri"/>
        <family val="2"/>
        <scheme val="minor"/>
      </rPr>
      <t>ITGB6/FAK</t>
    </r>
    <r>
      <rPr>
        <sz val="11"/>
        <color theme="1"/>
        <rFont val="Calibri"/>
        <family val="2"/>
        <scheme val="minor"/>
      </rPr>
      <t xml:space="preserve"> signaling pathway. </t>
    </r>
    <r>
      <rPr>
        <b/>
        <sz val="11"/>
        <color theme="1"/>
        <rFont val="Calibri"/>
        <family val="2"/>
        <scheme val="minor"/>
      </rPr>
      <t>3) RORC</t>
    </r>
    <r>
      <rPr>
        <sz val="11"/>
        <color theme="1"/>
        <rFont val="Calibri"/>
        <family val="2"/>
        <scheme val="minor"/>
      </rPr>
      <t xml:space="preserve"> prevented the nuclear translocation of </t>
    </r>
    <r>
      <rPr>
        <b/>
        <sz val="11"/>
        <color theme="1"/>
        <rFont val="Calibri"/>
        <family val="2"/>
        <scheme val="minor"/>
      </rPr>
      <t>STAT3</t>
    </r>
    <r>
      <rPr>
        <sz val="11"/>
        <color theme="1"/>
        <rFont val="Calibri"/>
        <family val="2"/>
        <scheme val="minor"/>
      </rPr>
      <t xml:space="preserve"> via suppression of the PD-L1/ITGB6 signaling pathway, which further inhibited </t>
    </r>
    <r>
      <rPr>
        <b/>
        <sz val="11"/>
        <color theme="1"/>
        <rFont val="Calibri"/>
        <family val="2"/>
        <scheme val="minor"/>
      </rPr>
      <t>bladder</t>
    </r>
    <r>
      <rPr>
        <sz val="11"/>
        <color theme="1"/>
        <rFont val="Calibri"/>
        <family val="2"/>
        <scheme val="minor"/>
      </rPr>
      <t xml:space="preserve"> cell proliferation and glucose metabolism and increased </t>
    </r>
    <r>
      <rPr>
        <b/>
        <sz val="11"/>
        <color theme="1"/>
        <rFont val="Calibri"/>
        <family val="2"/>
        <scheme val="minor"/>
      </rPr>
      <t>cisplatin</t>
    </r>
    <r>
      <rPr>
        <sz val="11"/>
        <color theme="1"/>
        <rFont val="Calibri"/>
        <family val="2"/>
        <scheme val="minor"/>
      </rPr>
      <t>-induced apoptosis. </t>
    </r>
    <r>
      <rPr>
        <b/>
        <sz val="11"/>
        <color theme="1"/>
        <rFont val="Calibri"/>
        <family val="2"/>
        <scheme val="minor"/>
      </rPr>
      <t xml:space="preserve">4) </t>
    </r>
    <r>
      <rPr>
        <sz val="11"/>
        <color theme="1"/>
        <rFont val="Calibri"/>
        <family val="2"/>
        <scheme val="minor"/>
      </rPr>
      <t xml:space="preserve">Integrin </t>
    </r>
    <r>
      <rPr>
        <b/>
        <sz val="11"/>
        <color theme="1"/>
        <rFont val="Calibri"/>
        <family val="2"/>
        <scheme val="minor"/>
      </rPr>
      <t>αvβ6</t>
    </r>
    <r>
      <rPr>
        <sz val="11"/>
        <color theme="1"/>
        <rFont val="Calibri"/>
        <family val="2"/>
        <scheme val="minor"/>
      </rPr>
      <t xml:space="preserve"> not only played an important role in colony formation, but also protected </t>
    </r>
    <r>
      <rPr>
        <b/>
        <sz val="11"/>
        <color theme="1"/>
        <rFont val="Calibri"/>
        <family val="2"/>
        <scheme val="minor"/>
      </rPr>
      <t>cholangiocarcinoma</t>
    </r>
    <r>
      <rPr>
        <sz val="11"/>
        <color theme="1"/>
        <rFont val="Calibri"/>
        <family val="2"/>
        <scheme val="minor"/>
      </rPr>
      <t xml:space="preserve"> cells from </t>
    </r>
    <r>
      <rPr>
        <b/>
        <sz val="11"/>
        <color theme="1"/>
        <rFont val="Calibri"/>
        <family val="2"/>
        <scheme val="minor"/>
      </rPr>
      <t>cisplatin</t>
    </r>
    <r>
      <rPr>
        <sz val="11"/>
        <color theme="1"/>
        <rFont val="Calibri"/>
        <family val="2"/>
        <scheme val="minor"/>
      </rPr>
      <t xml:space="preserve">-induced growth inhibition and apoptosis. </t>
    </r>
    <r>
      <rPr>
        <b/>
        <sz val="11"/>
        <color theme="1"/>
        <rFont val="Calibri"/>
        <family val="2"/>
        <scheme val="minor"/>
      </rPr>
      <t>5) ERK/MAPK</t>
    </r>
    <r>
      <rPr>
        <sz val="11"/>
        <color theme="1"/>
        <rFont val="Calibri"/>
        <family val="2"/>
        <scheme val="minor"/>
      </rPr>
      <t xml:space="preserve"> signaling pathway was involved in integrin </t>
    </r>
    <r>
      <rPr>
        <b/>
        <sz val="11"/>
        <color theme="1"/>
        <rFont val="Calibri"/>
        <family val="2"/>
        <scheme val="minor"/>
      </rPr>
      <t>αvβ6</t>
    </r>
    <r>
      <rPr>
        <sz val="11"/>
        <color theme="1"/>
        <rFont val="Calibri"/>
        <family val="2"/>
        <scheme val="minor"/>
      </rPr>
      <t xml:space="preserve">-mediated resistance of cholangiocarcinoma cells to cisplatin. </t>
    </r>
    <r>
      <rPr>
        <b/>
        <sz val="11"/>
        <color theme="1"/>
        <rFont val="Calibri"/>
        <family val="2"/>
        <scheme val="minor"/>
      </rPr>
      <t>6) cholangiocarcinoma</t>
    </r>
    <r>
      <rPr>
        <sz val="11"/>
        <color theme="1"/>
        <rFont val="Calibri"/>
        <family val="2"/>
        <scheme val="minor"/>
      </rPr>
      <t xml:space="preserve"> patients who were αvβ6-positive showed a significantly shorter overall survival period than those who were αvβ6-negative (p=0.004). </t>
    </r>
  </si>
  <si>
    <r>
      <rPr>
        <b/>
        <sz val="11"/>
        <color theme="1"/>
        <rFont val="Calibri"/>
        <family val="2"/>
        <scheme val="minor"/>
      </rPr>
      <t xml:space="preserve">1) </t>
    </r>
    <r>
      <rPr>
        <sz val="11"/>
        <color theme="1"/>
        <rFont val="Calibri"/>
        <family val="2"/>
        <scheme val="minor"/>
      </rPr>
      <t xml:space="preserve">miR-199a-3p was significantly downregulated in chemoresistant ovarian cancer tissues, </t>
    </r>
    <r>
      <rPr>
        <b/>
        <sz val="11"/>
        <color theme="1"/>
        <rFont val="Calibri"/>
        <family val="2"/>
        <scheme val="minor"/>
      </rPr>
      <t xml:space="preserve">2) </t>
    </r>
    <r>
      <rPr>
        <sz val="11"/>
        <color theme="1"/>
        <rFont val="Calibri"/>
        <family val="2"/>
        <scheme val="minor"/>
      </rPr>
      <t xml:space="preserve">CDDP-resistant SKOV3/CDDP cells. </t>
    </r>
    <r>
      <rPr>
        <b/>
        <sz val="11"/>
        <color theme="1"/>
        <rFont val="Calibri"/>
        <family val="2"/>
        <scheme val="minor"/>
      </rPr>
      <t xml:space="preserve">3) </t>
    </r>
    <r>
      <rPr>
        <sz val="11"/>
        <color theme="1"/>
        <rFont val="Calibri"/>
        <family val="2"/>
        <scheme val="minor"/>
      </rPr>
      <t>Restoration of miR-199a-3p in SKOV3/CDDP cells results in enhanced CDDP sensitivity,</t>
    </r>
    <r>
      <rPr>
        <b/>
        <sz val="11"/>
        <color theme="1"/>
        <rFont val="Calibri"/>
        <family val="2"/>
        <scheme val="minor"/>
      </rPr>
      <t xml:space="preserve"> 4) </t>
    </r>
    <r>
      <rPr>
        <sz val="11"/>
        <color theme="1"/>
        <rFont val="Calibri"/>
        <family val="2"/>
        <scheme val="minor"/>
      </rPr>
      <t xml:space="preserve">miR-199a-3p inhibition resulted in the opposite effects. </t>
    </r>
    <r>
      <rPr>
        <b/>
        <sz val="11"/>
        <color theme="1"/>
        <rFont val="Calibri"/>
        <family val="2"/>
        <scheme val="minor"/>
      </rPr>
      <t>5) ITGB8</t>
    </r>
    <r>
      <rPr>
        <sz val="11"/>
        <color theme="1"/>
        <rFont val="Calibri"/>
        <family val="2"/>
        <scheme val="minor"/>
      </rPr>
      <t xml:space="preserve"> was a direct target of miR-199a-3p. </t>
    </r>
    <r>
      <rPr>
        <b/>
        <sz val="11"/>
        <color theme="1"/>
        <rFont val="Calibri"/>
        <family val="2"/>
        <scheme val="minor"/>
      </rPr>
      <t>6)</t>
    </r>
    <r>
      <rPr>
        <sz val="11"/>
        <color theme="1"/>
        <rFont val="Calibri"/>
        <family val="2"/>
        <scheme val="minor"/>
      </rPr>
      <t xml:space="preserve"> overexpression of </t>
    </r>
    <r>
      <rPr>
        <b/>
        <sz val="11"/>
        <color theme="1"/>
        <rFont val="Calibri"/>
        <family val="2"/>
        <scheme val="minor"/>
      </rPr>
      <t>ITGB8</t>
    </r>
    <r>
      <rPr>
        <sz val="11"/>
        <color theme="1"/>
        <rFont val="Calibri"/>
        <family val="2"/>
        <scheme val="minor"/>
      </rPr>
      <t xml:space="preserve"> restored CDDP resistance inhibited by miR-199a-3p. </t>
    </r>
    <r>
      <rPr>
        <b/>
        <sz val="11"/>
        <color theme="1"/>
        <rFont val="Calibri"/>
        <family val="2"/>
        <scheme val="minor"/>
      </rPr>
      <t xml:space="preserve">7) </t>
    </r>
    <r>
      <rPr>
        <sz val="11"/>
        <color theme="1"/>
        <rFont val="Calibri"/>
        <family val="2"/>
        <scheme val="minor"/>
      </rPr>
      <t xml:space="preserve">orthotopic ovarian cancer mouse model showed that miR‑199a-3p enhanced CDDP sensitivity of ovarian cancer in vivo. </t>
    </r>
  </si>
  <si>
    <r>
      <rPr>
        <b/>
        <sz val="11"/>
        <color theme="1"/>
        <rFont val="Calibri"/>
        <family val="2"/>
        <scheme val="minor"/>
      </rPr>
      <t>1) ITM2A</t>
    </r>
    <r>
      <rPr>
        <sz val="11"/>
        <color theme="1"/>
        <rFont val="Calibri"/>
        <family val="2"/>
        <scheme val="minor"/>
      </rPr>
      <t xml:space="preserve"> was significantly downregulated in invasive carcinomas compared to normal, adenoma and borderline tumor tissues. </t>
    </r>
    <r>
      <rPr>
        <b/>
        <sz val="11"/>
        <color theme="1"/>
        <rFont val="Calibri"/>
        <family val="2"/>
        <scheme val="minor"/>
      </rPr>
      <t xml:space="preserve">2) </t>
    </r>
    <r>
      <rPr>
        <sz val="11"/>
        <color theme="1"/>
        <rFont val="Calibri"/>
        <family val="2"/>
        <scheme val="minor"/>
      </rPr>
      <t xml:space="preserve">ITM2A loss occurred in 45.6% (41 of 90) of invasive carcinomas and was significantly associated with FIGO stage, type II tumors, suboptimal debulking operation, recurrence and chemoresistance. </t>
    </r>
    <r>
      <rPr>
        <b/>
        <sz val="11"/>
        <color theme="1"/>
        <rFont val="Calibri"/>
        <family val="2"/>
        <scheme val="minor"/>
      </rPr>
      <t>3)</t>
    </r>
    <r>
      <rPr>
        <sz val="11"/>
        <color theme="1"/>
        <rFont val="Calibri"/>
        <family val="2"/>
        <scheme val="minor"/>
      </rPr>
      <t xml:space="preserve"> ITM2A loss and higher FIGO stage were independent factors for poor prognosis.</t>
    </r>
    <r>
      <rPr>
        <b/>
        <sz val="11"/>
        <color theme="1"/>
        <rFont val="Calibri"/>
        <family val="2"/>
        <scheme val="minor"/>
      </rPr>
      <t xml:space="preserve"> 5) </t>
    </r>
    <r>
      <rPr>
        <sz val="11"/>
        <color theme="1"/>
        <rFont val="Calibri"/>
        <family val="2"/>
        <scheme val="minor"/>
      </rPr>
      <t xml:space="preserve">Expression of </t>
    </r>
    <r>
      <rPr>
        <b/>
        <sz val="11"/>
        <color theme="1"/>
        <rFont val="Calibri"/>
        <family val="2"/>
        <scheme val="minor"/>
      </rPr>
      <t>ITM2A</t>
    </r>
    <r>
      <rPr>
        <sz val="11"/>
        <color theme="1"/>
        <rFont val="Calibri"/>
        <family val="2"/>
        <scheme val="minor"/>
      </rPr>
      <t xml:space="preserve"> inhibited growth and induced G2/M cell cycle arrest by attenuating cdc2, cyclin B1, cdc25c and p-cdc2 (Thr 161). </t>
    </r>
    <r>
      <rPr>
        <b/>
        <sz val="11"/>
        <color theme="1"/>
        <rFont val="Calibri"/>
        <family val="2"/>
        <scheme val="minor"/>
      </rPr>
      <t xml:space="preserve">6) </t>
    </r>
    <r>
      <rPr>
        <sz val="11"/>
        <color theme="1"/>
        <rFont val="Calibri"/>
        <family val="2"/>
        <scheme val="minor"/>
      </rPr>
      <t xml:space="preserve">In vitro and in vivo experiments showed that ITM2A expression significantly reduced the paclitaxel and </t>
    </r>
    <r>
      <rPr>
        <b/>
        <sz val="11"/>
        <color theme="1"/>
        <rFont val="Calibri"/>
        <family val="2"/>
        <scheme val="minor"/>
      </rPr>
      <t>carboplatin</t>
    </r>
    <r>
      <rPr>
        <sz val="11"/>
        <color theme="1"/>
        <rFont val="Calibri"/>
        <family val="2"/>
        <scheme val="minor"/>
      </rPr>
      <t xml:space="preserve"> IC50 and tumor mass after paclitaxel treatment.</t>
    </r>
  </si>
  <si>
    <r>
      <rPr>
        <b/>
        <sz val="11"/>
        <color theme="1"/>
        <rFont val="Calibri"/>
        <family val="2"/>
        <scheme val="minor"/>
      </rPr>
      <t>1) U</t>
    </r>
    <r>
      <rPr>
        <sz val="11"/>
        <color theme="1"/>
        <rFont val="Calibri"/>
        <family val="2"/>
        <scheme val="minor"/>
      </rPr>
      <t xml:space="preserve">sing two pairs of parental and </t>
    </r>
    <r>
      <rPr>
        <b/>
        <sz val="11"/>
        <color theme="1"/>
        <rFont val="Calibri"/>
        <family val="2"/>
        <scheme val="minor"/>
      </rPr>
      <t>cisplatin</t>
    </r>
    <r>
      <rPr>
        <sz val="11"/>
        <color theme="1"/>
        <rFont val="Calibri"/>
        <family val="2"/>
        <scheme val="minor"/>
      </rPr>
      <t xml:space="preserve">-resistant </t>
    </r>
    <r>
      <rPr>
        <b/>
        <sz val="11"/>
        <color theme="1"/>
        <rFont val="Calibri"/>
        <family val="2"/>
        <scheme val="minor"/>
      </rPr>
      <t>bladder</t>
    </r>
    <r>
      <rPr>
        <sz val="11"/>
        <color theme="1"/>
        <rFont val="Calibri"/>
        <family val="2"/>
        <scheme val="minor"/>
      </rPr>
      <t xml:space="preserve"> cancer cell lines, we found a markedly reduced expression of inositol 1,4,5-trisphosphate (IP3) receptor type1 (</t>
    </r>
    <r>
      <rPr>
        <b/>
        <sz val="11"/>
        <color theme="1"/>
        <rFont val="Calibri"/>
        <family val="2"/>
        <scheme val="minor"/>
      </rPr>
      <t>IP3R1</t>
    </r>
    <r>
      <rPr>
        <sz val="11"/>
        <color theme="1"/>
        <rFont val="Calibri"/>
        <family val="2"/>
        <scheme val="minor"/>
      </rPr>
      <t xml:space="preserve">), endoplasmic reticulum membrane protein, in cisplatin-resistant cells. </t>
    </r>
    <r>
      <rPr>
        <b/>
        <sz val="11"/>
        <color theme="1"/>
        <rFont val="Calibri"/>
        <family val="2"/>
        <scheme val="minor"/>
      </rPr>
      <t xml:space="preserve">2) </t>
    </r>
    <r>
      <rPr>
        <sz val="11"/>
        <color theme="1"/>
        <rFont val="Calibri"/>
        <family val="2"/>
        <scheme val="minor"/>
      </rPr>
      <t xml:space="preserve">The suppression of IP3R1 expression using siRNA in parental cells prevented apoptosis and resulted in decreased sensitivity to cisplatin. </t>
    </r>
    <r>
      <rPr>
        <b/>
        <sz val="11"/>
        <color theme="1"/>
        <rFont val="Calibri"/>
        <family val="2"/>
        <scheme val="minor"/>
      </rPr>
      <t>3)</t>
    </r>
    <r>
      <rPr>
        <sz val="11"/>
        <color theme="1"/>
        <rFont val="Calibri"/>
        <family val="2"/>
        <scheme val="minor"/>
      </rPr>
      <t xml:space="preserve"> overexpression of IP3R1 in resistant cells induced apoptosis and increased sensitivity to cisplatin. </t>
    </r>
  </si>
  <si>
    <r>
      <rPr>
        <b/>
        <sz val="11"/>
        <color theme="1"/>
        <rFont val="Calibri"/>
        <family val="2"/>
        <scheme val="minor"/>
      </rPr>
      <t>1) miR-199b-5p</t>
    </r>
    <r>
      <rPr>
        <sz val="11"/>
        <color theme="1"/>
        <rFont val="Calibri"/>
        <family val="2"/>
        <scheme val="minor"/>
      </rPr>
      <t xml:space="preserve"> as significantly down-regulated in </t>
    </r>
    <r>
      <rPr>
        <b/>
        <sz val="11"/>
        <color theme="1"/>
        <rFont val="Calibri"/>
        <family val="2"/>
        <scheme val="minor"/>
      </rPr>
      <t xml:space="preserve">cisplatin-resistant </t>
    </r>
    <r>
      <rPr>
        <sz val="11"/>
        <color theme="1"/>
        <rFont val="Calibri"/>
        <family val="2"/>
        <scheme val="minor"/>
      </rPr>
      <t>ovarian cancer cells.</t>
    </r>
    <r>
      <rPr>
        <b/>
        <sz val="11"/>
        <color theme="1"/>
        <rFont val="Calibri"/>
        <family val="2"/>
        <scheme val="minor"/>
      </rPr>
      <t xml:space="preserve"> 2)</t>
    </r>
    <r>
      <rPr>
        <sz val="11"/>
        <color theme="1"/>
        <rFont val="Calibri"/>
        <family val="2"/>
        <scheme val="minor"/>
      </rPr>
      <t xml:space="preserve"> miR-199b-5p is clinically associated with advanced and poor survival ovarian cancers.</t>
    </r>
    <r>
      <rPr>
        <b/>
        <sz val="11"/>
        <color theme="1"/>
        <rFont val="Calibri"/>
        <family val="2"/>
        <scheme val="minor"/>
      </rPr>
      <t xml:space="preserve"> 3) J</t>
    </r>
    <r>
      <rPr>
        <sz val="11"/>
        <color theme="1"/>
        <rFont val="Calibri"/>
        <family val="2"/>
        <scheme val="minor"/>
      </rPr>
      <t>AG1 was a primary target of miR-199b-5p. 4</t>
    </r>
    <r>
      <rPr>
        <b/>
        <sz val="11"/>
        <color theme="1"/>
        <rFont val="Calibri"/>
        <family val="2"/>
        <scheme val="minor"/>
      </rPr>
      <t>)</t>
    </r>
    <r>
      <rPr>
        <sz val="11"/>
        <color theme="1"/>
        <rFont val="Calibri"/>
        <family val="2"/>
        <scheme val="minor"/>
      </rPr>
      <t xml:space="preserve"> Re-expression of miR-199b-5p and siRNA-mediated JAG1 knockdown or treatment with Notch specific inhibitor γ-secretase (GSI) attenuated JAG1-Notch1 signaling activity, thereby enhancing cisplatin-mediated cell cytotoxicity in vitro and in vivo. </t>
    </r>
  </si>
  <si>
    <r>
      <rPr>
        <b/>
        <sz val="11"/>
        <color theme="1"/>
        <rFont val="Calibri"/>
        <family val="2"/>
        <scheme val="minor"/>
      </rPr>
      <t xml:space="preserve">1) </t>
    </r>
    <r>
      <rPr>
        <sz val="11"/>
        <color theme="1"/>
        <rFont val="Calibri"/>
        <family val="2"/>
        <scheme val="minor"/>
      </rPr>
      <t xml:space="preserve">CXCR4 contributes to CXCL12-mediated anti-apoptosis by activating </t>
    </r>
    <r>
      <rPr>
        <b/>
        <sz val="11"/>
        <color theme="1"/>
        <rFont val="Calibri"/>
        <family val="2"/>
        <scheme val="minor"/>
      </rPr>
      <t>JAK2</t>
    </r>
    <r>
      <rPr>
        <sz val="11"/>
        <color theme="1"/>
        <rFont val="Calibri"/>
        <family val="2"/>
        <scheme val="minor"/>
      </rPr>
      <t xml:space="preserve">/STAT3 pathway in NSCLC cells. </t>
    </r>
    <r>
      <rPr>
        <b/>
        <sz val="11"/>
        <color theme="1"/>
        <rFont val="Calibri"/>
        <family val="2"/>
        <scheme val="minor"/>
      </rPr>
      <t>2)</t>
    </r>
    <r>
      <rPr>
        <sz val="11"/>
        <color theme="1"/>
        <rFont val="Calibri"/>
        <family val="2"/>
        <scheme val="minor"/>
      </rPr>
      <t xml:space="preserve"> in vitro treatment of OVCA 433 and HEY cell lines with </t>
    </r>
    <r>
      <rPr>
        <b/>
        <sz val="11"/>
        <color theme="1"/>
        <rFont val="Calibri"/>
        <family val="2"/>
        <scheme val="minor"/>
      </rPr>
      <t>cisplatin</t>
    </r>
    <r>
      <rPr>
        <sz val="11"/>
        <color theme="1"/>
        <rFont val="Calibri"/>
        <family val="2"/>
        <scheme val="minor"/>
      </rPr>
      <t xml:space="preserve"> or paclitaxel resulted in the activation of the JAK2/STAT3 pathway. </t>
    </r>
    <r>
      <rPr>
        <b/>
        <sz val="11"/>
        <color theme="1"/>
        <rFont val="Calibri"/>
        <family val="2"/>
        <scheme val="minor"/>
      </rPr>
      <t xml:space="preserve">3) </t>
    </r>
    <r>
      <rPr>
        <sz val="11"/>
        <color theme="1"/>
        <rFont val="Calibri"/>
        <family val="2"/>
        <scheme val="minor"/>
      </rPr>
      <t xml:space="preserve">Coupling of the </t>
    </r>
    <r>
      <rPr>
        <b/>
        <sz val="11"/>
        <color theme="1"/>
        <rFont val="Calibri"/>
        <family val="2"/>
        <scheme val="minor"/>
      </rPr>
      <t>stem cell</t>
    </r>
    <r>
      <rPr>
        <sz val="11"/>
        <color theme="1"/>
        <rFont val="Calibri"/>
        <family val="2"/>
        <scheme val="minor"/>
      </rPr>
      <t xml:space="preserve"> marker CD44 with the embryonic stem cell marker Nanog has been shown to be associated with the activation of STAT3 in ovarian cancer cells. </t>
    </r>
    <r>
      <rPr>
        <b/>
        <sz val="11"/>
        <color theme="1"/>
        <rFont val="Calibri"/>
        <family val="2"/>
        <scheme val="minor"/>
      </rPr>
      <t>4)</t>
    </r>
    <r>
      <rPr>
        <sz val="11"/>
        <color theme="1"/>
        <rFont val="Calibri"/>
        <family val="2"/>
        <scheme val="minor"/>
      </rPr>
      <t xml:space="preserve"> High mRNA expression and gene amplification of PD-L1 were both significantly associated with high JAK2 expression (P&lt;0.0001).</t>
    </r>
    <r>
      <rPr>
        <b/>
        <sz val="11"/>
        <color theme="1"/>
        <rFont val="Calibri"/>
        <family val="2"/>
        <scheme val="minor"/>
      </rPr>
      <t xml:space="preserve"> 5)</t>
    </r>
    <r>
      <rPr>
        <sz val="11"/>
        <color theme="1"/>
        <rFont val="Calibri"/>
        <family val="2"/>
        <scheme val="minor"/>
      </rPr>
      <t xml:space="preserve"> Of 223 archived </t>
    </r>
    <r>
      <rPr>
        <b/>
        <sz val="11"/>
        <color theme="1"/>
        <rFont val="Calibri"/>
        <family val="2"/>
        <scheme val="minor"/>
      </rPr>
      <t>breast</t>
    </r>
    <r>
      <rPr>
        <sz val="11"/>
        <color theme="1"/>
        <rFont val="Calibri"/>
        <family val="2"/>
        <scheme val="minor"/>
      </rPr>
      <t xml:space="preserve"> tumors from 2,460 patients in 3 cohorts, increased JAK2 was associated with a decreasing risk of recurrence (multivariate p=0.003, n=223). </t>
    </r>
  </si>
  <si>
    <r>
      <rPr>
        <b/>
        <sz val="11"/>
        <color theme="1"/>
        <rFont val="Calibri"/>
        <family val="2"/>
        <scheme val="minor"/>
      </rPr>
      <t>1)</t>
    </r>
    <r>
      <rPr>
        <sz val="11"/>
        <color theme="1"/>
        <rFont val="Calibri"/>
        <family val="2"/>
        <scheme val="minor"/>
      </rPr>
      <t xml:space="preserve"> Expression of miR-139-5p was decreased in </t>
    </r>
    <r>
      <rPr>
        <b/>
        <sz val="11"/>
        <color theme="1"/>
        <rFont val="Calibri"/>
        <family val="2"/>
        <scheme val="minor"/>
      </rPr>
      <t>ovarian</t>
    </r>
    <r>
      <rPr>
        <sz val="11"/>
        <color theme="1"/>
        <rFont val="Calibri"/>
        <family val="2"/>
        <scheme val="minor"/>
      </rPr>
      <t xml:space="preserve"> cancer SKOV3-R and A2780-R cells. Recovery of miR-139-5p increased the sensitivity of SKOV3-R and A2780-R cells to </t>
    </r>
    <r>
      <rPr>
        <b/>
        <sz val="11"/>
        <color theme="1"/>
        <rFont val="Calibri"/>
        <family val="2"/>
        <scheme val="minor"/>
      </rPr>
      <t>cisplatin</t>
    </r>
    <r>
      <rPr>
        <sz val="11"/>
        <color theme="1"/>
        <rFont val="Calibri"/>
        <family val="2"/>
        <scheme val="minor"/>
      </rPr>
      <t xml:space="preserve"> treatment, inhibited the interaction of </t>
    </r>
    <r>
      <rPr>
        <b/>
        <sz val="11"/>
        <color theme="1"/>
        <rFont val="Calibri"/>
        <family val="2"/>
        <scheme val="minor"/>
      </rPr>
      <t>c-Jun</t>
    </r>
    <r>
      <rPr>
        <sz val="11"/>
        <color theme="1"/>
        <rFont val="Calibri"/>
        <family val="2"/>
        <scheme val="minor"/>
      </rPr>
      <t xml:space="preserve"> and </t>
    </r>
    <r>
      <rPr>
        <b/>
        <sz val="11"/>
        <color theme="1"/>
        <rFont val="Calibri"/>
        <family val="2"/>
        <scheme val="minor"/>
      </rPr>
      <t>ATF2</t>
    </r>
    <r>
      <rPr>
        <sz val="11"/>
        <color theme="1"/>
        <rFont val="Calibri"/>
        <family val="2"/>
        <scheme val="minor"/>
      </rPr>
      <t xml:space="preserve">, and decreased </t>
    </r>
    <r>
      <rPr>
        <b/>
        <sz val="11"/>
        <color theme="1"/>
        <rFont val="Calibri"/>
        <family val="2"/>
        <scheme val="minor"/>
      </rPr>
      <t xml:space="preserve">Bcl-xl </t>
    </r>
    <r>
      <rPr>
        <sz val="11"/>
        <color theme="1"/>
        <rFont val="Calibri"/>
        <family val="2"/>
        <scheme val="minor"/>
      </rPr>
      <t xml:space="preserve">expression in SKOV3-R and A2780-R cells. </t>
    </r>
    <r>
      <rPr>
        <b/>
        <sz val="11"/>
        <color theme="1"/>
        <rFont val="Calibri"/>
        <family val="2"/>
        <scheme val="minor"/>
      </rPr>
      <t xml:space="preserve">2) </t>
    </r>
    <r>
      <rPr>
        <sz val="11"/>
        <color theme="1"/>
        <rFont val="Calibri"/>
        <family val="2"/>
        <scheme val="minor"/>
      </rPr>
      <t xml:space="preserve">Expression of miR-139-5p promoted </t>
    </r>
    <r>
      <rPr>
        <b/>
        <sz val="11"/>
        <color theme="1"/>
        <rFont val="Calibri"/>
        <family val="2"/>
        <scheme val="minor"/>
      </rPr>
      <t>cisplatin</t>
    </r>
    <r>
      <rPr>
        <sz val="11"/>
        <color theme="1"/>
        <rFont val="Calibri"/>
        <family val="2"/>
        <scheme val="minor"/>
      </rPr>
      <t xml:space="preserve">-induced mitochondrial apoptosis through binding the 3' untranslated region of </t>
    </r>
    <r>
      <rPr>
        <b/>
        <sz val="11"/>
        <color theme="1"/>
        <rFont val="Calibri"/>
        <family val="2"/>
        <scheme val="minor"/>
      </rPr>
      <t>c-Jun</t>
    </r>
    <r>
      <rPr>
        <sz val="11"/>
        <color theme="1"/>
        <rFont val="Calibri"/>
        <family val="2"/>
        <scheme val="minor"/>
      </rPr>
      <t xml:space="preserve"> mRNA. </t>
    </r>
    <r>
      <rPr>
        <b/>
        <sz val="11"/>
        <color theme="1"/>
        <rFont val="Calibri"/>
        <family val="2"/>
        <scheme val="minor"/>
      </rPr>
      <t>3) c-Jun</t>
    </r>
    <r>
      <rPr>
        <sz val="11"/>
        <color theme="1"/>
        <rFont val="Calibri"/>
        <family val="2"/>
        <scheme val="minor"/>
      </rPr>
      <t xml:space="preserve"> was up-regulated in the docetaxel/</t>
    </r>
    <r>
      <rPr>
        <b/>
        <sz val="11"/>
        <color theme="1"/>
        <rFont val="Calibri"/>
        <family val="2"/>
        <scheme val="minor"/>
      </rPr>
      <t>cisplatin</t>
    </r>
    <r>
      <rPr>
        <sz val="11"/>
        <color theme="1"/>
        <rFont val="Calibri"/>
        <family val="2"/>
        <scheme val="minor"/>
      </rPr>
      <t xml:space="preserve">/5-fluorouracil-insensitive group with P = 0.0008  in </t>
    </r>
    <r>
      <rPr>
        <b/>
        <sz val="11"/>
        <color theme="1"/>
        <rFont val="Calibri"/>
        <family val="2"/>
        <scheme val="minor"/>
      </rPr>
      <t>hypopharyngeal</t>
    </r>
    <r>
      <rPr>
        <sz val="11"/>
        <color theme="1"/>
        <rFont val="Calibri"/>
        <family val="2"/>
        <scheme val="minor"/>
      </rPr>
      <t xml:space="preserve"> carcinoma.</t>
    </r>
    <r>
      <rPr>
        <b/>
        <sz val="11"/>
        <color theme="1"/>
        <rFont val="Calibri"/>
        <family val="2"/>
        <scheme val="minor"/>
      </rPr>
      <t xml:space="preserve"> 4) platinum</t>
    </r>
    <r>
      <rPr>
        <sz val="11"/>
        <color theme="1"/>
        <rFont val="Calibri"/>
        <family val="2"/>
        <scheme val="minor"/>
      </rPr>
      <t xml:space="preserve"> resistance was mediated by </t>
    </r>
    <r>
      <rPr>
        <b/>
        <sz val="11"/>
        <color theme="1"/>
        <rFont val="Calibri"/>
        <family val="2"/>
        <scheme val="minor"/>
      </rPr>
      <t xml:space="preserve">DGKA </t>
    </r>
    <r>
      <rPr>
        <sz val="11"/>
        <color theme="1"/>
        <rFont val="Calibri"/>
        <family val="2"/>
        <scheme val="minor"/>
      </rPr>
      <t>and its product, phosphatidic acid (</t>
    </r>
    <r>
      <rPr>
        <b/>
        <sz val="11"/>
        <color theme="1"/>
        <rFont val="Calibri"/>
        <family val="2"/>
        <scheme val="minor"/>
      </rPr>
      <t>PA</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 in </t>
    </r>
    <r>
      <rPr>
        <b/>
        <sz val="11"/>
        <color theme="1"/>
        <rFont val="Calibri"/>
        <family val="2"/>
        <scheme val="minor"/>
      </rPr>
      <t>ovarian</t>
    </r>
    <r>
      <rPr>
        <sz val="11"/>
        <color theme="1"/>
        <rFont val="Calibri"/>
        <family val="2"/>
        <scheme val="minor"/>
      </rPr>
      <t xml:space="preserve"> cancer: DGKA activates the transcription factor </t>
    </r>
    <r>
      <rPr>
        <b/>
        <sz val="11"/>
        <color theme="1"/>
        <rFont val="Calibri"/>
        <family val="2"/>
        <scheme val="minor"/>
      </rPr>
      <t>c-JUN</t>
    </r>
    <r>
      <rPr>
        <sz val="11"/>
        <color theme="1"/>
        <rFont val="Calibri"/>
        <family val="2"/>
        <scheme val="minor"/>
      </rPr>
      <t xml:space="preserve"> and consequently enhances expression of a cell-cycle regulator, </t>
    </r>
    <r>
      <rPr>
        <b/>
        <sz val="11"/>
        <color theme="1"/>
        <rFont val="Calibri"/>
        <family val="2"/>
        <scheme val="minor"/>
      </rPr>
      <t>WEE1</t>
    </r>
    <r>
      <rPr>
        <sz val="11"/>
        <color theme="1"/>
        <rFont val="Calibri"/>
        <family val="2"/>
        <scheme val="minor"/>
      </rPr>
      <t xml:space="preserve">. </t>
    </r>
    <r>
      <rPr>
        <b/>
        <sz val="11"/>
        <color theme="1"/>
        <rFont val="Calibri"/>
        <family val="2"/>
        <scheme val="minor"/>
      </rPr>
      <t>5) PA</t>
    </r>
    <r>
      <rPr>
        <sz val="11"/>
        <color theme="1"/>
        <rFont val="Calibri"/>
        <family val="2"/>
        <scheme val="minor"/>
      </rPr>
      <t xml:space="preserve"> facilitates c-JUN N-terminal kinase recruitment to </t>
    </r>
    <r>
      <rPr>
        <b/>
        <sz val="11"/>
        <color theme="1"/>
        <rFont val="Calibri"/>
        <family val="2"/>
        <scheme val="minor"/>
      </rPr>
      <t>c-JUN</t>
    </r>
    <r>
      <rPr>
        <sz val="11"/>
        <color theme="1"/>
        <rFont val="Calibri"/>
        <family val="2"/>
        <scheme val="minor"/>
      </rPr>
      <t xml:space="preserve"> and its nuclear localization, leading to c-JUN activation upon </t>
    </r>
    <r>
      <rPr>
        <b/>
        <sz val="11"/>
        <color theme="1"/>
        <rFont val="Calibri"/>
        <family val="2"/>
        <scheme val="minor"/>
      </rPr>
      <t>cisplatin</t>
    </r>
    <r>
      <rPr>
        <sz val="11"/>
        <color theme="1"/>
        <rFont val="Calibri"/>
        <family val="2"/>
        <scheme val="minor"/>
      </rPr>
      <t xml:space="preserve"> exposure. </t>
    </r>
    <r>
      <rPr>
        <b/>
        <sz val="11"/>
        <color theme="1"/>
        <rFont val="Calibri"/>
        <family val="2"/>
        <scheme val="minor"/>
      </rPr>
      <t xml:space="preserve">6) </t>
    </r>
    <r>
      <rPr>
        <sz val="11"/>
        <color theme="1"/>
        <rFont val="Calibri"/>
        <family val="2"/>
        <scheme val="minor"/>
      </rPr>
      <t xml:space="preserve">Pharmacologic inhibition of </t>
    </r>
    <r>
      <rPr>
        <b/>
        <sz val="11"/>
        <color theme="1"/>
        <rFont val="Calibri"/>
        <family val="2"/>
        <scheme val="minor"/>
      </rPr>
      <t>DGKA</t>
    </r>
    <r>
      <rPr>
        <sz val="11"/>
        <color theme="1"/>
        <rFont val="Calibri"/>
        <family val="2"/>
        <scheme val="minor"/>
      </rPr>
      <t xml:space="preserve"> sensitized ovarian cancer cells to </t>
    </r>
    <r>
      <rPr>
        <b/>
        <sz val="11"/>
        <color theme="1"/>
        <rFont val="Calibri"/>
        <family val="2"/>
        <scheme val="minor"/>
      </rPr>
      <t>cisplatin</t>
    </r>
    <r>
      <rPr>
        <sz val="11"/>
        <color theme="1"/>
        <rFont val="Calibri"/>
        <family val="2"/>
        <scheme val="minor"/>
      </rPr>
      <t xml:space="preserve"> treatment; </t>
    </r>
    <r>
      <rPr>
        <b/>
        <sz val="11"/>
        <color theme="1"/>
        <rFont val="Calibri"/>
        <family val="2"/>
        <scheme val="minor"/>
      </rPr>
      <t xml:space="preserve">8) DGKA-c-JUN-WEE1 </t>
    </r>
    <r>
      <rPr>
        <sz val="11"/>
        <color theme="1"/>
        <rFont val="Calibri"/>
        <family val="2"/>
        <scheme val="minor"/>
      </rPr>
      <t xml:space="preserve">signaling positively correlated with </t>
    </r>
    <r>
      <rPr>
        <b/>
        <sz val="11"/>
        <color theme="1"/>
        <rFont val="Calibri"/>
        <family val="2"/>
        <scheme val="minor"/>
      </rPr>
      <t>platinum</t>
    </r>
    <r>
      <rPr>
        <sz val="11"/>
        <color theme="1"/>
        <rFont val="Calibri"/>
        <family val="2"/>
        <scheme val="minor"/>
      </rPr>
      <t xml:space="preserve"> resistance in tumors derived from patients with </t>
    </r>
    <r>
      <rPr>
        <b/>
        <sz val="11"/>
        <color theme="1"/>
        <rFont val="Calibri"/>
        <family val="2"/>
        <scheme val="minor"/>
      </rPr>
      <t>ovarian</t>
    </r>
    <r>
      <rPr>
        <sz val="11"/>
        <color theme="1"/>
        <rFont val="Calibri"/>
        <family val="2"/>
        <scheme val="minor"/>
      </rPr>
      <t xml:space="preserve"> cancer.</t>
    </r>
  </si>
  <si>
    <r>
      <rPr>
        <b/>
        <sz val="11"/>
        <color theme="1"/>
        <rFont val="Calibri"/>
        <family val="2"/>
        <scheme val="minor"/>
      </rPr>
      <t xml:space="preserve">1) </t>
    </r>
    <r>
      <rPr>
        <sz val="11"/>
        <color theme="1"/>
        <rFont val="Calibri"/>
        <family val="2"/>
        <scheme val="minor"/>
      </rPr>
      <t>As JUN.</t>
    </r>
    <r>
      <rPr>
        <b/>
        <sz val="11"/>
        <color theme="1"/>
        <rFont val="Calibri"/>
        <family val="2"/>
        <scheme val="minor"/>
      </rPr>
      <t xml:space="preserve"> 2)</t>
    </r>
    <r>
      <rPr>
        <sz val="11"/>
        <color theme="1"/>
        <rFont val="Calibri"/>
        <family val="2"/>
        <scheme val="minor"/>
      </rPr>
      <t xml:space="preserve"> fresh-frozen tissues of 161 </t>
    </r>
    <r>
      <rPr>
        <b/>
        <sz val="11"/>
        <color theme="1"/>
        <rFont val="Calibri"/>
        <family val="2"/>
        <scheme val="minor"/>
      </rPr>
      <t xml:space="preserve">ovarian </t>
    </r>
    <r>
      <rPr>
        <sz val="11"/>
        <color theme="1"/>
        <rFont val="Calibri"/>
        <family val="2"/>
        <scheme val="minor"/>
      </rPr>
      <t>cancer patients.</t>
    </r>
    <r>
      <rPr>
        <b/>
        <sz val="11"/>
        <color theme="1"/>
        <rFont val="Calibri"/>
        <family val="2"/>
        <scheme val="minor"/>
      </rPr>
      <t xml:space="preserve"> 3) </t>
    </r>
    <r>
      <rPr>
        <sz val="11"/>
        <color theme="1"/>
        <rFont val="Calibri"/>
        <family val="2"/>
        <scheme val="minor"/>
      </rPr>
      <t>A high pc-Jun (</t>
    </r>
    <r>
      <rPr>
        <b/>
        <sz val="11"/>
        <color theme="1"/>
        <rFont val="Calibri"/>
        <family val="2"/>
        <scheme val="minor"/>
      </rPr>
      <t>phosporylated c-Jun Ser63</t>
    </r>
    <r>
      <rPr>
        <sz val="11"/>
        <color theme="1"/>
        <rFont val="Calibri"/>
        <family val="2"/>
        <scheme val="minor"/>
      </rPr>
      <t xml:space="preserve">) expression was significantly associated with shorter progression-free survival (14 vs. 16 months, p = 0.017) and overall survival (25 vs. 41 months, p = 0.038). </t>
    </r>
    <r>
      <rPr>
        <b/>
        <sz val="11"/>
        <color theme="1"/>
        <rFont val="Calibri"/>
        <family val="2"/>
        <scheme val="minor"/>
      </rPr>
      <t>4)</t>
    </r>
    <r>
      <rPr>
        <sz val="11"/>
        <color theme="1"/>
        <rFont val="Calibri"/>
        <family val="2"/>
        <scheme val="minor"/>
      </rPr>
      <t xml:space="preserve"> In case of </t>
    </r>
    <r>
      <rPr>
        <b/>
        <sz val="11"/>
        <color theme="1"/>
        <rFont val="Calibri"/>
        <family val="2"/>
        <scheme val="minor"/>
      </rPr>
      <t>JunD</t>
    </r>
    <r>
      <rPr>
        <sz val="11"/>
        <color theme="1"/>
        <rFont val="Calibri"/>
        <family val="2"/>
        <scheme val="minor"/>
      </rPr>
      <t>, moderate protein levels were associated with a better prognosis, leading to longer progression-free and overall survival compared to weak or strong JunD expression (PFS in cases with weak/moderate/strong JunD expression: 14 vs. 19.5 vs. 16 months, p = 0.011; OAS: 32 vs. 42 vs. 35.5 months, p = 0.009).</t>
    </r>
    <r>
      <rPr>
        <b/>
        <sz val="11"/>
        <color theme="1"/>
        <rFont val="Calibri"/>
        <family val="2"/>
        <scheme val="minor"/>
      </rPr>
      <t xml:space="preserve"> 5)</t>
    </r>
    <r>
      <rPr>
        <sz val="11"/>
        <color theme="1"/>
        <rFont val="Calibri"/>
        <family val="2"/>
        <scheme val="minor"/>
      </rPr>
      <t xml:space="preserve"> Multivariate Cox regression analysis confirmed an independent and significant impact of pc-Jun and JunD on the patient's prognosis. </t>
    </r>
  </si>
  <si>
    <r>
      <rPr>
        <b/>
        <sz val="11"/>
        <color theme="1"/>
        <rFont val="Calibri"/>
        <family val="2"/>
        <scheme val="minor"/>
      </rPr>
      <t>1) PCAF</t>
    </r>
    <r>
      <rPr>
        <sz val="11"/>
        <color theme="1"/>
        <rFont val="Calibri"/>
        <family val="2"/>
        <scheme val="minor"/>
      </rPr>
      <t xml:space="preserve"> was also overexpressed in </t>
    </r>
    <r>
      <rPr>
        <b/>
        <sz val="11"/>
        <color theme="1"/>
        <rFont val="Calibri"/>
        <family val="2"/>
        <scheme val="minor"/>
      </rPr>
      <t>cisplatin</t>
    </r>
    <r>
      <rPr>
        <sz val="11"/>
        <color theme="1"/>
        <rFont val="Calibri"/>
        <family val="2"/>
        <scheme val="minor"/>
      </rPr>
      <t xml:space="preserve">-resistant cells and endowed an antiapoptotic phenotype through enhanced </t>
    </r>
    <r>
      <rPr>
        <b/>
        <sz val="11"/>
        <color theme="1"/>
        <rFont val="Calibri"/>
        <family val="2"/>
        <scheme val="minor"/>
      </rPr>
      <t>E2F1</t>
    </r>
    <r>
      <rPr>
        <sz val="11"/>
        <color theme="1"/>
        <rFont val="Calibri"/>
        <family val="2"/>
        <scheme val="minor"/>
      </rPr>
      <t xml:space="preserve"> expression. </t>
    </r>
    <r>
      <rPr>
        <b/>
        <sz val="11"/>
        <color theme="1"/>
        <rFont val="Calibri"/>
        <family val="2"/>
        <scheme val="minor"/>
      </rPr>
      <t>2)</t>
    </r>
    <r>
      <rPr>
        <sz val="11"/>
        <color theme="1"/>
        <rFont val="Calibri"/>
        <family val="2"/>
        <scheme val="minor"/>
      </rPr>
      <t xml:space="preserve"> PCAF-overexpressing cells showed enhanced expression of E2F1 and conferred cell resistance to chemotherapeutic agents. </t>
    </r>
    <r>
      <rPr>
        <b/>
        <sz val="11"/>
        <color theme="1"/>
        <rFont val="Calibri"/>
        <family val="2"/>
        <scheme val="minor"/>
      </rPr>
      <t xml:space="preserve">3) </t>
    </r>
    <r>
      <rPr>
        <sz val="11"/>
        <color theme="1"/>
        <rFont val="Calibri"/>
        <family val="2"/>
        <scheme val="minor"/>
      </rPr>
      <t>Downregulation of PCAF decreased E2F1 expression and sensitized cells to chemotherapeutic agents. Moreover, knockdown of PCAF induced G(1) arrest and apoptosis. </t>
    </r>
    <r>
      <rPr>
        <b/>
        <sz val="11"/>
        <color theme="1"/>
        <rFont val="Calibri"/>
        <family val="2"/>
        <scheme val="minor"/>
      </rPr>
      <t xml:space="preserve">4) </t>
    </r>
    <r>
      <rPr>
        <sz val="11"/>
        <color theme="1"/>
        <rFont val="Calibri"/>
        <family val="2"/>
        <scheme val="minor"/>
      </rPr>
      <t xml:space="preserve">PCAF, Twist1, and Y-box binding protein-1 (YB-1) expressions were elevated in cisplatin- and doxorubicin-resistant cancer cells. </t>
    </r>
    <r>
      <rPr>
        <b/>
        <sz val="11"/>
        <color theme="1"/>
        <rFont val="Calibri"/>
        <family val="2"/>
        <scheme val="minor"/>
      </rPr>
      <t>5)</t>
    </r>
    <r>
      <rPr>
        <sz val="11"/>
        <color theme="1"/>
        <rFont val="Calibri"/>
        <family val="2"/>
        <scheme val="minor"/>
      </rPr>
      <t xml:space="preserve"> PCAF manipulation modulated YB-1 transcription in a Twist1-dependent manner. </t>
    </r>
    <r>
      <rPr>
        <b/>
        <sz val="11"/>
        <color theme="1"/>
        <rFont val="Calibri"/>
        <family val="2"/>
        <scheme val="minor"/>
      </rPr>
      <t>6)</t>
    </r>
    <r>
      <rPr>
        <sz val="11"/>
        <color theme="1"/>
        <rFont val="Calibri"/>
        <family val="2"/>
        <scheme val="minor"/>
      </rPr>
      <t xml:space="preserve"> PCAF regulated the Twist1 intracellular localization and the Twist1 transcriptional activity through its acetylation function to the Twist1. </t>
    </r>
    <r>
      <rPr>
        <b/>
        <sz val="11"/>
        <color theme="1"/>
        <rFont val="Calibri"/>
        <family val="2"/>
        <scheme val="minor"/>
      </rPr>
      <t xml:space="preserve">7) </t>
    </r>
    <r>
      <rPr>
        <sz val="11"/>
        <color theme="1"/>
        <rFont val="Calibri"/>
        <family val="2"/>
        <scheme val="minor"/>
      </rPr>
      <t xml:space="preserve">Suppression of PCAF expression reduced YB-1 expression in human </t>
    </r>
    <r>
      <rPr>
        <b/>
        <sz val="11"/>
        <color theme="1"/>
        <rFont val="Calibri"/>
        <family val="2"/>
        <scheme val="minor"/>
      </rPr>
      <t xml:space="preserve">urothelial </t>
    </r>
    <r>
      <rPr>
        <sz val="11"/>
        <color theme="1"/>
        <rFont val="Calibri"/>
        <family val="2"/>
        <scheme val="minor"/>
      </rPr>
      <t xml:space="preserve">cancer KK47 cells, and rendered KK47 cells sensitive to </t>
    </r>
    <r>
      <rPr>
        <b/>
        <sz val="11"/>
        <color theme="1"/>
        <rFont val="Calibri"/>
        <family val="2"/>
        <scheme val="minor"/>
      </rPr>
      <t>cisplatin</t>
    </r>
    <r>
      <rPr>
        <sz val="11"/>
        <color theme="1"/>
        <rFont val="Calibri"/>
        <family val="2"/>
        <scheme val="minor"/>
      </rPr>
      <t xml:space="preserve"> and doxorubicin, but not to 5-fluorouracil. </t>
    </r>
  </si>
  <si>
    <r>
      <rPr>
        <b/>
        <sz val="11"/>
        <color theme="1"/>
        <rFont val="Calibri"/>
        <family val="2"/>
        <scheme val="minor"/>
      </rPr>
      <t>1)</t>
    </r>
    <r>
      <rPr>
        <sz val="11"/>
        <color theme="1"/>
        <rFont val="Calibri"/>
        <family val="2"/>
        <scheme val="minor"/>
      </rPr>
      <t xml:space="preserve"> the physical interaction between the </t>
    </r>
    <r>
      <rPr>
        <b/>
        <sz val="11"/>
        <color theme="1"/>
        <rFont val="Calibri"/>
        <family val="2"/>
        <scheme val="minor"/>
      </rPr>
      <t>TIP60</t>
    </r>
    <r>
      <rPr>
        <sz val="11"/>
        <color theme="1"/>
        <rFont val="Calibri"/>
        <family val="2"/>
        <scheme val="minor"/>
      </rPr>
      <t xml:space="preserve"> and </t>
    </r>
    <r>
      <rPr>
        <b/>
        <sz val="11"/>
        <color theme="1"/>
        <rFont val="Calibri"/>
        <family val="2"/>
        <scheme val="minor"/>
      </rPr>
      <t>FANCD2</t>
    </r>
    <r>
      <rPr>
        <sz val="11"/>
        <color theme="1"/>
        <rFont val="Calibri"/>
        <family val="2"/>
        <scheme val="minor"/>
      </rPr>
      <t xml:space="preserve"> proteins has been identified that is critical for ICL repair. </t>
    </r>
    <r>
      <rPr>
        <b/>
        <sz val="11"/>
        <color theme="1"/>
        <rFont val="Calibri"/>
        <family val="2"/>
        <scheme val="minor"/>
      </rPr>
      <t>2)</t>
    </r>
    <r>
      <rPr>
        <sz val="11"/>
        <color theme="1"/>
        <rFont val="Calibri"/>
        <family val="2"/>
        <scheme val="minor"/>
      </rPr>
      <t xml:space="preserve"> the chemoresistant </t>
    </r>
    <r>
      <rPr>
        <b/>
        <sz val="11"/>
        <color theme="1"/>
        <rFont val="Calibri"/>
        <family val="2"/>
        <scheme val="minor"/>
      </rPr>
      <t>nasopharyngeal</t>
    </r>
    <r>
      <rPr>
        <sz val="11"/>
        <color theme="1"/>
        <rFont val="Calibri"/>
        <family val="2"/>
        <scheme val="minor"/>
      </rPr>
      <t xml:space="preserve"> carcinoma cells, derived from chronic treatment of </t>
    </r>
    <r>
      <rPr>
        <b/>
        <sz val="11"/>
        <color theme="1"/>
        <rFont val="Calibri"/>
        <family val="2"/>
        <scheme val="minor"/>
      </rPr>
      <t>cisplatin</t>
    </r>
    <r>
      <rPr>
        <sz val="11"/>
        <color theme="1"/>
        <rFont val="Calibri"/>
        <family val="2"/>
        <scheme val="minor"/>
      </rPr>
      <t xml:space="preserve">, show elevated expression of </t>
    </r>
    <r>
      <rPr>
        <b/>
        <sz val="11"/>
        <color theme="1"/>
        <rFont val="Calibri"/>
        <family val="2"/>
        <scheme val="minor"/>
      </rPr>
      <t>TIP60</t>
    </r>
    <r>
      <rPr>
        <sz val="11"/>
        <color theme="1"/>
        <rFont val="Calibri"/>
        <family val="2"/>
        <scheme val="minor"/>
      </rPr>
      <t xml:space="preserve">. </t>
    </r>
    <r>
      <rPr>
        <b/>
        <sz val="11"/>
        <color theme="1"/>
        <rFont val="Calibri"/>
        <family val="2"/>
        <scheme val="minor"/>
      </rPr>
      <t xml:space="preserve">3) </t>
    </r>
    <r>
      <rPr>
        <sz val="11"/>
        <color theme="1"/>
        <rFont val="Calibri"/>
        <family val="2"/>
        <scheme val="minor"/>
      </rPr>
      <t xml:space="preserve">TIP60 binds to the promoters of FANCD2 and BRCA1 and promote the expression of FANCD2 and BRCA1. </t>
    </r>
    <r>
      <rPr>
        <b/>
        <sz val="11"/>
        <color theme="1"/>
        <rFont val="Calibri"/>
        <family val="2"/>
        <scheme val="minor"/>
      </rPr>
      <t xml:space="preserve">4) </t>
    </r>
    <r>
      <rPr>
        <sz val="11"/>
        <color theme="1"/>
        <rFont val="Calibri"/>
        <family val="2"/>
        <scheme val="minor"/>
      </rPr>
      <t xml:space="preserve">cisplatin caused these Tip60-silenced normal MEC to accumulate γH2AX but did not increase their apoptosis. Indeed, siTip60 provided cells with modest protection against cisplatin-induced death, as confirmed by their lack of cleaved PARP. </t>
    </r>
    <r>
      <rPr>
        <b/>
        <sz val="11"/>
        <color theme="1"/>
        <rFont val="Calibri"/>
        <family val="2"/>
        <scheme val="minor"/>
      </rPr>
      <t xml:space="preserve">5) </t>
    </r>
    <r>
      <rPr>
        <sz val="11"/>
        <color theme="1"/>
        <rFont val="Calibri"/>
        <family val="2"/>
        <scheme val="minor"/>
      </rPr>
      <t xml:space="preserve">Tip60 is overexpressed in cisplatin-resistant cells. </t>
    </r>
    <r>
      <rPr>
        <b/>
        <sz val="11"/>
        <color theme="1"/>
        <rFont val="Calibri"/>
        <family val="2"/>
        <scheme val="minor"/>
      </rPr>
      <t>6)</t>
    </r>
    <r>
      <rPr>
        <sz val="11"/>
        <color theme="1"/>
        <rFont val="Calibri"/>
        <family val="2"/>
        <scheme val="minor"/>
      </rPr>
      <t xml:space="preserve"> Knockdown of Tip60 expression rendered cells sensitive to </t>
    </r>
    <r>
      <rPr>
        <b/>
        <sz val="11"/>
        <color theme="1"/>
        <rFont val="Calibri"/>
        <family val="2"/>
        <scheme val="minor"/>
      </rPr>
      <t>cisplatin</t>
    </r>
    <r>
      <rPr>
        <sz val="11"/>
        <color theme="1"/>
        <rFont val="Calibri"/>
        <family val="2"/>
        <scheme val="minor"/>
      </rPr>
      <t xml:space="preserve"> but not to oxaliplatin, vincristine, and etoposide. </t>
    </r>
    <r>
      <rPr>
        <b/>
        <sz val="11"/>
        <color theme="1"/>
        <rFont val="Calibri"/>
        <family val="2"/>
        <scheme val="minor"/>
      </rPr>
      <t xml:space="preserve">7) </t>
    </r>
    <r>
      <rPr>
        <sz val="11"/>
        <color theme="1"/>
        <rFont val="Calibri"/>
        <family val="2"/>
        <scheme val="minor"/>
      </rPr>
      <t xml:space="preserve">Tip60 expression is significantly correlated with cisplatin sensitivity in human </t>
    </r>
    <r>
      <rPr>
        <b/>
        <sz val="11"/>
        <color theme="1"/>
        <rFont val="Calibri"/>
        <family val="2"/>
        <scheme val="minor"/>
      </rPr>
      <t>lung</t>
    </r>
    <r>
      <rPr>
        <sz val="11"/>
        <color theme="1"/>
        <rFont val="Calibri"/>
        <family val="2"/>
        <scheme val="minor"/>
      </rPr>
      <t xml:space="preserve"> cancer cell lines. </t>
    </r>
    <r>
      <rPr>
        <b/>
        <sz val="11"/>
        <color theme="1"/>
        <rFont val="Calibri"/>
        <family val="2"/>
        <scheme val="minor"/>
      </rPr>
      <t>8)</t>
    </r>
    <r>
      <rPr>
        <sz val="11"/>
        <color theme="1"/>
        <rFont val="Calibri"/>
        <family val="2"/>
        <scheme val="minor"/>
      </rPr>
      <t xml:space="preserve"> the promoter region of the Tip60 gene contains several E boxes, and its expression was regulated by the E-box binding circadian transcription factor </t>
    </r>
    <r>
      <rPr>
        <b/>
        <sz val="11"/>
        <color theme="1"/>
        <rFont val="Calibri"/>
        <family val="2"/>
        <scheme val="minor"/>
      </rPr>
      <t>Clock</t>
    </r>
    <r>
      <rPr>
        <sz val="11"/>
        <color theme="1"/>
        <rFont val="Calibri"/>
        <family val="2"/>
        <scheme val="minor"/>
      </rPr>
      <t xml:space="preserve">. </t>
    </r>
    <r>
      <rPr>
        <b/>
        <sz val="11"/>
        <color theme="1"/>
        <rFont val="Calibri"/>
        <family val="2"/>
        <scheme val="minor"/>
      </rPr>
      <t>9)</t>
    </r>
    <r>
      <rPr>
        <sz val="11"/>
        <color theme="1"/>
        <rFont val="Calibri"/>
        <family val="2"/>
        <scheme val="minor"/>
      </rPr>
      <t xml:space="preserve"> Hyperacetylation of H3K14 and H4K16 was found in cisplatin-resistant cells. </t>
    </r>
  </si>
  <si>
    <r>
      <t xml:space="preserve">1) cells depleted of </t>
    </r>
    <r>
      <rPr>
        <b/>
        <sz val="11"/>
        <color theme="1"/>
        <rFont val="Calibri"/>
        <family val="2"/>
        <scheme val="minor"/>
      </rPr>
      <t>MOF</t>
    </r>
    <r>
      <rPr>
        <sz val="11"/>
        <color theme="1"/>
        <rFont val="Calibri"/>
        <family val="2"/>
        <scheme val="minor"/>
      </rPr>
      <t xml:space="preserve"> and under replicative stress induced by </t>
    </r>
    <r>
      <rPr>
        <b/>
        <sz val="11"/>
        <color theme="1"/>
        <rFont val="Calibri"/>
        <family val="2"/>
        <scheme val="minor"/>
      </rPr>
      <t>cisplatin</t>
    </r>
    <r>
      <rPr>
        <sz val="11"/>
        <color theme="1"/>
        <rFont val="Calibri"/>
        <family val="2"/>
        <scheme val="minor"/>
      </rPr>
      <t>, hydroxyurea, or camptothecin have reduced survival, a higher frequency of S-phase-specific chromosome damage, and increased R-loop formation. </t>
    </r>
    <r>
      <rPr>
        <b/>
        <sz val="11"/>
        <color theme="1"/>
        <rFont val="Calibri"/>
        <family val="2"/>
        <scheme val="minor"/>
      </rPr>
      <t>2)</t>
    </r>
    <r>
      <rPr>
        <sz val="11"/>
        <color theme="1"/>
        <rFont val="Calibri"/>
        <family val="2"/>
        <scheme val="minor"/>
      </rPr>
      <t xml:space="preserve">MOF interacted with PCNA and affected its ubiquitination and recruitment to the DNA damage site. </t>
    </r>
    <r>
      <rPr>
        <b/>
        <sz val="11"/>
        <color theme="1"/>
        <rFont val="Calibri"/>
        <family val="2"/>
        <scheme val="minor"/>
      </rPr>
      <t xml:space="preserve">3) </t>
    </r>
    <r>
      <rPr>
        <sz val="11"/>
        <color theme="1"/>
        <rFont val="Calibri"/>
        <family val="2"/>
        <scheme val="minor"/>
      </rPr>
      <t xml:space="preserve">Depletion of MOF, therefore, compromised the DNA damage repair response as evidenced by decreased Mre11, RPA70, Rad51, and PCNA focus formation, reduced DNA end resection, and decreased CHK1 phosphorylation in cells after exposure to hydroxyurea or </t>
    </r>
    <r>
      <rPr>
        <b/>
        <sz val="11"/>
        <color theme="1"/>
        <rFont val="Calibri"/>
        <family val="2"/>
        <scheme val="minor"/>
      </rPr>
      <t>cisplatin</t>
    </r>
    <r>
      <rPr>
        <sz val="11"/>
        <color theme="1"/>
        <rFont val="Calibri"/>
        <family val="2"/>
        <scheme val="minor"/>
      </rPr>
      <t xml:space="preserve">. </t>
    </r>
  </si>
  <si>
    <r>
      <rPr>
        <b/>
        <sz val="11"/>
        <color theme="1"/>
        <rFont val="Calibri"/>
        <family val="2"/>
        <scheme val="minor"/>
      </rPr>
      <t>1) miR-31</t>
    </r>
    <r>
      <rPr>
        <sz val="11"/>
        <color theme="1"/>
        <rFont val="Calibri"/>
        <family val="2"/>
        <scheme val="minor"/>
      </rPr>
      <t xml:space="preserve"> is increased, whilst </t>
    </r>
    <r>
      <rPr>
        <b/>
        <sz val="11"/>
        <color theme="1"/>
        <rFont val="Calibri"/>
        <family val="2"/>
        <scheme val="minor"/>
      </rPr>
      <t>KCNMA1</t>
    </r>
    <r>
      <rPr>
        <sz val="11"/>
        <color theme="1"/>
        <rFont val="Calibri"/>
        <family val="2"/>
        <scheme val="minor"/>
      </rPr>
      <t xml:space="preserve"> is reduced in resistant </t>
    </r>
    <r>
      <rPr>
        <b/>
        <sz val="11"/>
        <color theme="1"/>
        <rFont val="Calibri"/>
        <family val="2"/>
        <scheme val="minor"/>
      </rPr>
      <t>ovarian</t>
    </r>
    <r>
      <rPr>
        <sz val="11"/>
        <color theme="1"/>
        <rFont val="Calibri"/>
        <family val="2"/>
        <scheme val="minor"/>
      </rPr>
      <t xml:space="preserve"> cells. </t>
    </r>
    <r>
      <rPr>
        <b/>
        <sz val="11"/>
        <color theme="1"/>
        <rFont val="Calibri"/>
        <family val="2"/>
        <scheme val="minor"/>
      </rPr>
      <t>2)</t>
    </r>
    <r>
      <rPr>
        <sz val="11"/>
        <color theme="1"/>
        <rFont val="Calibri"/>
        <family val="2"/>
        <scheme val="minor"/>
      </rPr>
      <t xml:space="preserve"> Over-expression of miR-31 increased </t>
    </r>
    <r>
      <rPr>
        <b/>
        <sz val="11"/>
        <color theme="1"/>
        <rFont val="Calibri"/>
        <family val="2"/>
        <scheme val="minor"/>
      </rPr>
      <t>CDDP-resistance</t>
    </r>
    <r>
      <rPr>
        <sz val="11"/>
        <color theme="1"/>
        <rFont val="Calibri"/>
        <family val="2"/>
        <scheme val="minor"/>
      </rPr>
      <t xml:space="preserve">, as did knockdown of KCNMA1 or inhibition of BK channels. </t>
    </r>
    <r>
      <rPr>
        <b/>
        <sz val="11"/>
        <color theme="1"/>
        <rFont val="Calibri"/>
        <family val="2"/>
        <scheme val="minor"/>
      </rPr>
      <t xml:space="preserve">3) </t>
    </r>
    <r>
      <rPr>
        <sz val="11"/>
        <color theme="1"/>
        <rFont val="Calibri"/>
        <family val="2"/>
        <scheme val="minor"/>
      </rPr>
      <t xml:space="preserve">miR-31 represses KCNMA1 expression. </t>
    </r>
    <r>
      <rPr>
        <b/>
        <sz val="11"/>
        <color theme="1"/>
        <rFont val="Calibri"/>
        <family val="2"/>
        <scheme val="minor"/>
      </rPr>
      <t xml:space="preserve">4) </t>
    </r>
    <r>
      <rPr>
        <sz val="11"/>
        <color theme="1"/>
        <rFont val="Calibri"/>
        <family val="2"/>
        <scheme val="minor"/>
      </rPr>
      <t xml:space="preserve">Comparing the levels of miR-31 and KCNMA1 to </t>
    </r>
    <r>
      <rPr>
        <b/>
        <sz val="11"/>
        <color theme="1"/>
        <rFont val="Calibri"/>
        <family val="2"/>
        <scheme val="minor"/>
      </rPr>
      <t>cisplatin resistance</t>
    </r>
    <r>
      <rPr>
        <sz val="11"/>
        <color theme="1"/>
        <rFont val="Calibri"/>
        <family val="2"/>
        <scheme val="minor"/>
      </rPr>
      <t xml:space="preserve"> in the NCI60 panel or chemoresistance in cohorts of ovarian cancer tumours reveals correlations that support a role for these genes in vitro and in vivo. </t>
    </r>
  </si>
  <si>
    <r>
      <rPr>
        <b/>
        <sz val="11"/>
        <color theme="1"/>
        <rFont val="Calibri"/>
        <family val="2"/>
        <scheme val="minor"/>
      </rPr>
      <t>1)</t>
    </r>
    <r>
      <rPr>
        <sz val="11"/>
        <color theme="1"/>
        <rFont val="Calibri"/>
        <family val="2"/>
        <scheme val="minor"/>
      </rPr>
      <t xml:space="preserve"> lysine demethylase KDM3A/JMJD1A, which specifically demethylates H3K9me2, is highly expressed in</t>
    </r>
    <r>
      <rPr>
        <b/>
        <sz val="11"/>
        <color theme="1"/>
        <rFont val="Calibri"/>
        <family val="2"/>
        <scheme val="minor"/>
      </rPr>
      <t xml:space="preserve"> platinum</t>
    </r>
    <r>
      <rPr>
        <sz val="11"/>
        <color theme="1"/>
        <rFont val="Calibri"/>
        <family val="2"/>
        <scheme val="minor"/>
      </rPr>
      <t xml:space="preserve">-resistant ovarian cancer cells. </t>
    </r>
    <r>
      <rPr>
        <b/>
        <sz val="11"/>
        <color theme="1"/>
        <rFont val="Calibri"/>
        <family val="2"/>
        <scheme val="minor"/>
      </rPr>
      <t xml:space="preserve">2) </t>
    </r>
    <r>
      <rPr>
        <sz val="11"/>
        <color theme="1"/>
        <rFont val="Calibri"/>
        <family val="2"/>
        <scheme val="minor"/>
      </rPr>
      <t xml:space="preserve">lysine demethylase KDM3A as a critical regulator of </t>
    </r>
    <r>
      <rPr>
        <b/>
        <sz val="11"/>
        <color theme="1"/>
        <rFont val="Calibri"/>
        <family val="2"/>
        <scheme val="minor"/>
      </rPr>
      <t xml:space="preserve">ovarian </t>
    </r>
    <r>
      <rPr>
        <sz val="11"/>
        <color theme="1"/>
        <rFont val="Calibri"/>
        <family val="2"/>
        <scheme val="minor"/>
      </rPr>
      <t xml:space="preserve">cancer stemness and cisplatin resistance by inducing the expressions of pluripotent molecules Sox2 and Nanog and anti-apoptotic B-cell lymphoma 2 (Bcl-2) respectively. </t>
    </r>
    <r>
      <rPr>
        <b/>
        <sz val="11"/>
        <color theme="1"/>
        <rFont val="Calibri"/>
        <family val="2"/>
        <scheme val="minor"/>
      </rPr>
      <t xml:space="preserve">3) </t>
    </r>
    <r>
      <rPr>
        <sz val="11"/>
        <color theme="1"/>
        <rFont val="Calibri"/>
        <family val="2"/>
        <scheme val="minor"/>
      </rPr>
      <t xml:space="preserve">KDM3A induces ovarian cancer growth while </t>
    </r>
    <r>
      <rPr>
        <b/>
        <sz val="11"/>
        <color theme="1"/>
        <rFont val="Calibri"/>
        <family val="2"/>
        <scheme val="minor"/>
      </rPr>
      <t>antagonizing cellular senescence</t>
    </r>
    <r>
      <rPr>
        <sz val="11"/>
        <color theme="1"/>
        <rFont val="Calibri"/>
        <family val="2"/>
        <scheme val="minor"/>
      </rPr>
      <t xml:space="preserve"> by repressing the expression of cyclin-dependent kinase inhibitor, p21Waf1/Cip1. </t>
    </r>
    <r>
      <rPr>
        <b/>
        <sz val="11"/>
        <color theme="1"/>
        <rFont val="Calibri"/>
        <family val="2"/>
        <scheme val="minor"/>
      </rPr>
      <t xml:space="preserve">4) </t>
    </r>
    <r>
      <rPr>
        <sz val="11"/>
        <color theme="1"/>
        <rFont val="Calibri"/>
        <family val="2"/>
        <scheme val="minor"/>
      </rPr>
      <t xml:space="preserve">demethylating p53. </t>
    </r>
    <r>
      <rPr>
        <b/>
        <sz val="11"/>
        <color theme="1"/>
        <rFont val="Calibri"/>
        <family val="2"/>
        <scheme val="minor"/>
      </rPr>
      <t xml:space="preserve">5) </t>
    </r>
    <r>
      <rPr>
        <sz val="11"/>
        <color theme="1"/>
        <rFont val="Calibri"/>
        <family val="2"/>
        <scheme val="minor"/>
      </rPr>
      <t>KDM3A depletion inhibited the growth of subcutaneously implanted cisplatin-resistant human ovarian cancer cells in athymic nude mice.</t>
    </r>
    <r>
      <rPr>
        <b/>
        <sz val="11"/>
        <color theme="1"/>
        <rFont val="Calibri"/>
        <family val="2"/>
        <scheme val="minor"/>
      </rPr>
      <t xml:space="preserve"> 6) </t>
    </r>
    <r>
      <rPr>
        <sz val="11"/>
        <color theme="1"/>
        <rFont val="Calibri"/>
        <family val="2"/>
        <scheme val="minor"/>
      </rPr>
      <t xml:space="preserve">KDM3A is abundantly expressed and positively correlated with Sox2 expression in human ovarian cancer tissues. </t>
    </r>
  </si>
  <si>
    <r>
      <rPr>
        <b/>
        <sz val="11"/>
        <color theme="1"/>
        <rFont val="Calibri"/>
        <family val="2"/>
        <scheme val="minor"/>
      </rPr>
      <t xml:space="preserve">1) </t>
    </r>
    <r>
      <rPr>
        <sz val="11"/>
        <color theme="1"/>
        <rFont val="Calibri"/>
        <family val="2"/>
        <scheme val="minor"/>
      </rPr>
      <t>These human PC9</t>
    </r>
    <r>
      <rPr>
        <b/>
        <sz val="11"/>
        <color theme="1"/>
        <rFont val="Calibri"/>
        <family val="2"/>
        <scheme val="minor"/>
      </rPr>
      <t xml:space="preserve"> lung</t>
    </r>
    <r>
      <rPr>
        <sz val="11"/>
        <color theme="1"/>
        <rFont val="Calibri"/>
        <family val="2"/>
        <scheme val="minor"/>
      </rPr>
      <t xml:space="preserve"> adenocarcinoma cells demonstrate &gt;100-fold reduced </t>
    </r>
    <r>
      <rPr>
        <b/>
        <sz val="11"/>
        <color theme="1"/>
        <rFont val="Calibri"/>
        <family val="2"/>
        <scheme val="minor"/>
      </rPr>
      <t>CDDP</t>
    </r>
    <r>
      <rPr>
        <sz val="11"/>
        <color theme="1"/>
        <rFont val="Calibri"/>
        <family val="2"/>
        <scheme val="minor"/>
      </rPr>
      <t xml:space="preserve"> sensitivity and maintain viability via engagement of </t>
    </r>
    <r>
      <rPr>
        <b/>
        <sz val="11"/>
        <color theme="1"/>
        <rFont val="Calibri"/>
        <family val="2"/>
        <scheme val="minor"/>
      </rPr>
      <t>IGF-1 receptor</t>
    </r>
    <r>
      <rPr>
        <sz val="11"/>
        <color theme="1"/>
        <rFont val="Calibri"/>
        <family val="2"/>
        <scheme val="minor"/>
      </rPr>
      <t xml:space="preserve"> signaling and an altered chromatin state that requires the histone demethylase</t>
    </r>
    <r>
      <rPr>
        <b/>
        <sz val="11"/>
        <color theme="1"/>
        <rFont val="Calibri"/>
        <family val="2"/>
        <scheme val="minor"/>
      </rPr>
      <t xml:space="preserve"> RBP2/KDM5A/Jarid1A</t>
    </r>
    <r>
      <rPr>
        <sz val="11"/>
        <color theme="1"/>
        <rFont val="Calibri"/>
        <family val="2"/>
        <scheme val="minor"/>
      </rPr>
      <t xml:space="preserve">. </t>
    </r>
    <r>
      <rPr>
        <b/>
        <sz val="11"/>
        <color theme="1"/>
        <rFont val="Calibri"/>
        <family val="2"/>
        <scheme val="minor"/>
      </rPr>
      <t>2)</t>
    </r>
    <r>
      <rPr>
        <sz val="11"/>
        <color theme="1"/>
        <rFont val="Calibri"/>
        <family val="2"/>
        <scheme val="minor"/>
      </rPr>
      <t xml:space="preserve"> This drug-tolerant phenotype is transiently acquired and relinquished at low frequency by individual cells within the population, implicating the dynamic regulation of phenotypic heterogeneity in drug tolerance. </t>
    </r>
    <r>
      <rPr>
        <b/>
        <sz val="11"/>
        <color theme="1"/>
        <rFont val="Calibri"/>
        <family val="2"/>
        <scheme val="minor"/>
      </rPr>
      <t xml:space="preserve">3) </t>
    </r>
    <r>
      <rPr>
        <sz val="11"/>
        <color theme="1"/>
        <rFont val="Calibri"/>
        <family val="2"/>
        <scheme val="minor"/>
      </rPr>
      <t xml:space="preserve">The drug-tolerant subpopulation can be selectively ablated by treatment with IGF-1 receptor inhibitors or chromatin-modifying agents, potentially yielding a therapeutic opportunity. </t>
    </r>
    <r>
      <rPr>
        <b/>
        <sz val="11"/>
        <color theme="1"/>
        <rFont val="Calibri"/>
        <family val="2"/>
        <scheme val="minor"/>
      </rPr>
      <t>4)</t>
    </r>
    <r>
      <rPr>
        <sz val="11"/>
        <color theme="1"/>
        <rFont val="Calibri"/>
        <family val="2"/>
        <scheme val="minor"/>
      </rPr>
      <t xml:space="preserve"> Upregulated </t>
    </r>
    <r>
      <rPr>
        <b/>
        <sz val="11"/>
        <color theme="1"/>
        <rFont val="Calibri"/>
        <family val="2"/>
        <scheme val="minor"/>
      </rPr>
      <t>KDM5A</t>
    </r>
    <r>
      <rPr>
        <sz val="11"/>
        <color theme="1"/>
        <rFont val="Calibri"/>
        <family val="2"/>
        <scheme val="minor"/>
      </rPr>
      <t xml:space="preserve"> in Drug Tolerance Polulations (DTPs) leads to reduced H3K4me3/2 and decreased the sensitivity of the population to </t>
    </r>
    <r>
      <rPr>
        <b/>
        <sz val="11"/>
        <color theme="1"/>
        <rFont val="Calibri"/>
        <family val="2"/>
        <scheme val="minor"/>
      </rPr>
      <t>cisplatin</t>
    </r>
    <r>
      <rPr>
        <sz val="11"/>
        <color theme="1"/>
        <rFont val="Calibri"/>
        <family val="2"/>
        <scheme val="minor"/>
      </rPr>
      <t xml:space="preserve">. </t>
    </r>
    <r>
      <rPr>
        <b/>
        <sz val="11"/>
        <color theme="1"/>
        <rFont val="Calibri"/>
        <family val="2"/>
        <scheme val="minor"/>
      </rPr>
      <t xml:space="preserve">5) </t>
    </r>
    <r>
      <rPr>
        <sz val="11"/>
        <color theme="1"/>
        <rFont val="Calibri"/>
        <family val="2"/>
        <scheme val="minor"/>
      </rPr>
      <t xml:space="preserve">KDM5A silencing decreases the number of DTPs and increased the sensitivity of parental </t>
    </r>
    <r>
      <rPr>
        <b/>
        <sz val="11"/>
        <color theme="1"/>
        <rFont val="Calibri"/>
        <family val="2"/>
        <scheme val="minor"/>
      </rPr>
      <t>PC9 lung</t>
    </r>
    <r>
      <rPr>
        <sz val="11"/>
        <color theme="1"/>
        <rFont val="Calibri"/>
        <family val="2"/>
        <scheme val="minor"/>
      </rPr>
      <t xml:space="preserve"> adenocarcinoma cells. </t>
    </r>
  </si>
  <si>
    <r>
      <rPr>
        <b/>
        <sz val="11"/>
        <color theme="1"/>
        <rFont val="Calibri"/>
        <family val="2"/>
        <scheme val="minor"/>
      </rPr>
      <t xml:space="preserve">1) </t>
    </r>
    <r>
      <rPr>
        <sz val="11"/>
        <color theme="1"/>
        <rFont val="Calibri"/>
        <family val="2"/>
        <scheme val="minor"/>
      </rPr>
      <t xml:space="preserve">expression of the VEGF family is higher in therapy-resistant </t>
    </r>
    <r>
      <rPr>
        <b/>
        <sz val="11"/>
        <color theme="1"/>
        <rFont val="Calibri"/>
        <family val="2"/>
        <scheme val="minor"/>
      </rPr>
      <t>EOC</t>
    </r>
    <r>
      <rPr>
        <sz val="11"/>
        <color theme="1"/>
        <rFont val="Calibri"/>
        <family val="2"/>
        <scheme val="minor"/>
      </rPr>
      <t xml:space="preserve"> cells compared to sensitive ones</t>
    </r>
    <r>
      <rPr>
        <b/>
        <sz val="11"/>
        <color theme="1"/>
        <rFont val="Calibri"/>
        <family val="2"/>
        <scheme val="minor"/>
      </rPr>
      <t>. 2)</t>
    </r>
    <r>
      <rPr>
        <sz val="11"/>
        <color theme="1"/>
        <rFont val="Calibri"/>
        <family val="2"/>
        <scheme val="minor"/>
      </rPr>
      <t xml:space="preserve"> Overexpression of VEGFR2 correlated with resistance to </t>
    </r>
    <r>
      <rPr>
        <b/>
        <sz val="11"/>
        <color theme="1"/>
        <rFont val="Calibri"/>
        <family val="2"/>
        <scheme val="minor"/>
      </rPr>
      <t>cisplatin</t>
    </r>
    <r>
      <rPr>
        <sz val="11"/>
        <color theme="1"/>
        <rFont val="Calibri"/>
        <family val="2"/>
        <scheme val="minor"/>
      </rPr>
      <t xml:space="preserve">. </t>
    </r>
    <r>
      <rPr>
        <b/>
        <sz val="11"/>
        <color theme="1"/>
        <rFont val="Calibri"/>
        <family val="2"/>
        <scheme val="minor"/>
      </rPr>
      <t>3)</t>
    </r>
    <r>
      <rPr>
        <sz val="11"/>
        <color theme="1"/>
        <rFont val="Calibri"/>
        <family val="2"/>
        <scheme val="minor"/>
      </rPr>
      <t xml:space="preserve"> combination with VEGFR2-inhibitor apatinib synergistically increased cisplatin sensitivity. </t>
    </r>
    <r>
      <rPr>
        <b/>
        <sz val="11"/>
        <color theme="1"/>
        <rFont val="Calibri"/>
        <family val="2"/>
        <scheme val="minor"/>
      </rPr>
      <t>4)</t>
    </r>
    <r>
      <rPr>
        <sz val="11"/>
        <color theme="1"/>
        <rFont val="Calibri"/>
        <family val="2"/>
        <scheme val="minor"/>
      </rPr>
      <t xml:space="preserve"> Tivozanib, a pan-inhibitor of VEGF receptors, reduced proliferation of the chemoresistant EOC cells through induction of G2/M cell cycle arrest and apoptotic cell death. </t>
    </r>
    <r>
      <rPr>
        <b/>
        <sz val="11"/>
        <color theme="1"/>
        <rFont val="Calibri"/>
        <family val="2"/>
        <scheme val="minor"/>
      </rPr>
      <t xml:space="preserve">5) </t>
    </r>
    <r>
      <rPr>
        <sz val="11"/>
        <color theme="1"/>
        <rFont val="Calibri"/>
        <family val="2"/>
        <scheme val="minor"/>
      </rPr>
      <t xml:space="preserve">Patients with tumors expressing </t>
    </r>
    <r>
      <rPr>
        <b/>
        <sz val="11"/>
        <color theme="1"/>
        <rFont val="Calibri"/>
        <family val="2"/>
        <scheme val="minor"/>
      </rPr>
      <t>VEGF</t>
    </r>
    <r>
      <rPr>
        <sz val="11"/>
        <color theme="1"/>
        <rFont val="Calibri"/>
        <family val="2"/>
        <scheme val="minor"/>
      </rPr>
      <t xml:space="preserve"> or </t>
    </r>
    <r>
      <rPr>
        <b/>
        <sz val="11"/>
        <color theme="1"/>
        <rFont val="Calibri"/>
        <family val="2"/>
        <scheme val="minor"/>
      </rPr>
      <t>KDR</t>
    </r>
    <r>
      <rPr>
        <sz val="11"/>
        <color theme="1"/>
        <rFont val="Calibri"/>
        <family val="2"/>
        <scheme val="minor"/>
      </rPr>
      <t xml:space="preserve"> tended to have poorer outcomes, </t>
    </r>
    <r>
      <rPr>
        <b/>
        <sz val="11"/>
        <color theme="1"/>
        <rFont val="Calibri"/>
        <family val="2"/>
        <scheme val="minor"/>
      </rPr>
      <t xml:space="preserve">6) </t>
    </r>
    <r>
      <rPr>
        <sz val="11"/>
        <color theme="1"/>
        <rFont val="Calibri"/>
        <family val="2"/>
        <scheme val="minor"/>
      </rPr>
      <t xml:space="preserve">VEGF expression and KDR expression were positively correlated. </t>
    </r>
    <r>
      <rPr>
        <b/>
        <sz val="11"/>
        <color theme="1"/>
        <rFont val="Calibri"/>
        <family val="2"/>
        <scheme val="minor"/>
      </rPr>
      <t xml:space="preserve">7) </t>
    </r>
    <r>
      <rPr>
        <sz val="11"/>
        <color theme="1"/>
        <rFont val="Calibri"/>
        <family val="2"/>
        <scheme val="minor"/>
      </rPr>
      <t>Outcomes were poor in patients with tumors positive for both VEGF and VEGFRs. Multivariate analysis identified expression of both flt-1 and KDR and VEGF and KDR as possible independent prognostic factors.</t>
    </r>
  </si>
  <si>
    <r>
      <rPr>
        <b/>
        <sz val="11"/>
        <color theme="1"/>
        <rFont val="Calibri"/>
        <family val="2"/>
        <scheme val="minor"/>
      </rPr>
      <t>1)</t>
    </r>
    <r>
      <rPr>
        <sz val="11"/>
        <color theme="1"/>
        <rFont val="Calibri"/>
        <family val="2"/>
        <scheme val="minor"/>
      </rPr>
      <t xml:space="preserve"> Overexpression of miR-141 resulted in enhanced resistance to </t>
    </r>
    <r>
      <rPr>
        <b/>
        <sz val="11"/>
        <color theme="1"/>
        <rFont val="Calibri"/>
        <family val="2"/>
        <scheme val="minor"/>
      </rPr>
      <t>cisplatin</t>
    </r>
    <r>
      <rPr>
        <sz val="11"/>
        <color theme="1"/>
        <rFont val="Calibri"/>
        <family val="2"/>
        <scheme val="minor"/>
      </rPr>
      <t xml:space="preserve"> in </t>
    </r>
    <r>
      <rPr>
        <b/>
        <sz val="11"/>
        <color theme="1"/>
        <rFont val="Calibri"/>
        <family val="2"/>
        <scheme val="minor"/>
      </rPr>
      <t>ovarian</t>
    </r>
    <r>
      <rPr>
        <sz val="11"/>
        <color theme="1"/>
        <rFont val="Calibri"/>
        <family val="2"/>
        <scheme val="minor"/>
      </rPr>
      <t xml:space="preserve"> cancer cell lines. </t>
    </r>
    <r>
      <rPr>
        <b/>
        <sz val="11"/>
        <color theme="1"/>
        <rFont val="Calibri"/>
        <family val="2"/>
        <scheme val="minor"/>
      </rPr>
      <t xml:space="preserve">2) </t>
    </r>
    <r>
      <rPr>
        <sz val="11"/>
        <color theme="1"/>
        <rFont val="Calibri"/>
        <family val="2"/>
        <scheme val="minor"/>
      </rPr>
      <t xml:space="preserve">miR-141 levels were higher in non-serous ovarian tumors that did not respond well to therapy (platinum-free interval &lt;6 months). </t>
    </r>
    <r>
      <rPr>
        <b/>
        <sz val="11"/>
        <color theme="1"/>
        <rFont val="Calibri"/>
        <family val="2"/>
        <scheme val="minor"/>
      </rPr>
      <t>3)</t>
    </r>
    <r>
      <rPr>
        <sz val="11"/>
        <color theme="1"/>
        <rFont val="Calibri"/>
        <family val="2"/>
        <scheme val="minor"/>
      </rPr>
      <t xml:space="preserve"> miR-141 directly targets </t>
    </r>
    <r>
      <rPr>
        <b/>
        <sz val="11"/>
        <color theme="1"/>
        <rFont val="Calibri"/>
        <family val="2"/>
        <scheme val="minor"/>
      </rPr>
      <t>KEAP1</t>
    </r>
    <r>
      <rPr>
        <sz val="11"/>
        <color theme="1"/>
        <rFont val="Calibri"/>
        <family val="2"/>
        <scheme val="minor"/>
      </rPr>
      <t xml:space="preserve">, </t>
    </r>
    <r>
      <rPr>
        <b/>
        <sz val="11"/>
        <color theme="1"/>
        <rFont val="Calibri"/>
        <family val="2"/>
        <scheme val="minor"/>
      </rPr>
      <t xml:space="preserve">4) </t>
    </r>
    <r>
      <rPr>
        <sz val="11"/>
        <color theme="1"/>
        <rFont val="Calibri"/>
        <family val="2"/>
        <scheme val="minor"/>
      </rPr>
      <t xml:space="preserve">downregulation of </t>
    </r>
    <r>
      <rPr>
        <b/>
        <sz val="11"/>
        <color theme="1"/>
        <rFont val="Calibri"/>
        <family val="2"/>
        <scheme val="minor"/>
      </rPr>
      <t xml:space="preserve">KEAP1 </t>
    </r>
    <r>
      <rPr>
        <sz val="11"/>
        <color theme="1"/>
        <rFont val="Calibri"/>
        <family val="2"/>
        <scheme val="minor"/>
      </rPr>
      <t xml:space="preserve">induces </t>
    </r>
    <r>
      <rPr>
        <b/>
        <sz val="11"/>
        <color theme="1"/>
        <rFont val="Calibri"/>
        <family val="2"/>
        <scheme val="minor"/>
      </rPr>
      <t>cisplatin</t>
    </r>
    <r>
      <rPr>
        <sz val="11"/>
        <color theme="1"/>
        <rFont val="Calibri"/>
        <family val="2"/>
        <scheme val="minor"/>
      </rPr>
      <t xml:space="preserve"> resistance. </t>
    </r>
    <r>
      <rPr>
        <b/>
        <sz val="11"/>
        <color theme="1"/>
        <rFont val="Calibri"/>
        <family val="2"/>
        <scheme val="minor"/>
      </rPr>
      <t>5)</t>
    </r>
    <r>
      <rPr>
        <sz val="11"/>
        <color theme="1"/>
        <rFont val="Calibri"/>
        <family val="2"/>
        <scheme val="minor"/>
      </rPr>
      <t xml:space="preserve"> overexpression of </t>
    </r>
    <r>
      <rPr>
        <b/>
        <sz val="11"/>
        <color theme="1"/>
        <rFont val="Calibri"/>
        <family val="2"/>
        <scheme val="minor"/>
      </rPr>
      <t>KEAP1</t>
    </r>
    <r>
      <rPr>
        <sz val="11"/>
        <color theme="1"/>
        <rFont val="Calibri"/>
        <family val="2"/>
        <scheme val="minor"/>
      </rPr>
      <t xml:space="preserve"> significantly enhanced cisplatin sensitivity.</t>
    </r>
    <r>
      <rPr>
        <b/>
        <sz val="11"/>
        <color theme="1"/>
        <rFont val="Calibri"/>
        <family val="2"/>
        <scheme val="minor"/>
      </rPr>
      <t xml:space="preserve"> 6)</t>
    </r>
    <r>
      <rPr>
        <sz val="11"/>
        <color theme="1"/>
        <rFont val="Calibri"/>
        <family val="2"/>
        <scheme val="minor"/>
      </rPr>
      <t xml:space="preserve"> the </t>
    </r>
    <r>
      <rPr>
        <b/>
        <sz val="11"/>
        <color theme="1"/>
        <rFont val="Calibri"/>
        <family val="2"/>
        <scheme val="minor"/>
      </rPr>
      <t>NF-κB</t>
    </r>
    <r>
      <rPr>
        <sz val="11"/>
        <color theme="1"/>
        <rFont val="Calibri"/>
        <family val="2"/>
        <scheme val="minor"/>
      </rPr>
      <t xml:space="preserve"> pathway, which can be regulated by KEAP1, is activated upon miR-141 overexpression, and that inhibition of this pathway partially reverses miR-141-mediated cisplatin resistance. </t>
    </r>
    <r>
      <rPr>
        <b/>
        <sz val="11"/>
        <color theme="1"/>
        <rFont val="Calibri"/>
        <family val="2"/>
        <scheme val="minor"/>
      </rPr>
      <t xml:space="preserve">7) </t>
    </r>
    <r>
      <rPr>
        <sz val="11"/>
        <color theme="1"/>
        <rFont val="Calibri"/>
        <family val="2"/>
        <scheme val="minor"/>
      </rPr>
      <t>gene expression data retrieved from TCGA consortium indicated that</t>
    </r>
    <r>
      <rPr>
        <b/>
        <sz val="11"/>
        <color theme="1"/>
        <rFont val="Calibri"/>
        <family val="2"/>
        <scheme val="minor"/>
      </rPr>
      <t xml:space="preserve"> KEAP1</t>
    </r>
    <r>
      <rPr>
        <sz val="11"/>
        <color theme="1"/>
        <rFont val="Calibri"/>
        <family val="2"/>
        <scheme val="minor"/>
      </rPr>
      <t xml:space="preserve"> mutation significantly affects NRF2 signaling activity in patients with </t>
    </r>
    <r>
      <rPr>
        <b/>
        <sz val="11"/>
        <color theme="1"/>
        <rFont val="Calibri"/>
        <family val="2"/>
        <scheme val="minor"/>
      </rPr>
      <t>NSCLC</t>
    </r>
    <r>
      <rPr>
        <sz val="11"/>
        <color theme="1"/>
        <rFont val="Calibri"/>
        <family val="2"/>
        <scheme val="minor"/>
      </rPr>
      <t xml:space="preserve">. </t>
    </r>
    <r>
      <rPr>
        <b/>
        <sz val="11"/>
        <color theme="1"/>
        <rFont val="Calibri"/>
        <family val="2"/>
        <scheme val="minor"/>
      </rPr>
      <t>8)</t>
    </r>
    <r>
      <rPr>
        <sz val="11"/>
        <color theme="1"/>
        <rFont val="Calibri"/>
        <family val="2"/>
        <scheme val="minor"/>
      </rPr>
      <t xml:space="preserve"> Deletion of </t>
    </r>
    <r>
      <rPr>
        <b/>
        <sz val="11"/>
        <color theme="1"/>
        <rFont val="Calibri"/>
        <family val="2"/>
        <scheme val="minor"/>
      </rPr>
      <t>Keap1</t>
    </r>
    <r>
      <rPr>
        <sz val="11"/>
        <color theme="1"/>
        <rFont val="Calibri"/>
        <family val="2"/>
        <scheme val="minor"/>
      </rPr>
      <t xml:space="preserve"> in Trp53-null murine LUAD and LSCC resulted in increased clonogenic survival upon treatment with diverse cytotoxic chemotherapies.</t>
    </r>
    <r>
      <rPr>
        <b/>
        <sz val="11"/>
        <color theme="1"/>
        <rFont val="Calibri"/>
        <family val="2"/>
        <scheme val="minor"/>
      </rPr>
      <t xml:space="preserve"> 9)</t>
    </r>
    <r>
      <rPr>
        <sz val="11"/>
        <color theme="1"/>
        <rFont val="Calibri"/>
        <family val="2"/>
        <scheme val="minor"/>
      </rPr>
      <t xml:space="preserve"> In patients with </t>
    </r>
    <r>
      <rPr>
        <b/>
        <sz val="11"/>
        <color theme="1"/>
        <rFont val="Calibri"/>
        <family val="2"/>
        <scheme val="minor"/>
      </rPr>
      <t>NSCLC</t>
    </r>
    <r>
      <rPr>
        <sz val="11"/>
        <color theme="1"/>
        <rFont val="Calibri"/>
        <family val="2"/>
        <scheme val="minor"/>
      </rPr>
      <t xml:space="preserve">, median time to treatment failure (TTF) after first-line </t>
    </r>
    <r>
      <rPr>
        <b/>
        <sz val="11"/>
        <color theme="1"/>
        <rFont val="Calibri"/>
        <family val="2"/>
        <scheme val="minor"/>
      </rPr>
      <t>cisplatin</t>
    </r>
    <r>
      <rPr>
        <sz val="11"/>
        <color theme="1"/>
        <rFont val="Calibri"/>
        <family val="2"/>
        <scheme val="minor"/>
      </rPr>
      <t xml:space="preserve"> chemotherapy for the </t>
    </r>
    <r>
      <rPr>
        <b/>
        <sz val="11"/>
        <color theme="1"/>
        <rFont val="Calibri"/>
        <family val="2"/>
        <scheme val="minor"/>
      </rPr>
      <t>KEAP1/NFE2L2/CUL3</t>
    </r>
    <r>
      <rPr>
        <sz val="11"/>
        <color theme="1"/>
        <rFont val="Calibri"/>
        <family val="2"/>
        <scheme val="minor"/>
      </rPr>
      <t>-mutant cohort was 2.8 months compared with 8.3 months in the control group (P &lt; 0.0001). Median overall survival (OS) was 11.2 months in the KEAP1/NFE2L2/CUL3-mutant group and 36.8 months in the control group (P = 0.006).</t>
    </r>
  </si>
  <si>
    <r>
      <rPr>
        <b/>
        <sz val="11"/>
        <color theme="1"/>
        <rFont val="Calibri"/>
        <family val="2"/>
        <scheme val="minor"/>
      </rPr>
      <t>1)</t>
    </r>
    <r>
      <rPr>
        <sz val="11"/>
        <color theme="1"/>
        <rFont val="Calibri"/>
        <family val="2"/>
        <scheme val="minor"/>
      </rPr>
      <t xml:space="preserve"> KIF20A expression was obviously elevated at both mRNA and protein levels in </t>
    </r>
    <r>
      <rPr>
        <b/>
        <sz val="11"/>
        <color theme="1"/>
        <rFont val="Calibri"/>
        <family val="2"/>
        <scheme val="minor"/>
      </rPr>
      <t>EOC</t>
    </r>
    <r>
      <rPr>
        <sz val="11"/>
        <color theme="1"/>
        <rFont val="Calibri"/>
        <family val="2"/>
        <scheme val="minor"/>
      </rPr>
      <t xml:space="preserve"> cell lines and clinical cancer tissues compared with normal ovarian epithelial cell and adjacent normal ovarian tissues. </t>
    </r>
    <r>
      <rPr>
        <b/>
        <sz val="11"/>
        <color theme="1"/>
        <rFont val="Calibri"/>
        <family val="2"/>
        <scheme val="minor"/>
      </rPr>
      <t xml:space="preserve">2) </t>
    </r>
    <r>
      <rPr>
        <sz val="11"/>
        <color theme="1"/>
        <rFont val="Calibri"/>
        <family val="2"/>
        <scheme val="minor"/>
      </rPr>
      <t xml:space="preserve">KIF20A protein expression was highly correlated with International Federation of Gynecology and Obstetrics stage (P=0.008), lymph node metastasis (P=0.002), intraperitoneal metastasis (P&lt;0.001), vital status at last follow-up (P&lt;0.001), intraperitoneal recurrence (P=0.030), tumor recurrence (P=0.005), </t>
    </r>
    <r>
      <rPr>
        <b/>
        <sz val="11"/>
        <color theme="1"/>
        <rFont val="Calibri"/>
        <family val="2"/>
        <scheme val="minor"/>
      </rPr>
      <t>drug resistance</t>
    </r>
    <r>
      <rPr>
        <sz val="11"/>
        <color theme="1"/>
        <rFont val="Calibri"/>
        <family val="2"/>
        <scheme val="minor"/>
      </rPr>
      <t xml:space="preserve"> (P=0.013), and ascites with tumor cells (P&lt;0.001). </t>
    </r>
    <r>
      <rPr>
        <b/>
        <sz val="11"/>
        <color theme="1"/>
        <rFont val="Calibri"/>
        <family val="2"/>
        <scheme val="minor"/>
      </rPr>
      <t xml:space="preserve">3) </t>
    </r>
    <r>
      <rPr>
        <sz val="11"/>
        <color theme="1"/>
        <rFont val="Calibri"/>
        <family val="2"/>
        <scheme val="minor"/>
      </rPr>
      <t xml:space="preserve">KIF20A overexpression was closely related to poorer overall survival and disease progression-free survival. Furthermore, Cox regression analysis revealed that KIF20A can act as an independent hazard indicator for predicting clinical outcomes in EOC patients. </t>
    </r>
    <r>
      <rPr>
        <b/>
        <sz val="11"/>
        <color theme="1"/>
        <rFont val="Calibri"/>
        <family val="2"/>
        <scheme val="minor"/>
      </rPr>
      <t>4)</t>
    </r>
    <r>
      <rPr>
        <sz val="11"/>
        <color theme="1"/>
        <rFont val="Calibri"/>
        <family val="2"/>
        <scheme val="minor"/>
      </rPr>
      <t xml:space="preserve"> KIF20A overexpression promoted invasion and metastasis of EOC cells and also confers resistance to </t>
    </r>
    <r>
      <rPr>
        <b/>
        <sz val="11"/>
        <color theme="1"/>
        <rFont val="Calibri"/>
        <family val="2"/>
        <scheme val="minor"/>
      </rPr>
      <t>cisplatin</t>
    </r>
    <r>
      <rPr>
        <sz val="11"/>
        <color theme="1"/>
        <rFont val="Calibri"/>
        <family val="2"/>
        <scheme val="minor"/>
      </rPr>
      <t>.</t>
    </r>
  </si>
  <si>
    <r>
      <rPr>
        <b/>
        <sz val="11"/>
        <color theme="1"/>
        <rFont val="Calibri"/>
        <family val="2"/>
        <scheme val="minor"/>
      </rPr>
      <t>1)</t>
    </r>
    <r>
      <rPr>
        <sz val="11"/>
        <color theme="1"/>
        <rFont val="Calibri"/>
        <family val="2"/>
        <scheme val="minor"/>
      </rPr>
      <t xml:space="preserve"> a significant suppression of </t>
    </r>
    <r>
      <rPr>
        <b/>
        <sz val="11"/>
        <color theme="1"/>
        <rFont val="Calibri"/>
        <family val="2"/>
        <scheme val="minor"/>
      </rPr>
      <t>KiSS1</t>
    </r>
    <r>
      <rPr>
        <sz val="11"/>
        <color theme="1"/>
        <rFont val="Calibri"/>
        <family val="2"/>
        <scheme val="minor"/>
      </rPr>
      <t xml:space="preserve"> mRNA and protein expression in the </t>
    </r>
    <r>
      <rPr>
        <b/>
        <sz val="11"/>
        <color theme="1"/>
        <rFont val="Calibri"/>
        <family val="2"/>
        <scheme val="minor"/>
      </rPr>
      <t>CDDP</t>
    </r>
    <r>
      <rPr>
        <sz val="11"/>
        <color theme="1"/>
        <rFont val="Calibri"/>
        <family val="2"/>
        <scheme val="minor"/>
      </rPr>
      <t xml:space="preserve">-resistant (CR) cells. </t>
    </r>
    <r>
      <rPr>
        <b/>
        <sz val="11"/>
        <color theme="1"/>
        <rFont val="Calibri"/>
        <family val="2"/>
        <scheme val="minor"/>
      </rPr>
      <t>2)</t>
    </r>
    <r>
      <rPr>
        <sz val="11"/>
        <color theme="1"/>
        <rFont val="Calibri"/>
        <family val="2"/>
        <scheme val="minor"/>
      </rPr>
      <t xml:space="preserve"> Genetic suppression of </t>
    </r>
    <r>
      <rPr>
        <b/>
        <sz val="11"/>
        <color theme="1"/>
        <rFont val="Calibri"/>
        <family val="2"/>
        <scheme val="minor"/>
      </rPr>
      <t>KiSS1</t>
    </r>
    <r>
      <rPr>
        <sz val="11"/>
        <color theme="1"/>
        <rFont val="Calibri"/>
        <family val="2"/>
        <scheme val="minor"/>
      </rPr>
      <t xml:space="preserve"> in CDDP-sensitive cell lines rendered them CR, an observation that was mechanistically linked to alterations in </t>
    </r>
    <r>
      <rPr>
        <b/>
        <sz val="11"/>
        <color theme="1"/>
        <rFont val="Calibri"/>
        <family val="2"/>
        <scheme val="minor"/>
      </rPr>
      <t>glutathione S-transferase-π</t>
    </r>
    <r>
      <rPr>
        <sz val="11"/>
        <color theme="1"/>
        <rFont val="Calibri"/>
        <family val="2"/>
        <scheme val="minor"/>
      </rPr>
      <t xml:space="preserve"> expression and function. </t>
    </r>
    <r>
      <rPr>
        <b/>
        <sz val="11"/>
        <color theme="1"/>
        <rFont val="Calibri"/>
        <family val="2"/>
        <scheme val="minor"/>
      </rPr>
      <t>3)</t>
    </r>
    <r>
      <rPr>
        <sz val="11"/>
        <color theme="1"/>
        <rFont val="Calibri"/>
        <family val="2"/>
        <scheme val="minor"/>
      </rPr>
      <t xml:space="preserve"> loss of </t>
    </r>
    <r>
      <rPr>
        <b/>
        <sz val="11"/>
        <color theme="1"/>
        <rFont val="Calibri"/>
        <family val="2"/>
        <scheme val="minor"/>
      </rPr>
      <t>KiSS1</t>
    </r>
    <r>
      <rPr>
        <sz val="11"/>
        <color theme="1"/>
        <rFont val="Calibri"/>
        <family val="2"/>
        <scheme val="minor"/>
      </rPr>
      <t xml:space="preserve"> expression was associated with metastatic human HNSCC tumors compared with non-metastatic tumors. </t>
    </r>
    <r>
      <rPr>
        <b/>
        <sz val="11"/>
        <color theme="1"/>
        <rFont val="Calibri"/>
        <family val="2"/>
        <scheme val="minor"/>
      </rPr>
      <t>4)</t>
    </r>
    <r>
      <rPr>
        <sz val="11"/>
        <color theme="1"/>
        <rFont val="Calibri"/>
        <family val="2"/>
        <scheme val="minor"/>
      </rPr>
      <t xml:space="preserve"> Genetic reconstitution of </t>
    </r>
    <r>
      <rPr>
        <b/>
        <sz val="11"/>
        <color theme="1"/>
        <rFont val="Calibri"/>
        <family val="2"/>
        <scheme val="minor"/>
      </rPr>
      <t>KiSS1</t>
    </r>
    <r>
      <rPr>
        <sz val="11"/>
        <color theme="1"/>
        <rFont val="Calibri"/>
        <family val="2"/>
        <scheme val="minor"/>
      </rPr>
      <t xml:space="preserve"> in CR cells abrogated cellular migration and induced </t>
    </r>
    <r>
      <rPr>
        <b/>
        <sz val="11"/>
        <color theme="1"/>
        <rFont val="Calibri"/>
        <family val="2"/>
        <scheme val="minor"/>
      </rPr>
      <t>CDDP</t>
    </r>
    <r>
      <rPr>
        <sz val="11"/>
        <color theme="1"/>
        <rFont val="Calibri"/>
        <family val="2"/>
        <scheme val="minor"/>
      </rPr>
      <t xml:space="preserve"> sensitivity.</t>
    </r>
    <r>
      <rPr>
        <b/>
        <sz val="11"/>
        <color theme="1"/>
        <rFont val="Calibri"/>
        <family val="2"/>
        <scheme val="minor"/>
      </rPr>
      <t xml:space="preserve"> 5)</t>
    </r>
    <r>
      <rPr>
        <sz val="11"/>
        <color theme="1"/>
        <rFont val="Calibri"/>
        <family val="2"/>
        <scheme val="minor"/>
      </rPr>
      <t xml:space="preserve"> significant improvement in survival of the mice bearing CR-KiSS1 tumors. </t>
    </r>
    <r>
      <rPr>
        <b/>
        <sz val="11"/>
        <color theme="1"/>
        <rFont val="Calibri"/>
        <family val="2"/>
        <scheme val="minor"/>
      </rPr>
      <t xml:space="preserve">6) </t>
    </r>
    <r>
      <rPr>
        <sz val="11"/>
        <color theme="1"/>
        <rFont val="Calibri"/>
        <family val="2"/>
        <scheme val="minor"/>
      </rPr>
      <t>alterations in apoptotic pathways and CDDP metabolism contributed to KiSS1-associated chemotherapy sensitization. </t>
    </r>
  </si>
  <si>
    <r>
      <rPr>
        <b/>
        <sz val="11"/>
        <color theme="1"/>
        <rFont val="Calibri"/>
        <family val="2"/>
        <scheme val="minor"/>
      </rPr>
      <t>1) KLF4</t>
    </r>
    <r>
      <rPr>
        <sz val="11"/>
        <color theme="1"/>
        <rFont val="Calibri"/>
        <family val="2"/>
        <scheme val="minor"/>
      </rPr>
      <t xml:space="preserve"> was significantly downregulated in </t>
    </r>
    <r>
      <rPr>
        <b/>
        <sz val="11"/>
        <color theme="1"/>
        <rFont val="Calibri"/>
        <family val="2"/>
        <scheme val="minor"/>
      </rPr>
      <t>cisplatin</t>
    </r>
    <r>
      <rPr>
        <sz val="11"/>
        <color theme="1"/>
        <rFont val="Calibri"/>
        <family val="2"/>
        <scheme val="minor"/>
      </rPr>
      <t xml:space="preserve">-resistant </t>
    </r>
    <r>
      <rPr>
        <b/>
        <sz val="11"/>
        <color theme="1"/>
        <rFont val="Calibri"/>
        <family val="2"/>
        <scheme val="minor"/>
      </rPr>
      <t>lung</t>
    </r>
    <r>
      <rPr>
        <sz val="11"/>
        <color theme="1"/>
        <rFont val="Calibri"/>
        <family val="2"/>
        <scheme val="minor"/>
      </rPr>
      <t xml:space="preserve"> cancer A549 cells. </t>
    </r>
    <r>
      <rPr>
        <b/>
        <sz val="11"/>
        <color theme="1"/>
        <rFont val="Calibri"/>
        <family val="2"/>
        <scheme val="minor"/>
      </rPr>
      <t>2)</t>
    </r>
    <r>
      <rPr>
        <sz val="11"/>
        <color theme="1"/>
        <rFont val="Calibri"/>
        <family val="2"/>
        <scheme val="minor"/>
      </rPr>
      <t xml:space="preserve"> Forced KLF4 expression inhibited cell growth and induced apoptosis. </t>
    </r>
    <r>
      <rPr>
        <b/>
        <sz val="11"/>
        <color theme="1"/>
        <rFont val="Calibri"/>
        <family val="2"/>
        <scheme val="minor"/>
      </rPr>
      <t xml:space="preserve">3) </t>
    </r>
    <r>
      <rPr>
        <sz val="11"/>
        <color theme="1"/>
        <rFont val="Calibri"/>
        <family val="2"/>
        <scheme val="minor"/>
      </rPr>
      <t xml:space="preserve">overexpression of KLF4 was able to inhibit cell migration and invasion, to inhibit the expression of </t>
    </r>
    <r>
      <rPr>
        <b/>
        <sz val="11"/>
        <color theme="1"/>
        <rFont val="Calibri"/>
        <family val="2"/>
        <scheme val="minor"/>
      </rPr>
      <t>Slug, Twist, and vimentin</t>
    </r>
    <r>
      <rPr>
        <sz val="11"/>
        <color theme="1"/>
        <rFont val="Calibri"/>
        <family val="2"/>
        <scheme val="minor"/>
      </rPr>
      <t xml:space="preserve">, and to increase the expression of </t>
    </r>
    <r>
      <rPr>
        <b/>
        <sz val="11"/>
        <color theme="1"/>
        <rFont val="Calibri"/>
        <family val="2"/>
        <scheme val="minor"/>
      </rPr>
      <t>E-cadherin</t>
    </r>
    <r>
      <rPr>
        <sz val="11"/>
        <color theme="1"/>
        <rFont val="Calibri"/>
        <family val="2"/>
        <scheme val="minor"/>
      </rPr>
      <t xml:space="preserve"> and subsequent inhibition of the EMT process. </t>
    </r>
    <r>
      <rPr>
        <b/>
        <sz val="11"/>
        <color theme="1"/>
        <rFont val="Calibri"/>
        <family val="2"/>
        <scheme val="minor"/>
      </rPr>
      <t xml:space="preserve">4) </t>
    </r>
    <r>
      <rPr>
        <sz val="11"/>
        <color theme="1"/>
        <rFont val="Calibri"/>
        <family val="2"/>
        <scheme val="minor"/>
      </rPr>
      <t xml:space="preserve">KLF4 expression was downregulated in </t>
    </r>
    <r>
      <rPr>
        <b/>
        <sz val="11"/>
        <color theme="1"/>
        <rFont val="Calibri"/>
        <family val="2"/>
        <scheme val="minor"/>
      </rPr>
      <t>ovarian</t>
    </r>
    <r>
      <rPr>
        <sz val="11"/>
        <color theme="1"/>
        <rFont val="Calibri"/>
        <family val="2"/>
        <scheme val="minor"/>
      </rPr>
      <t xml:space="preserve"> cancer tissue compared to normal ovarian tissue, and low KLF4 expression correlated with high risk ovarian carcinoma and poor patient survival. </t>
    </r>
    <r>
      <rPr>
        <b/>
        <sz val="11"/>
        <color theme="1"/>
        <rFont val="Calibri"/>
        <family val="2"/>
        <scheme val="minor"/>
      </rPr>
      <t xml:space="preserve">5) </t>
    </r>
    <r>
      <rPr>
        <sz val="11"/>
        <color theme="1"/>
        <rFont val="Calibri"/>
        <family val="2"/>
        <scheme val="minor"/>
      </rPr>
      <t>Enforced KLF4 expression by lentiviral transduction sensitized ovarian cancer cells to the effects of the chemotherapy drugs, paclitaxel and</t>
    </r>
    <r>
      <rPr>
        <b/>
        <sz val="11"/>
        <color theme="1"/>
        <rFont val="Calibri"/>
        <family val="2"/>
        <scheme val="minor"/>
      </rPr>
      <t xml:space="preserve"> cisplatin</t>
    </r>
    <r>
      <rPr>
        <sz val="11"/>
        <color theme="1"/>
        <rFont val="Calibri"/>
        <family val="2"/>
        <scheme val="minor"/>
      </rPr>
      <t xml:space="preserve">. </t>
    </r>
    <r>
      <rPr>
        <b/>
        <sz val="11"/>
        <color theme="1"/>
        <rFont val="Calibri"/>
        <family val="2"/>
        <scheme val="minor"/>
      </rPr>
      <t xml:space="preserve">6) </t>
    </r>
    <r>
      <rPr>
        <sz val="11"/>
        <color theme="1"/>
        <rFont val="Calibri"/>
        <family val="2"/>
        <scheme val="minor"/>
      </rPr>
      <t xml:space="preserve">Treatment of ovarian cancer cells with APTO-253, a small molecule inducer of KLF4, enhanced the efficacy of both chemotherapy drugs.  </t>
    </r>
  </si>
  <si>
    <r>
      <rPr>
        <b/>
        <sz val="11"/>
        <color theme="1"/>
        <rFont val="Calibri"/>
        <family val="2"/>
        <scheme val="minor"/>
      </rPr>
      <t>1)</t>
    </r>
    <r>
      <rPr>
        <sz val="11"/>
        <color theme="1"/>
        <rFont val="Calibri"/>
        <family val="2"/>
        <scheme val="minor"/>
      </rPr>
      <t xml:space="preserve"> </t>
    </r>
    <r>
      <rPr>
        <b/>
        <sz val="11"/>
        <color theme="1"/>
        <rFont val="Calibri"/>
        <family val="2"/>
        <scheme val="minor"/>
      </rPr>
      <t>KLF5</t>
    </r>
    <r>
      <rPr>
        <sz val="11"/>
        <color theme="1"/>
        <rFont val="Calibri"/>
        <family val="2"/>
        <scheme val="minor"/>
      </rPr>
      <t xml:space="preserve"> was highly expressed in the </t>
    </r>
    <r>
      <rPr>
        <b/>
        <sz val="11"/>
        <color theme="1"/>
        <rFont val="Calibri"/>
        <family val="2"/>
        <scheme val="minor"/>
      </rPr>
      <t>ovarian</t>
    </r>
    <r>
      <rPr>
        <sz val="11"/>
        <color theme="1"/>
        <rFont val="Calibri"/>
        <family val="2"/>
        <scheme val="minor"/>
      </rPr>
      <t xml:space="preserve"> cancer cell line SKOV3 sphere cells, accompanied by elevated survivin expression. </t>
    </r>
    <r>
      <rPr>
        <b/>
        <sz val="11"/>
        <color theme="1"/>
        <rFont val="Calibri"/>
        <family val="2"/>
        <scheme val="minor"/>
      </rPr>
      <t>2)</t>
    </r>
    <r>
      <rPr>
        <sz val="11"/>
        <color theme="1"/>
        <rFont val="Calibri"/>
        <family val="2"/>
        <scheme val="minor"/>
      </rPr>
      <t xml:space="preserve"> Silencing KLF5 by siRNA in sphere cells down-regulated survivin expression, which also sensitized the sphere cells to apoptosis induced by chemotherapeutic drugs (</t>
    </r>
    <r>
      <rPr>
        <b/>
        <sz val="11"/>
        <color theme="1"/>
        <rFont val="Calibri"/>
        <family val="2"/>
        <scheme val="minor"/>
      </rPr>
      <t>cisplatin</t>
    </r>
    <r>
      <rPr>
        <sz val="11"/>
        <color theme="1"/>
        <rFont val="Calibri"/>
        <family val="2"/>
        <scheme val="minor"/>
      </rPr>
      <t xml:space="preserve"> or paclitaxel). </t>
    </r>
    <r>
      <rPr>
        <b/>
        <sz val="11"/>
        <color theme="1"/>
        <rFont val="Calibri"/>
        <family val="2"/>
        <scheme val="minor"/>
      </rPr>
      <t xml:space="preserve">3) </t>
    </r>
    <r>
      <rPr>
        <sz val="11"/>
        <color theme="1"/>
        <rFont val="Calibri"/>
        <family val="2"/>
        <scheme val="minor"/>
      </rPr>
      <t xml:space="preserve">KLF5 controlled </t>
    </r>
    <r>
      <rPr>
        <b/>
        <sz val="11"/>
        <color theme="1"/>
        <rFont val="Calibri"/>
        <family val="2"/>
        <scheme val="minor"/>
      </rPr>
      <t>survivin</t>
    </r>
    <r>
      <rPr>
        <sz val="11"/>
        <color theme="1"/>
        <rFont val="Calibri"/>
        <family val="2"/>
        <scheme val="minor"/>
      </rPr>
      <t xml:space="preserve"> expression by directly binding the surivin promoter in the cells. </t>
    </r>
    <r>
      <rPr>
        <b/>
        <sz val="11"/>
        <color theme="1"/>
        <rFont val="Calibri"/>
        <family val="2"/>
        <scheme val="minor"/>
      </rPr>
      <t xml:space="preserve">4) Breast </t>
    </r>
    <r>
      <rPr>
        <sz val="11"/>
        <color theme="1"/>
        <rFont val="Calibri"/>
        <family val="2"/>
        <scheme val="minor"/>
      </rPr>
      <t>cancer patients with higher KLF5 expression had shorter disease-free survival and overall survival time, whereas patients with lower KLF5 expression had better survival.</t>
    </r>
    <r>
      <rPr>
        <b/>
        <sz val="11"/>
        <color theme="1"/>
        <rFont val="Calibri"/>
        <family val="2"/>
        <scheme val="minor"/>
      </rPr>
      <t xml:space="preserve"> 5) </t>
    </r>
    <r>
      <rPr>
        <sz val="11"/>
        <color theme="1"/>
        <rFont val="Calibri"/>
        <family val="2"/>
        <scheme val="minor"/>
      </rPr>
      <t xml:space="preserve">Knockdown of </t>
    </r>
    <r>
      <rPr>
        <b/>
        <sz val="11"/>
        <color theme="1"/>
        <rFont val="Calibri"/>
        <family val="2"/>
        <scheme val="minor"/>
      </rPr>
      <t>KLF5</t>
    </r>
    <r>
      <rPr>
        <sz val="11"/>
        <color theme="1"/>
        <rFont val="Calibri"/>
        <family val="2"/>
        <scheme val="minor"/>
      </rPr>
      <t xml:space="preserve"> promotes cisplatin‐induced cell apoptosis via regulating DNA damage checkpoint proteins in non‐small cell </t>
    </r>
    <r>
      <rPr>
        <b/>
        <sz val="11"/>
        <color theme="1"/>
        <rFont val="Calibri"/>
        <family val="2"/>
        <scheme val="minor"/>
      </rPr>
      <t>lung</t>
    </r>
    <r>
      <rPr>
        <sz val="11"/>
        <color theme="1"/>
        <rFont val="Calibri"/>
        <family val="2"/>
        <scheme val="minor"/>
      </rPr>
      <t xml:space="preserve"> cancer. </t>
    </r>
  </si>
  <si>
    <r>
      <rPr>
        <b/>
        <sz val="11"/>
        <color theme="1"/>
        <rFont val="Calibri"/>
        <family val="2"/>
        <scheme val="minor"/>
      </rPr>
      <t>1)</t>
    </r>
    <r>
      <rPr>
        <sz val="11"/>
        <color theme="1"/>
        <rFont val="Calibri"/>
        <family val="2"/>
        <scheme val="minor"/>
      </rPr>
      <t xml:space="preserve"> Brca2−/− </t>
    </r>
    <r>
      <rPr>
        <b/>
        <sz val="11"/>
        <color theme="1"/>
        <rFont val="Calibri"/>
        <family val="2"/>
        <scheme val="minor"/>
      </rPr>
      <t>Mll4</t>
    </r>
    <r>
      <rPr>
        <sz val="11"/>
        <color theme="1"/>
        <rFont val="Calibri"/>
        <family val="2"/>
        <scheme val="minor"/>
      </rPr>
      <t xml:space="preserve">−/− B- cells showed a partial rescue of chromosomal aberrations upon PARPi and </t>
    </r>
    <r>
      <rPr>
        <b/>
        <sz val="11"/>
        <color theme="1"/>
        <rFont val="Calibri"/>
        <family val="2"/>
        <scheme val="minor"/>
      </rPr>
      <t>cisplatin</t>
    </r>
    <r>
      <rPr>
        <sz val="11"/>
        <color theme="1"/>
        <rFont val="Calibri"/>
        <family val="2"/>
        <scheme val="minor"/>
      </rPr>
      <t xml:space="preserve"> treatment when compared to Brca2−/− cells alone. </t>
    </r>
    <r>
      <rPr>
        <b/>
        <sz val="11"/>
        <color theme="1"/>
        <rFont val="Calibri"/>
        <family val="2"/>
        <scheme val="minor"/>
      </rPr>
      <t xml:space="preserve">2) </t>
    </r>
    <r>
      <rPr>
        <sz val="11"/>
        <color theme="1"/>
        <rFont val="Calibri"/>
        <family val="2"/>
        <scheme val="minor"/>
      </rPr>
      <t xml:space="preserve">PTIP constitutively associate with PA1 and with </t>
    </r>
    <r>
      <rPr>
        <b/>
        <sz val="11"/>
        <color theme="1"/>
        <rFont val="Calibri"/>
        <family val="2"/>
        <scheme val="minor"/>
      </rPr>
      <t>MLL3/ MLL4</t>
    </r>
    <r>
      <rPr>
        <sz val="11"/>
        <color theme="1"/>
        <rFont val="Calibri"/>
        <family val="2"/>
        <scheme val="minor"/>
      </rPr>
      <t xml:space="preserve"> histone methyltransferases; deposition of MRE11 on newly synthesized or stalled chromatin correlates with the establishment of </t>
    </r>
    <r>
      <rPr>
        <b/>
        <sz val="11"/>
        <color theme="1"/>
        <rFont val="Calibri"/>
        <family val="2"/>
        <scheme val="minor"/>
      </rPr>
      <t>H3K4me1</t>
    </r>
    <r>
      <rPr>
        <sz val="11"/>
        <color theme="1"/>
        <rFont val="Calibri"/>
        <family val="2"/>
        <scheme val="minor"/>
      </rPr>
      <t xml:space="preserve"> and</t>
    </r>
    <r>
      <rPr>
        <b/>
        <sz val="11"/>
        <color theme="1"/>
        <rFont val="Calibri"/>
        <family val="2"/>
        <scheme val="minor"/>
      </rPr>
      <t xml:space="preserve"> H3K4me3</t>
    </r>
    <r>
      <rPr>
        <sz val="11"/>
        <color theme="1"/>
        <rFont val="Calibri"/>
        <family val="2"/>
        <scheme val="minor"/>
      </rPr>
      <t xml:space="preserve"> at RFs. </t>
    </r>
  </si>
  <si>
    <r>
      <rPr>
        <b/>
        <sz val="11"/>
        <color theme="1"/>
        <rFont val="Calibri"/>
        <family val="2"/>
        <scheme val="minor"/>
      </rPr>
      <t xml:space="preserve">1) </t>
    </r>
    <r>
      <rPr>
        <sz val="11"/>
        <color theme="1"/>
        <rFont val="Calibri"/>
        <family val="2"/>
        <scheme val="minor"/>
      </rPr>
      <t xml:space="preserve">downregulation of </t>
    </r>
    <r>
      <rPr>
        <b/>
        <sz val="11"/>
        <color theme="1"/>
        <rFont val="Calibri"/>
        <family val="2"/>
        <scheme val="minor"/>
      </rPr>
      <t>KMT2C</t>
    </r>
    <r>
      <rPr>
        <sz val="11"/>
        <color theme="1"/>
        <rFont val="Calibri"/>
        <family val="2"/>
        <scheme val="minor"/>
      </rPr>
      <t xml:space="preserve"> in </t>
    </r>
    <r>
      <rPr>
        <b/>
        <sz val="11"/>
        <color theme="1"/>
        <rFont val="Calibri"/>
        <family val="2"/>
        <scheme val="minor"/>
      </rPr>
      <t>bladder</t>
    </r>
    <r>
      <rPr>
        <sz val="11"/>
        <color theme="1"/>
        <rFont val="Calibri"/>
        <family val="2"/>
        <scheme val="minor"/>
      </rPr>
      <t xml:space="preserve"> cancer cells leads to extensive changes in the epigenetic status and the expression of DNA damage response and DNA repair genes. </t>
    </r>
    <r>
      <rPr>
        <b/>
        <sz val="11"/>
        <color theme="1"/>
        <rFont val="Calibri"/>
        <family val="2"/>
        <scheme val="minor"/>
      </rPr>
      <t>2)</t>
    </r>
    <r>
      <rPr>
        <sz val="11"/>
        <color theme="1"/>
        <rFont val="Calibri"/>
        <family val="2"/>
        <scheme val="minor"/>
      </rPr>
      <t xml:space="preserve"> cells with low KMT2C activity are deficient in homologous recombination‐mediated double‐strand break DNA repair. </t>
    </r>
    <r>
      <rPr>
        <b/>
        <sz val="11"/>
        <color theme="1"/>
        <rFont val="Calibri"/>
        <family val="2"/>
        <scheme val="minor"/>
      </rPr>
      <t>3)</t>
    </r>
    <r>
      <rPr>
        <sz val="11"/>
        <color theme="1"/>
        <rFont val="Calibri"/>
        <family val="2"/>
        <scheme val="minor"/>
      </rPr>
      <t xml:space="preserve"> these cells seem to rely heavily on PARP1/2 for DNA repair, and treatment with the PARP1/2 inhibitor olaparib leads to synthetic lethality, </t>
    </r>
    <r>
      <rPr>
        <b/>
        <sz val="11"/>
        <color theme="1"/>
        <rFont val="Calibri"/>
        <family val="2"/>
        <scheme val="minor"/>
      </rPr>
      <t xml:space="preserve">4) </t>
    </r>
    <r>
      <rPr>
        <sz val="11"/>
        <color theme="1"/>
        <rFont val="Calibri"/>
        <family val="2"/>
        <scheme val="minor"/>
      </rPr>
      <t xml:space="preserve">KMT2C overexpression combined with 5-FU or </t>
    </r>
    <r>
      <rPr>
        <b/>
        <sz val="11"/>
        <color theme="1"/>
        <rFont val="Calibri"/>
        <family val="2"/>
        <scheme val="minor"/>
      </rPr>
      <t>cisplatin</t>
    </r>
    <r>
      <rPr>
        <sz val="11"/>
        <color theme="1"/>
        <rFont val="Calibri"/>
        <family val="2"/>
        <scheme val="minor"/>
      </rPr>
      <t xml:space="preserve"> led to reductions in cell proliferation ranging from 40-45%. </t>
    </r>
  </si>
  <si>
    <r>
      <rPr>
        <b/>
        <sz val="11"/>
        <color theme="1"/>
        <rFont val="Calibri"/>
        <family val="2"/>
        <scheme val="minor"/>
      </rPr>
      <t>1) EOC</t>
    </r>
    <r>
      <rPr>
        <sz val="11"/>
        <color theme="1"/>
        <rFont val="Calibri"/>
        <family val="2"/>
        <scheme val="minor"/>
      </rPr>
      <t xml:space="preserve"> patients with complete clinical data were genotyped for the KRAS variant and analyzed for outcome (n=536), response to neoadjuvant chemotherapy (n=125) and platinum resistance (n=306). </t>
    </r>
    <r>
      <rPr>
        <b/>
        <sz val="11"/>
        <color theme="1"/>
        <rFont val="Calibri"/>
        <family val="2"/>
        <scheme val="minor"/>
      </rPr>
      <t xml:space="preserve">2) </t>
    </r>
    <r>
      <rPr>
        <sz val="11"/>
        <color theme="1"/>
        <rFont val="Calibri"/>
        <family val="2"/>
        <scheme val="minor"/>
      </rPr>
      <t xml:space="preserve">Postmenopausal EOC patients with the KRAS variant were significantly more likely to die of ovarian cancer by multivariate analysis (hazard ratio=1.67, 95% confidence interval: 1.09-2.57, P=0.019, n=279). </t>
    </r>
    <r>
      <rPr>
        <b/>
        <sz val="11"/>
        <color theme="1"/>
        <rFont val="Calibri"/>
        <family val="2"/>
        <scheme val="minor"/>
      </rPr>
      <t xml:space="preserve">3) </t>
    </r>
    <r>
      <rPr>
        <sz val="11"/>
        <color theme="1"/>
        <rFont val="Calibri"/>
        <family val="2"/>
        <scheme val="minor"/>
      </rPr>
      <t xml:space="preserve">EOC patients with the KRAS variant were significantly more likely to be </t>
    </r>
    <r>
      <rPr>
        <b/>
        <sz val="11"/>
        <color theme="1"/>
        <rFont val="Calibri"/>
        <family val="2"/>
        <scheme val="minor"/>
      </rPr>
      <t>platinum</t>
    </r>
    <r>
      <rPr>
        <sz val="11"/>
        <color theme="1"/>
        <rFont val="Calibri"/>
        <family val="2"/>
        <scheme val="minor"/>
      </rPr>
      <t xml:space="preserve"> resistant (odds ratio=3.18, confidence interval: 1.31-7.72, P=0.0106, n=291). </t>
    </r>
    <r>
      <rPr>
        <b/>
        <sz val="11"/>
        <color theme="1"/>
        <rFont val="Calibri"/>
        <family val="2"/>
        <scheme val="minor"/>
      </rPr>
      <t xml:space="preserve">4) </t>
    </r>
    <r>
      <rPr>
        <sz val="11"/>
        <color theme="1"/>
        <rFont val="Calibri"/>
        <family val="2"/>
        <scheme val="minor"/>
      </rPr>
      <t xml:space="preserve">direct targeting of the KRAS variant led to a significant reduction in EOC cell growth and survival in vitro. </t>
    </r>
  </si>
  <si>
    <r>
      <rPr>
        <b/>
        <sz val="11"/>
        <color theme="1"/>
        <rFont val="Calibri"/>
        <family val="2"/>
        <scheme val="minor"/>
      </rPr>
      <t xml:space="preserve">1) </t>
    </r>
    <r>
      <rPr>
        <sz val="11"/>
        <color theme="1"/>
        <rFont val="Calibri"/>
        <family val="2"/>
        <scheme val="minor"/>
      </rPr>
      <t>Keratin 1 (</t>
    </r>
    <r>
      <rPr>
        <b/>
        <sz val="11"/>
        <color theme="1"/>
        <rFont val="Calibri"/>
        <family val="2"/>
        <scheme val="minor"/>
      </rPr>
      <t>KRT1</t>
    </r>
    <r>
      <rPr>
        <sz val="11"/>
        <color theme="1"/>
        <rFont val="Calibri"/>
        <family val="2"/>
        <scheme val="minor"/>
      </rPr>
      <t>), cathepsin D (CTSD) and annexin a5 (ANXA5) were identified as three proteins showing higher expression in CNE2/</t>
    </r>
    <r>
      <rPr>
        <b/>
        <sz val="11"/>
        <color theme="1"/>
        <rFont val="Calibri"/>
        <family val="2"/>
        <scheme val="minor"/>
      </rPr>
      <t xml:space="preserve">cDDP </t>
    </r>
    <r>
      <rPr>
        <sz val="11"/>
        <color theme="1"/>
        <rFont val="Calibri"/>
        <family val="2"/>
        <scheme val="minor"/>
      </rPr>
      <t xml:space="preserve">compared to </t>
    </r>
    <r>
      <rPr>
        <b/>
        <sz val="11"/>
        <color theme="1"/>
        <rFont val="Calibri"/>
        <family val="2"/>
        <scheme val="minor"/>
      </rPr>
      <t>nasopharyngeal</t>
    </r>
    <r>
      <rPr>
        <sz val="11"/>
        <color theme="1"/>
        <rFont val="Calibri"/>
        <family val="2"/>
        <scheme val="minor"/>
      </rPr>
      <t xml:space="preserve"> carcinoma cell line CNE2. </t>
    </r>
    <r>
      <rPr>
        <b/>
        <sz val="11"/>
        <color theme="1"/>
        <rFont val="Calibri"/>
        <family val="2"/>
        <scheme val="minor"/>
      </rPr>
      <t xml:space="preserve">2) </t>
    </r>
    <r>
      <rPr>
        <sz val="11"/>
        <color theme="1"/>
        <rFont val="Calibri"/>
        <family val="2"/>
        <scheme val="minor"/>
      </rPr>
      <t xml:space="preserve">suppression of KRT1 expression by siRNA resulted in decreased MDR in siRNA-CNE2/cDDP cells. </t>
    </r>
    <r>
      <rPr>
        <b/>
        <sz val="11"/>
        <color theme="1"/>
        <rFont val="Calibri"/>
        <family val="2"/>
        <scheme val="minor"/>
      </rPr>
      <t>3)</t>
    </r>
    <r>
      <rPr>
        <sz val="11"/>
        <color theme="1"/>
        <rFont val="Calibri"/>
        <family val="2"/>
        <scheme val="minor"/>
      </rPr>
      <t xml:space="preserve"> upregulation of KRT1 could result in increased of drug resistance in NPC cell lines. </t>
    </r>
  </si>
  <si>
    <r>
      <rPr>
        <b/>
        <sz val="11"/>
        <color theme="1"/>
        <rFont val="Calibri"/>
        <family val="2"/>
        <scheme val="minor"/>
      </rPr>
      <t xml:space="preserve">1) </t>
    </r>
    <r>
      <rPr>
        <sz val="11"/>
        <color theme="1"/>
        <rFont val="Calibri"/>
        <family val="2"/>
        <scheme val="minor"/>
      </rPr>
      <t xml:space="preserve">KRT10 was identified as a differently expressed protein in </t>
    </r>
    <r>
      <rPr>
        <b/>
        <sz val="11"/>
        <color theme="1"/>
        <rFont val="Calibri"/>
        <family val="2"/>
        <scheme val="minor"/>
      </rPr>
      <t>cisplatin</t>
    </r>
    <r>
      <rPr>
        <sz val="11"/>
        <color theme="1"/>
        <rFont val="Calibri"/>
        <family val="2"/>
        <scheme val="minor"/>
      </rPr>
      <t xml:space="preserve">-treated C13K/PTEN cells. </t>
    </r>
    <r>
      <rPr>
        <b/>
        <sz val="11"/>
        <color theme="1"/>
        <rFont val="Calibri"/>
        <family val="2"/>
        <scheme val="minor"/>
      </rPr>
      <t>2)</t>
    </r>
    <r>
      <rPr>
        <sz val="11"/>
        <color theme="1"/>
        <rFont val="Calibri"/>
        <family val="2"/>
        <scheme val="minor"/>
      </rPr>
      <t xml:space="preserve"> overexpression of KRT10 sensitizes the drug-resistant ovarian cancer cells C13K to cisplatin. </t>
    </r>
    <r>
      <rPr>
        <b/>
        <sz val="11"/>
        <color theme="1"/>
        <rFont val="Calibri"/>
        <family val="2"/>
        <scheme val="minor"/>
      </rPr>
      <t xml:space="preserve">3) </t>
    </r>
    <r>
      <rPr>
        <sz val="11"/>
        <color theme="1"/>
        <rFont val="Calibri"/>
        <family val="2"/>
        <scheme val="minor"/>
      </rPr>
      <t xml:space="preserve">knockdown of KRT10 with siRNA blocked the proliferation inhibition effect of cisplatin on C13K/PTEN cells. </t>
    </r>
  </si>
  <si>
    <r>
      <rPr>
        <b/>
        <sz val="11"/>
        <color theme="1"/>
        <rFont val="Calibri"/>
        <family val="2"/>
        <scheme val="minor"/>
      </rPr>
      <t>1)</t>
    </r>
    <r>
      <rPr>
        <sz val="11"/>
        <color theme="1"/>
        <rFont val="Calibri"/>
        <family val="2"/>
        <scheme val="minor"/>
      </rPr>
      <t xml:space="preserve"> K8/18 deletion increased </t>
    </r>
    <r>
      <rPr>
        <b/>
        <sz val="11"/>
        <color theme="1"/>
        <rFont val="Calibri"/>
        <family val="2"/>
        <scheme val="minor"/>
      </rPr>
      <t>cisplatin</t>
    </r>
    <r>
      <rPr>
        <sz val="11"/>
        <color theme="1"/>
        <rFont val="Calibri"/>
        <family val="2"/>
        <scheme val="minor"/>
      </rPr>
      <t xml:space="preserve">-induced apoptosis through increased Fas receptor membrane targeting and the tight junction protein claudin1. </t>
    </r>
    <r>
      <rPr>
        <b/>
        <sz val="11"/>
        <color theme="1"/>
        <rFont val="Calibri"/>
        <family val="2"/>
        <scheme val="minor"/>
      </rPr>
      <t>2)</t>
    </r>
    <r>
      <rPr>
        <sz val="11"/>
        <color theme="1"/>
        <rFont val="Calibri"/>
        <family val="2"/>
        <scheme val="minor"/>
      </rPr>
      <t xml:space="preserve"> K8/18 stable knockdown using shRNA increased collective migration and invasiveness of epithelial cancer cells without modulating EMT markers. </t>
    </r>
    <r>
      <rPr>
        <b/>
        <sz val="11"/>
        <color theme="1"/>
        <rFont val="Calibri"/>
        <family val="2"/>
        <scheme val="minor"/>
      </rPr>
      <t>3)</t>
    </r>
    <r>
      <rPr>
        <sz val="11"/>
        <color theme="1"/>
        <rFont val="Calibri"/>
        <family val="2"/>
        <scheme val="minor"/>
      </rPr>
      <t xml:space="preserve"> K8/18-depleted cells showed PI3K/Akt/NF-κB hyperactivation and increased MMP2 and MMP9 expression. </t>
    </r>
    <r>
      <rPr>
        <b/>
        <sz val="11"/>
        <color theme="1"/>
        <rFont val="Calibri"/>
        <family val="2"/>
        <scheme val="minor"/>
      </rPr>
      <t xml:space="preserve">4) </t>
    </r>
    <r>
      <rPr>
        <sz val="11"/>
        <color theme="1"/>
        <rFont val="Calibri"/>
        <family val="2"/>
        <scheme val="minor"/>
      </rPr>
      <t xml:space="preserve">the up-regulation of </t>
    </r>
    <r>
      <rPr>
        <b/>
        <sz val="11"/>
        <color theme="1"/>
        <rFont val="Calibri"/>
        <family val="2"/>
        <scheme val="minor"/>
      </rPr>
      <t>KT18</t>
    </r>
    <r>
      <rPr>
        <sz val="11"/>
        <color theme="1"/>
        <rFont val="Calibri"/>
        <family val="2"/>
        <scheme val="minor"/>
      </rPr>
      <t xml:space="preserve"> is observed in a majority of breast carcinomas whereas its </t>
    </r>
    <r>
      <rPr>
        <b/>
        <sz val="11"/>
        <color theme="1"/>
        <rFont val="Calibri"/>
        <family val="2"/>
        <scheme val="minor"/>
      </rPr>
      <t>down-regulation</t>
    </r>
    <r>
      <rPr>
        <sz val="11"/>
        <color theme="1"/>
        <rFont val="Calibri"/>
        <family val="2"/>
        <scheme val="minor"/>
      </rPr>
      <t xml:space="preserve"> also occurs at a less frequency. </t>
    </r>
    <r>
      <rPr>
        <b/>
        <sz val="11"/>
        <color theme="1"/>
        <rFont val="Calibri"/>
        <family val="2"/>
        <scheme val="minor"/>
      </rPr>
      <t>5)</t>
    </r>
    <r>
      <rPr>
        <sz val="11"/>
        <color theme="1"/>
        <rFont val="Calibri"/>
        <family val="2"/>
        <scheme val="minor"/>
      </rPr>
      <t xml:space="preserve">KT18 </t>
    </r>
    <r>
      <rPr>
        <b/>
        <sz val="11"/>
        <color theme="1"/>
        <rFont val="Calibri"/>
        <family val="2"/>
        <scheme val="minor"/>
      </rPr>
      <t>down-regulation</t>
    </r>
    <r>
      <rPr>
        <sz val="11"/>
        <color theme="1"/>
        <rFont val="Calibri"/>
        <family val="2"/>
        <scheme val="minor"/>
      </rPr>
      <t xml:space="preserve"> was associated with histologically poorly differentiated carcinomas than well differentiated carcinomas, also significantly associated with the loss of ER and PR, the prognostic markers of the breast cancer (P &lt; 0.05), while not with HER2, tumor size, and lymph node metastasis. </t>
    </r>
  </si>
  <si>
    <r>
      <rPr>
        <b/>
        <sz val="11"/>
        <color theme="1"/>
        <rFont val="Calibri"/>
        <family val="2"/>
        <scheme val="minor"/>
      </rPr>
      <t>1)</t>
    </r>
    <r>
      <rPr>
        <sz val="11"/>
        <color theme="1"/>
        <rFont val="Calibri"/>
        <family val="2"/>
        <scheme val="minor"/>
      </rPr>
      <t xml:space="preserve"> CK5+ cells are less apoptotic following </t>
    </r>
    <r>
      <rPr>
        <b/>
        <sz val="11"/>
        <color theme="1"/>
        <rFont val="Calibri"/>
        <family val="2"/>
        <scheme val="minor"/>
      </rPr>
      <t>cisplatin</t>
    </r>
    <r>
      <rPr>
        <sz val="11"/>
        <color theme="1"/>
        <rFont val="Calibri"/>
        <family val="2"/>
        <scheme val="minor"/>
      </rPr>
      <t xml:space="preserve"> treatment. </t>
    </r>
    <r>
      <rPr>
        <b/>
        <sz val="11"/>
        <color theme="1"/>
        <rFont val="Calibri"/>
        <family val="2"/>
        <scheme val="minor"/>
      </rPr>
      <t xml:space="preserve">2) </t>
    </r>
    <r>
      <rPr>
        <sz val="11"/>
        <color theme="1"/>
        <rFont val="Calibri"/>
        <family val="2"/>
        <scheme val="minor"/>
      </rPr>
      <t>Of</t>
    </r>
    <r>
      <rPr>
        <b/>
        <sz val="11"/>
        <color theme="1"/>
        <rFont val="Calibri"/>
        <family val="2"/>
        <scheme val="minor"/>
      </rPr>
      <t xml:space="preserve"> </t>
    </r>
    <r>
      <rPr>
        <sz val="11"/>
        <color theme="1"/>
        <rFont val="Calibri"/>
        <family val="2"/>
        <scheme val="minor"/>
      </rPr>
      <t xml:space="preserve">a cohort of high grade serous </t>
    </r>
    <r>
      <rPr>
        <b/>
        <sz val="11"/>
        <color theme="1"/>
        <rFont val="Calibri"/>
        <family val="2"/>
        <scheme val="minor"/>
      </rPr>
      <t>ovarian</t>
    </r>
    <r>
      <rPr>
        <sz val="11"/>
        <color theme="1"/>
        <rFont val="Calibri"/>
        <family val="2"/>
        <scheme val="minor"/>
      </rPr>
      <t xml:space="preserve"> carcinomas at surgery (n = 117) and after neoadjuvant </t>
    </r>
    <r>
      <rPr>
        <b/>
        <sz val="11"/>
        <color theme="1"/>
        <rFont val="Calibri"/>
        <family val="2"/>
        <scheme val="minor"/>
      </rPr>
      <t>chemotherapy</t>
    </r>
    <r>
      <rPr>
        <sz val="11"/>
        <color theme="1"/>
        <rFont val="Calibri"/>
        <family val="2"/>
        <scheme val="minor"/>
      </rPr>
      <t xml:space="preserve"> (n = 21), high </t>
    </r>
    <r>
      <rPr>
        <b/>
        <sz val="11"/>
        <color theme="1"/>
        <rFont val="Calibri"/>
        <family val="2"/>
        <scheme val="minor"/>
      </rPr>
      <t>KRT5</t>
    </r>
    <r>
      <rPr>
        <sz val="11"/>
        <color theme="1"/>
        <rFont val="Calibri"/>
        <family val="2"/>
        <scheme val="minor"/>
      </rPr>
      <t xml:space="preserve"> mRNA in stage III/IV serous ovarian cancers was significantly associated with reduced progression-free (HR 1.38, P &lt; 0.0001) and overall survival (HR 1.28, P = 0.013) </t>
    </r>
    <r>
      <rPr>
        <b/>
        <sz val="11"/>
        <color theme="1"/>
        <rFont val="Calibri"/>
        <family val="2"/>
        <scheme val="minor"/>
      </rPr>
      <t xml:space="preserve">3) </t>
    </r>
    <r>
      <rPr>
        <sz val="11"/>
        <color theme="1"/>
        <rFont val="Calibri"/>
        <family val="2"/>
        <scheme val="minor"/>
      </rPr>
      <t xml:space="preserve">high </t>
    </r>
    <r>
      <rPr>
        <b/>
        <sz val="11"/>
        <color theme="1"/>
        <rFont val="Calibri"/>
        <family val="2"/>
        <scheme val="minor"/>
      </rPr>
      <t>KRT6</t>
    </r>
    <r>
      <rPr>
        <sz val="11"/>
        <color theme="1"/>
        <rFont val="Calibri"/>
        <family val="2"/>
        <scheme val="minor"/>
      </rPr>
      <t xml:space="preserve"> mRNA was only associated with reduced progression-free survival (HR 1.2, P = 0.031). </t>
    </r>
    <r>
      <rPr>
        <b/>
        <sz val="11"/>
        <color theme="1"/>
        <rFont val="Calibri"/>
        <family val="2"/>
        <scheme val="minor"/>
      </rPr>
      <t xml:space="preserve">4) </t>
    </r>
    <r>
      <rPr>
        <sz val="11"/>
        <color theme="1"/>
        <rFont val="Calibri"/>
        <family val="2"/>
        <scheme val="minor"/>
      </rPr>
      <t>Both high K5/6 (≥ 10%, HR 1.78 95% CI; 1.03−2.65, P = 0.017) and high K5 (≥ 10%, HR 1.90, 95% CI; 1.12−3.19, P = 0.017) were associated with an increased risk of disease recurrence.</t>
    </r>
    <r>
      <rPr>
        <b/>
        <sz val="11"/>
        <color theme="1"/>
        <rFont val="Calibri"/>
        <family val="2"/>
        <scheme val="minor"/>
      </rPr>
      <t xml:space="preserve"> 5)</t>
    </r>
    <r>
      <rPr>
        <sz val="11"/>
        <color theme="1"/>
        <rFont val="Calibri"/>
        <family val="2"/>
        <scheme val="minor"/>
      </rPr>
      <t xml:space="preserve"> </t>
    </r>
    <r>
      <rPr>
        <b/>
        <sz val="11"/>
        <color theme="1"/>
        <rFont val="Calibri"/>
        <family val="2"/>
        <scheme val="minor"/>
      </rPr>
      <t>KRT5</t>
    </r>
    <r>
      <rPr>
        <sz val="11"/>
        <color theme="1"/>
        <rFont val="Calibri"/>
        <family val="2"/>
        <scheme val="minor"/>
      </rPr>
      <t xml:space="preserve"> but not KRT6C mRNA expression was increased in </t>
    </r>
    <r>
      <rPr>
        <b/>
        <sz val="11"/>
        <color theme="1"/>
        <rFont val="Calibri"/>
        <family val="2"/>
        <scheme val="minor"/>
      </rPr>
      <t xml:space="preserve">chemotherapy resistant </t>
    </r>
    <r>
      <rPr>
        <sz val="11"/>
        <color theme="1"/>
        <rFont val="Calibri"/>
        <family val="2"/>
        <scheme val="minor"/>
      </rPr>
      <t xml:space="preserve">primary serous ovarian cancer cells compared to chemotherapy sensitive cells. </t>
    </r>
    <r>
      <rPr>
        <b/>
        <sz val="11"/>
        <color theme="1"/>
        <rFont val="Calibri"/>
        <family val="2"/>
        <scheme val="minor"/>
      </rPr>
      <t xml:space="preserve">6) </t>
    </r>
    <r>
      <rPr>
        <sz val="11"/>
        <color theme="1"/>
        <rFont val="Calibri"/>
        <family val="2"/>
        <scheme val="minor"/>
      </rPr>
      <t xml:space="preserve">The proportion of serous ovarian carcinomas with high K5/6 or high K5 immunostaining was significantly increased following neoadjuvant chemotherapy. </t>
    </r>
  </si>
  <si>
    <r>
      <rPr>
        <b/>
        <sz val="11"/>
        <color theme="1"/>
        <rFont val="Calibri"/>
        <family val="2"/>
        <scheme val="minor"/>
      </rPr>
      <t xml:space="preserve">1) </t>
    </r>
    <r>
      <rPr>
        <sz val="11"/>
        <color theme="1"/>
        <rFont val="Calibri"/>
        <family val="2"/>
        <scheme val="minor"/>
      </rPr>
      <t xml:space="preserve">As KRT18. </t>
    </r>
    <r>
      <rPr>
        <b/>
        <sz val="11"/>
        <color theme="1"/>
        <rFont val="Calibri"/>
        <family val="2"/>
        <scheme val="minor"/>
      </rPr>
      <t>2) KRT8</t>
    </r>
    <r>
      <rPr>
        <sz val="11"/>
        <color theme="1"/>
        <rFont val="Calibri"/>
        <family val="2"/>
        <scheme val="minor"/>
      </rPr>
      <t xml:space="preserve"> expression was upregulated in clear cell renal cell carcinoma (ccRCC) and vein tumor thrombi (VTTs). </t>
    </r>
    <r>
      <rPr>
        <b/>
        <sz val="11"/>
        <color theme="1"/>
        <rFont val="Calibri"/>
        <family val="2"/>
        <scheme val="minor"/>
      </rPr>
      <t>3)</t>
    </r>
    <r>
      <rPr>
        <sz val="11"/>
        <color theme="1"/>
        <rFont val="Calibri"/>
        <family val="2"/>
        <scheme val="minor"/>
      </rPr>
      <t xml:space="preserve"> KRT8 overexpression in ccRCC was significantly correlated with aggressive characteristics and was predictive of a </t>
    </r>
    <r>
      <rPr>
        <b/>
        <sz val="11"/>
        <color theme="1"/>
        <rFont val="Calibri"/>
        <family val="2"/>
        <scheme val="minor"/>
      </rPr>
      <t>poor prognosis</t>
    </r>
    <r>
      <rPr>
        <sz val="11"/>
        <color theme="1"/>
        <rFont val="Calibri"/>
        <family val="2"/>
        <scheme val="minor"/>
      </rPr>
      <t xml:space="preserve"> in ccRCC patients. </t>
    </r>
    <r>
      <rPr>
        <b/>
        <sz val="11"/>
        <color theme="1"/>
        <rFont val="Calibri"/>
        <family val="2"/>
        <scheme val="minor"/>
      </rPr>
      <t xml:space="preserve">4) </t>
    </r>
    <r>
      <rPr>
        <sz val="11"/>
        <color theme="1"/>
        <rFont val="Calibri"/>
        <family val="2"/>
        <scheme val="minor"/>
      </rPr>
      <t xml:space="preserve">KRT8 overexpression in renal cancer cell lines promoted cell migration and invasion. </t>
    </r>
    <r>
      <rPr>
        <b/>
        <sz val="11"/>
        <color theme="1"/>
        <rFont val="Calibri"/>
        <family val="2"/>
        <scheme val="minor"/>
      </rPr>
      <t xml:space="preserve">5) </t>
    </r>
    <r>
      <rPr>
        <sz val="11"/>
        <color theme="1"/>
        <rFont val="Calibri"/>
        <family val="2"/>
        <scheme val="minor"/>
      </rPr>
      <t xml:space="preserve">KRT8 knockdown suppressed ccRCC metastasis both in vitro and in vivo. </t>
    </r>
    <r>
      <rPr>
        <b/>
        <sz val="11"/>
        <color theme="1"/>
        <rFont val="Calibri"/>
        <family val="2"/>
        <scheme val="minor"/>
      </rPr>
      <t xml:space="preserve">6) </t>
    </r>
    <r>
      <rPr>
        <sz val="11"/>
        <color theme="1"/>
        <rFont val="Calibri"/>
        <family val="2"/>
        <scheme val="minor"/>
      </rPr>
      <t xml:space="preserve">KRT8 promoted ccRCC metastasis by increasing </t>
    </r>
    <r>
      <rPr>
        <b/>
        <sz val="11"/>
        <color theme="1"/>
        <rFont val="Calibri"/>
        <family val="2"/>
        <scheme val="minor"/>
      </rPr>
      <t>IL-11</t>
    </r>
    <r>
      <rPr>
        <sz val="11"/>
        <color theme="1"/>
        <rFont val="Calibri"/>
        <family val="2"/>
        <scheme val="minor"/>
      </rPr>
      <t xml:space="preserve"> expression, causing IL-11 autocrine induction, and triggering STAT3 signaling.</t>
    </r>
  </si>
  <si>
    <r>
      <rPr>
        <b/>
        <sz val="11"/>
        <color theme="1"/>
        <rFont val="Calibri"/>
        <family val="2"/>
        <scheme val="minor"/>
      </rPr>
      <t xml:space="preserve">1) As HTRA2. </t>
    </r>
    <r>
      <rPr>
        <sz val="11"/>
        <color theme="1"/>
        <rFont val="Calibri"/>
        <family val="2"/>
        <scheme val="minor"/>
      </rPr>
      <t xml:space="preserve">This HtrA2-mediated cell death is enhanced by </t>
    </r>
    <r>
      <rPr>
        <b/>
        <sz val="11"/>
        <color theme="1"/>
        <rFont val="Calibri"/>
        <family val="2"/>
        <scheme val="minor"/>
      </rPr>
      <t>LATS1</t>
    </r>
    <r>
      <rPr>
        <sz val="11"/>
        <color theme="1"/>
        <rFont val="Calibri"/>
        <family val="2"/>
        <scheme val="minor"/>
      </rPr>
      <t xml:space="preserve">. </t>
    </r>
    <r>
      <rPr>
        <b/>
        <sz val="11"/>
        <color theme="1"/>
        <rFont val="Calibri"/>
        <family val="2"/>
        <scheme val="minor"/>
      </rPr>
      <t xml:space="preserve">2) </t>
    </r>
    <r>
      <rPr>
        <sz val="11"/>
        <color theme="1"/>
        <rFont val="Calibri"/>
        <family val="2"/>
        <scheme val="minor"/>
      </rPr>
      <t xml:space="preserve">mRNA and protein of </t>
    </r>
    <r>
      <rPr>
        <b/>
        <sz val="11"/>
        <color theme="1"/>
        <rFont val="Calibri"/>
        <family val="2"/>
        <scheme val="minor"/>
      </rPr>
      <t>LATS1</t>
    </r>
    <r>
      <rPr>
        <sz val="11"/>
        <color theme="1"/>
        <rFont val="Calibri"/>
        <family val="2"/>
        <scheme val="minor"/>
      </rPr>
      <t xml:space="preserve"> expression is significantly downregulated in glioma compared with normal control brain tissues. </t>
    </r>
    <r>
      <rPr>
        <b/>
        <sz val="11"/>
        <color theme="1"/>
        <rFont val="Calibri"/>
        <family val="2"/>
        <scheme val="minor"/>
      </rPr>
      <t>3)</t>
    </r>
    <r>
      <rPr>
        <sz val="11"/>
        <color theme="1"/>
        <rFont val="Calibri"/>
        <family val="2"/>
        <scheme val="minor"/>
      </rPr>
      <t xml:space="preserve"> downregulation of HtrA2, but not of LATS1 by specific siRNA, increased cisplatin resistance and invasion. </t>
    </r>
    <r>
      <rPr>
        <b/>
        <sz val="11"/>
        <color theme="1"/>
        <rFont val="Calibri"/>
        <family val="2"/>
        <scheme val="minor"/>
      </rPr>
      <t>4)</t>
    </r>
    <r>
      <rPr>
        <sz val="11"/>
        <color theme="1"/>
        <rFont val="Calibri"/>
        <family val="2"/>
        <scheme val="minor"/>
      </rPr>
      <t xml:space="preserve"> Patients with lower LATS1 expression had a significantly shorter overall survival time than did patients with higher LATS1 expression. </t>
    </r>
    <r>
      <rPr>
        <b/>
        <sz val="11"/>
        <color theme="1"/>
        <rFont val="Calibri"/>
        <family val="2"/>
        <scheme val="minor"/>
      </rPr>
      <t xml:space="preserve">5) </t>
    </r>
    <r>
      <rPr>
        <sz val="11"/>
        <color theme="1"/>
        <rFont val="Calibri"/>
        <family val="2"/>
        <scheme val="minor"/>
      </rPr>
      <t xml:space="preserve">Multivariate analysis suggested that the level of LATS1 expression was an independent prognostic indicator (p&lt;0.001) for the survival of patients with glioma. </t>
    </r>
    <r>
      <rPr>
        <b/>
        <sz val="11"/>
        <color theme="1"/>
        <rFont val="Calibri"/>
        <family val="2"/>
        <scheme val="minor"/>
      </rPr>
      <t xml:space="preserve">6) </t>
    </r>
    <r>
      <rPr>
        <sz val="11"/>
        <color theme="1"/>
        <rFont val="Calibri"/>
        <family val="2"/>
        <scheme val="minor"/>
      </rPr>
      <t xml:space="preserve">Forced expression of LATS1 in glioma U251 cells not only significantly suppressed cell growth, migration and invasion, but retarded cell cycle progression from G2/M to G1 in vitro. </t>
    </r>
    <r>
      <rPr>
        <b/>
        <sz val="11"/>
        <color theme="1"/>
        <rFont val="Calibri"/>
        <family val="2"/>
        <scheme val="minor"/>
      </rPr>
      <t>7)</t>
    </r>
    <r>
      <rPr>
        <sz val="11"/>
        <color theme="1"/>
        <rFont val="Calibri"/>
        <family val="2"/>
        <scheme val="minor"/>
      </rPr>
      <t xml:space="preserve"> overexpressed LATS1 markedly inhibited the expression level of cell cycle factor CCNA1.</t>
    </r>
  </si>
  <si>
    <r>
      <rPr>
        <b/>
        <sz val="11"/>
        <color theme="1"/>
        <rFont val="Calibri"/>
        <family val="2"/>
        <scheme val="minor"/>
      </rPr>
      <t xml:space="preserve">1) </t>
    </r>
    <r>
      <rPr>
        <sz val="11"/>
        <color theme="1"/>
        <rFont val="Calibri"/>
        <family val="2"/>
        <scheme val="minor"/>
      </rPr>
      <t xml:space="preserve">CSCs and </t>
    </r>
    <r>
      <rPr>
        <b/>
        <sz val="11"/>
        <color theme="1"/>
        <rFont val="Calibri"/>
        <family val="2"/>
        <scheme val="minor"/>
      </rPr>
      <t>cisplatin</t>
    </r>
    <r>
      <rPr>
        <sz val="11"/>
        <color theme="1"/>
        <rFont val="Calibri"/>
        <family val="2"/>
        <scheme val="minor"/>
      </rPr>
      <t xml:space="preserve">-resistant cells had higher levels of both </t>
    </r>
    <r>
      <rPr>
        <b/>
        <sz val="11"/>
        <color theme="1"/>
        <rFont val="Calibri"/>
        <family val="2"/>
        <scheme val="minor"/>
      </rPr>
      <t>pLCK (Y394) and LCK</t>
    </r>
    <r>
      <rPr>
        <sz val="11"/>
        <color theme="1"/>
        <rFont val="Calibri"/>
        <family val="2"/>
        <scheme val="minor"/>
      </rPr>
      <t xml:space="preserve"> compared with their non-CSC and cisplatin-naive counterparts, respectively. </t>
    </r>
    <r>
      <rPr>
        <b/>
        <sz val="11"/>
        <color theme="1"/>
        <rFont val="Calibri"/>
        <family val="2"/>
        <scheme val="minor"/>
      </rPr>
      <t xml:space="preserve">2) </t>
    </r>
    <r>
      <rPr>
        <sz val="11"/>
        <color theme="1"/>
        <rFont val="Calibri"/>
        <family val="2"/>
        <scheme val="minor"/>
      </rPr>
      <t xml:space="preserve">LCK and pLCK (Y394) were coprecipitated with CD55. </t>
    </r>
    <r>
      <rPr>
        <b/>
        <sz val="11"/>
        <color theme="1"/>
        <rFont val="Calibri"/>
        <family val="2"/>
        <scheme val="minor"/>
      </rPr>
      <t>3)</t>
    </r>
    <r>
      <rPr>
        <sz val="11"/>
        <color theme="1"/>
        <rFont val="Calibri"/>
        <family val="2"/>
        <scheme val="minor"/>
      </rPr>
      <t xml:space="preserve"> CSCs treated with 1 µM saracatinib (Fyn/LcK inhibitor) demonstrated significantly higher sensitivity to cisplatin compared with CSCs treated with cisplatin and DMSO. </t>
    </r>
    <r>
      <rPr>
        <b/>
        <sz val="11"/>
        <color theme="1"/>
        <rFont val="Calibri"/>
        <family val="2"/>
        <scheme val="minor"/>
      </rPr>
      <t>4)</t>
    </r>
    <r>
      <rPr>
        <sz val="11"/>
        <color theme="1"/>
        <rFont val="Calibri"/>
        <family val="2"/>
        <scheme val="minor"/>
      </rPr>
      <t xml:space="preserve"> Similarly, LCK-silenced CSCs demonstrated significantly higher sensitivity to cisplatin. </t>
    </r>
    <r>
      <rPr>
        <b/>
        <sz val="11"/>
        <color theme="1"/>
        <rFont val="Calibri"/>
        <family val="2"/>
        <scheme val="minor"/>
      </rPr>
      <t xml:space="preserve">5) </t>
    </r>
    <r>
      <rPr>
        <sz val="11"/>
        <color theme="1"/>
        <rFont val="Calibri"/>
        <family val="2"/>
        <scheme val="minor"/>
      </rPr>
      <t xml:space="preserve">LCK overexpressing non-CSCs had significantly higher survival rates and lower caspase 3/7 activity levels compared with non-CSCs with empty vector transduction upon cisplatin treatment. 5) CD55 signals through LCK pathway to induce cisplatin resistance via increased expression of DNA repair genes (BRCA1, MLH1). </t>
    </r>
  </si>
  <si>
    <r>
      <rPr>
        <b/>
        <sz val="11"/>
        <color theme="1"/>
        <rFont val="Calibri"/>
        <family val="2"/>
        <scheme val="minor"/>
      </rPr>
      <t>1) LDLR</t>
    </r>
    <r>
      <rPr>
        <sz val="11"/>
        <color theme="1"/>
        <rFont val="Calibri"/>
        <family val="2"/>
        <scheme val="minor"/>
      </rPr>
      <t xml:space="preserve"> expressions were positively associated with epithelial </t>
    </r>
    <r>
      <rPr>
        <b/>
        <sz val="11"/>
        <color theme="1"/>
        <rFont val="Calibri"/>
        <family val="2"/>
        <scheme val="minor"/>
      </rPr>
      <t>ovarian</t>
    </r>
    <r>
      <rPr>
        <sz val="11"/>
        <color theme="1"/>
        <rFont val="Calibri"/>
        <family val="2"/>
        <scheme val="minor"/>
      </rPr>
      <t xml:space="preserve"> carcinomas (EOCs) </t>
    </r>
    <r>
      <rPr>
        <b/>
        <sz val="11"/>
        <color theme="1"/>
        <rFont val="Calibri"/>
        <family val="2"/>
        <scheme val="minor"/>
      </rPr>
      <t>platinum</t>
    </r>
    <r>
      <rPr>
        <sz val="11"/>
        <color theme="1"/>
        <rFont val="Calibri"/>
        <family val="2"/>
        <scheme val="minor"/>
      </rPr>
      <t xml:space="preserve">-based chemotherapy patients' disease prognosis. </t>
    </r>
    <r>
      <rPr>
        <b/>
        <sz val="11"/>
        <color theme="1"/>
        <rFont val="Calibri"/>
        <family val="2"/>
        <scheme val="minor"/>
      </rPr>
      <t>2)</t>
    </r>
    <r>
      <rPr>
        <sz val="11"/>
        <color theme="1"/>
        <rFont val="Calibri"/>
        <family val="2"/>
        <scheme val="minor"/>
      </rPr>
      <t xml:space="preserve"> knocked-down </t>
    </r>
    <r>
      <rPr>
        <b/>
        <sz val="11"/>
        <color theme="1"/>
        <rFont val="Calibri"/>
        <family val="2"/>
        <scheme val="minor"/>
      </rPr>
      <t>LDLR</t>
    </r>
    <r>
      <rPr>
        <sz val="11"/>
        <color theme="1"/>
        <rFont val="Calibri"/>
        <family val="2"/>
        <scheme val="minor"/>
      </rPr>
      <t xml:space="preserve"> could sensitize while overexpressed </t>
    </r>
    <r>
      <rPr>
        <b/>
        <sz val="11"/>
        <color theme="1"/>
        <rFont val="Calibri"/>
        <family val="2"/>
        <scheme val="minor"/>
      </rPr>
      <t>LDLR</t>
    </r>
    <r>
      <rPr>
        <sz val="11"/>
        <color theme="1"/>
        <rFont val="Calibri"/>
        <family val="2"/>
        <scheme val="minor"/>
      </rPr>
      <t xml:space="preserve"> could insensitize EOC cells to cisplatin. </t>
    </r>
    <r>
      <rPr>
        <b/>
        <sz val="11"/>
        <color theme="1"/>
        <rFont val="Calibri"/>
        <family val="2"/>
        <scheme val="minor"/>
      </rPr>
      <t xml:space="preserve">3) </t>
    </r>
    <r>
      <rPr>
        <sz val="11"/>
        <color theme="1"/>
        <rFont val="Calibri"/>
        <family val="2"/>
        <scheme val="minor"/>
      </rPr>
      <t>the trans-omics approaches depicted an LDLR→LPC (Lyso-phosphatidylcholine)→</t>
    </r>
    <r>
      <rPr>
        <b/>
        <sz val="11"/>
        <color theme="1"/>
        <rFont val="Calibri"/>
        <family val="2"/>
        <scheme val="minor"/>
      </rPr>
      <t>FAM83B</t>
    </r>
    <r>
      <rPr>
        <sz val="11"/>
        <color theme="1"/>
        <rFont val="Calibri"/>
        <family val="2"/>
        <scheme val="minor"/>
      </rPr>
      <t xml:space="preserve"> (phospholipase-related)→</t>
    </r>
    <r>
      <rPr>
        <b/>
        <sz val="11"/>
        <color theme="1"/>
        <rFont val="Calibri"/>
        <family val="2"/>
        <scheme val="minor"/>
      </rPr>
      <t>FGFR</t>
    </r>
    <r>
      <rPr>
        <sz val="11"/>
        <color theme="1"/>
        <rFont val="Calibri"/>
        <family val="2"/>
        <scheme val="minor"/>
      </rPr>
      <t xml:space="preserve">s (cisplatin sensitivity and phospholipase-related) regulatory axis. </t>
    </r>
    <r>
      <rPr>
        <b/>
        <sz val="11"/>
        <color theme="1"/>
        <rFont val="Calibri"/>
        <family val="2"/>
        <scheme val="minor"/>
      </rPr>
      <t>4)</t>
    </r>
    <r>
      <rPr>
        <sz val="11"/>
        <color theme="1"/>
        <rFont val="Calibri"/>
        <family val="2"/>
        <scheme val="minor"/>
      </rPr>
      <t xml:space="preserve"> the manipulation of </t>
    </r>
    <r>
      <rPr>
        <b/>
        <sz val="11"/>
        <color theme="1"/>
        <rFont val="Calibri"/>
        <family val="2"/>
        <scheme val="minor"/>
      </rPr>
      <t xml:space="preserve">LDLR </t>
    </r>
    <r>
      <rPr>
        <sz val="11"/>
        <color theme="1"/>
        <rFont val="Calibri"/>
        <family val="2"/>
        <scheme val="minor"/>
      </rPr>
      <t xml:space="preserve">expression in EOC cells was found to determine the efficacy of cisplatin therapy in terms of tumor suppression. </t>
    </r>
    <r>
      <rPr>
        <b/>
        <sz val="11"/>
        <color theme="1"/>
        <rFont val="Calibri"/>
        <family val="2"/>
        <scheme val="minor"/>
      </rPr>
      <t>5) LDLR</t>
    </r>
    <r>
      <rPr>
        <sz val="11"/>
        <color theme="1"/>
        <rFont val="Calibri"/>
        <family val="2"/>
        <scheme val="minor"/>
      </rPr>
      <t xml:space="preserve"> knockdown increased the number of </t>
    </r>
    <r>
      <rPr>
        <b/>
        <sz val="11"/>
        <color theme="1"/>
        <rFont val="Calibri"/>
        <family val="2"/>
        <scheme val="minor"/>
      </rPr>
      <t>platinum-DNA</t>
    </r>
    <r>
      <rPr>
        <sz val="11"/>
        <color theme="1"/>
        <rFont val="Calibri"/>
        <family val="2"/>
        <scheme val="minor"/>
      </rPr>
      <t xml:space="preserve"> adducts and reduced the </t>
    </r>
    <r>
      <rPr>
        <b/>
        <sz val="11"/>
        <color theme="1"/>
        <rFont val="Calibri"/>
        <family val="2"/>
        <scheme val="minor"/>
      </rPr>
      <t>LD platinum</t>
    </r>
    <r>
      <rPr>
        <sz val="11"/>
        <color theme="1"/>
        <rFont val="Calibri"/>
        <family val="2"/>
        <scheme val="minor"/>
      </rPr>
      <t xml:space="preserve"> amount. </t>
    </r>
    <r>
      <rPr>
        <b/>
        <sz val="11"/>
        <color theme="1"/>
        <rFont val="Calibri"/>
        <family val="2"/>
        <scheme val="minor"/>
      </rPr>
      <t>6)</t>
    </r>
    <r>
      <rPr>
        <sz val="11"/>
        <color theme="1"/>
        <rFont val="Calibri"/>
        <family val="2"/>
        <scheme val="minor"/>
      </rPr>
      <t xml:space="preserve"> lipid profiles of 22 carcinoma cells with differential cisplatin sensitivity (9 sensitive vs 13 insensitive) revealed low storage lipid levels in insensitive cells. </t>
    </r>
  </si>
  <si>
    <r>
      <rPr>
        <b/>
        <sz val="11"/>
        <color theme="1"/>
        <rFont val="Calibri"/>
        <family val="2"/>
        <scheme val="minor"/>
      </rPr>
      <t xml:space="preserve">1) </t>
    </r>
    <r>
      <rPr>
        <sz val="11"/>
        <color theme="1"/>
        <rFont val="Calibri"/>
        <family val="2"/>
        <scheme val="minor"/>
      </rPr>
      <t xml:space="preserve">galectin-3 maintains </t>
    </r>
    <r>
      <rPr>
        <b/>
        <sz val="11"/>
        <color theme="1"/>
        <rFont val="Calibri"/>
        <family val="2"/>
        <scheme val="minor"/>
      </rPr>
      <t>ovarian</t>
    </r>
    <r>
      <rPr>
        <sz val="11"/>
        <color theme="1"/>
        <rFont val="Calibri"/>
        <family val="2"/>
        <scheme val="minor"/>
      </rPr>
      <t xml:space="preserve"> CSCs by activating the Notch1 intracellular domain (NICD1). </t>
    </r>
    <r>
      <rPr>
        <b/>
        <sz val="11"/>
        <color theme="1"/>
        <rFont val="Calibri"/>
        <family val="2"/>
        <scheme val="minor"/>
      </rPr>
      <t xml:space="preserve">2) </t>
    </r>
    <r>
      <rPr>
        <sz val="11"/>
        <color theme="1"/>
        <rFont val="Calibri"/>
        <family val="2"/>
        <scheme val="minor"/>
      </rPr>
      <t xml:space="preserve">The number and size of ovarian CSCs decreased in the absence of galectin-3, </t>
    </r>
    <r>
      <rPr>
        <b/>
        <sz val="11"/>
        <color theme="1"/>
        <rFont val="Calibri"/>
        <family val="2"/>
        <scheme val="minor"/>
      </rPr>
      <t xml:space="preserve">3) </t>
    </r>
    <r>
      <rPr>
        <sz val="11"/>
        <color theme="1"/>
        <rFont val="Calibri"/>
        <family val="2"/>
        <scheme val="minor"/>
      </rPr>
      <t xml:space="preserve">overexpression of galectin-3 increased them. </t>
    </r>
    <r>
      <rPr>
        <b/>
        <sz val="11"/>
        <color theme="1"/>
        <rFont val="Calibri"/>
        <family val="2"/>
        <scheme val="minor"/>
      </rPr>
      <t>4)</t>
    </r>
    <r>
      <rPr>
        <sz val="11"/>
        <color theme="1"/>
        <rFont val="Calibri"/>
        <family val="2"/>
        <scheme val="minor"/>
      </rPr>
      <t xml:space="preserve"> Overexpression of galectin-3 increased the resistance for </t>
    </r>
    <r>
      <rPr>
        <b/>
        <sz val="11"/>
        <color theme="1"/>
        <rFont val="Calibri"/>
        <family val="2"/>
        <scheme val="minor"/>
      </rPr>
      <t>cisplatin</t>
    </r>
    <r>
      <rPr>
        <sz val="11"/>
        <color theme="1"/>
        <rFont val="Calibri"/>
        <family val="2"/>
        <scheme val="minor"/>
      </rPr>
      <t xml:space="preserve"> and paclitaxel-induced cell death. </t>
    </r>
    <r>
      <rPr>
        <b/>
        <sz val="11"/>
        <color theme="1"/>
        <rFont val="Calibri"/>
        <family val="2"/>
        <scheme val="minor"/>
      </rPr>
      <t xml:space="preserve">5) </t>
    </r>
    <r>
      <rPr>
        <sz val="11"/>
        <color theme="1"/>
        <rFont val="Calibri"/>
        <family val="2"/>
        <scheme val="minor"/>
      </rPr>
      <t xml:space="preserve">Silencing of galectin-3 decreased the migration and invasion of ovarian cancer cells, and overexpression of galectin-3 reversed these effects. </t>
    </r>
    <r>
      <rPr>
        <b/>
        <sz val="11"/>
        <color theme="1"/>
        <rFont val="Calibri"/>
        <family val="2"/>
        <scheme val="minor"/>
      </rPr>
      <t>5)</t>
    </r>
    <r>
      <rPr>
        <sz val="11"/>
        <color theme="1"/>
        <rFont val="Calibri"/>
        <family val="2"/>
        <scheme val="minor"/>
      </rPr>
      <t xml:space="preserve"> The Notch signaling pathway was strongly activated by galectin-3 overexpression in A2780 cells.</t>
    </r>
    <r>
      <rPr>
        <b/>
        <sz val="11"/>
        <color theme="1"/>
        <rFont val="Calibri"/>
        <family val="2"/>
        <scheme val="minor"/>
      </rPr>
      <t xml:space="preserve"> 6)</t>
    </r>
    <r>
      <rPr>
        <sz val="11"/>
        <color theme="1"/>
        <rFont val="Calibri"/>
        <family val="2"/>
        <scheme val="minor"/>
      </rPr>
      <t xml:space="preserve"> Silencing of galectin-3 reduced the levels of cleaved NICD1 and expression of the Notch target genes, Hes1 and Hey1. </t>
    </r>
    <r>
      <rPr>
        <b/>
        <sz val="11"/>
        <color theme="1"/>
        <rFont val="Calibri"/>
        <family val="2"/>
        <scheme val="minor"/>
      </rPr>
      <t xml:space="preserve">7) </t>
    </r>
    <r>
      <rPr>
        <sz val="11"/>
        <color theme="1"/>
        <rFont val="Calibri"/>
        <family val="2"/>
        <scheme val="minor"/>
      </rPr>
      <t xml:space="preserve">Overexpression of galectin-3 induced NICD1 cleavage and increased expression of Hes1 and Hey1. as well as increased the nuclear translocation of NICD1. </t>
    </r>
    <r>
      <rPr>
        <b/>
        <sz val="11"/>
        <color theme="1"/>
        <rFont val="Calibri"/>
        <family val="2"/>
        <scheme val="minor"/>
      </rPr>
      <t xml:space="preserve">8) </t>
    </r>
    <r>
      <rPr>
        <sz val="11"/>
        <color theme="1"/>
        <rFont val="Calibri"/>
        <family val="2"/>
        <scheme val="minor"/>
      </rPr>
      <t xml:space="preserve">Overexpression of galectin-3 increased tumor burden in A2780 ovarian cancer xenografted mice. </t>
    </r>
  </si>
  <si>
    <r>
      <t xml:space="preserve">X-ray repair cross-complementing gene I protein (XRCC1) in complex with DNA polymerase beta, </t>
    </r>
    <r>
      <rPr>
        <b/>
        <sz val="11"/>
        <color theme="1"/>
        <rFont val="Calibri"/>
        <family val="2"/>
        <scheme val="minor"/>
      </rPr>
      <t>DNA ligase III</t>
    </r>
    <r>
      <rPr>
        <sz val="11"/>
        <color theme="1"/>
        <rFont val="Calibri"/>
        <family val="2"/>
        <scheme val="minor"/>
      </rPr>
      <t xml:space="preserve">, and poly(ADP-ribose) polymerase is important in the </t>
    </r>
    <r>
      <rPr>
        <b/>
        <sz val="11"/>
        <color theme="1"/>
        <rFont val="Calibri"/>
        <family val="2"/>
        <scheme val="minor"/>
      </rPr>
      <t>base excision repair</t>
    </r>
    <r>
      <rPr>
        <sz val="11"/>
        <color theme="1"/>
        <rFont val="Calibri"/>
        <family val="2"/>
        <scheme val="minor"/>
      </rPr>
      <t xml:space="preserve"> process.</t>
    </r>
    <r>
      <rPr>
        <b/>
        <sz val="11"/>
        <color theme="1"/>
        <rFont val="Calibri"/>
        <family val="2"/>
        <scheme val="minor"/>
      </rPr>
      <t xml:space="preserve"> 1)</t>
    </r>
    <r>
      <rPr>
        <sz val="11"/>
        <color theme="1"/>
        <rFont val="Calibri"/>
        <family val="2"/>
        <scheme val="minor"/>
      </rPr>
      <t xml:space="preserve"> SNPs in ERCC5, RAD52, MUTYH and LIG3 correlated with the occurrence of CDDP-induced severe neutropenia </t>
    </r>
    <r>
      <rPr>
        <b/>
        <sz val="11"/>
        <color theme="1"/>
        <rFont val="Calibri"/>
        <family val="2"/>
        <scheme val="minor"/>
      </rPr>
      <t>2)</t>
    </r>
    <r>
      <rPr>
        <sz val="11"/>
        <color theme="1"/>
        <rFont val="Calibri"/>
        <family val="2"/>
        <scheme val="minor"/>
      </rPr>
      <t xml:space="preserve"> XRCC1-Lig3 is indispensable for ligation of NER-induced breaks and repair of UV lesions in quiescent cells. 3) DNA ligase III binds to Pt-modified DNA. </t>
    </r>
  </si>
  <si>
    <r>
      <rPr>
        <b/>
        <sz val="11"/>
        <color theme="1"/>
        <rFont val="Calibri"/>
        <family val="2"/>
        <scheme val="minor"/>
      </rPr>
      <t>1)</t>
    </r>
    <r>
      <rPr>
        <sz val="11"/>
        <color theme="1"/>
        <rFont val="Calibri"/>
        <family val="2"/>
        <scheme val="minor"/>
      </rPr>
      <t xml:space="preserve"> Lig4-⁄- cells are hypersensitive to </t>
    </r>
    <r>
      <rPr>
        <b/>
        <sz val="11"/>
        <color theme="1"/>
        <rFont val="Calibri"/>
        <family val="2"/>
        <scheme val="minor"/>
      </rPr>
      <t>cisplatin</t>
    </r>
    <r>
      <rPr>
        <sz val="11"/>
        <color theme="1"/>
        <rFont val="Calibri"/>
        <family val="2"/>
        <scheme val="minor"/>
      </rPr>
      <t xml:space="preserve">. </t>
    </r>
    <r>
      <rPr>
        <b/>
        <sz val="11"/>
        <color theme="1"/>
        <rFont val="Calibri"/>
        <family val="2"/>
        <scheme val="minor"/>
      </rPr>
      <t xml:space="preserve">2) </t>
    </r>
    <r>
      <rPr>
        <sz val="11"/>
        <color theme="1"/>
        <rFont val="Calibri"/>
        <family val="2"/>
        <scheme val="minor"/>
      </rPr>
      <t xml:space="preserve">Kaplan-Meier analysis of all patients showed a significant association between the LIG4 Thr9Ile CC polymorphism and superior progression-free survival and overall survival duing </t>
    </r>
    <r>
      <rPr>
        <b/>
        <sz val="11"/>
        <color theme="1"/>
        <rFont val="Calibri"/>
        <family val="2"/>
        <scheme val="minor"/>
      </rPr>
      <t>platinum</t>
    </r>
    <r>
      <rPr>
        <sz val="11"/>
        <color theme="1"/>
        <rFont val="Calibri"/>
        <family val="2"/>
        <scheme val="minor"/>
      </rPr>
      <t xml:space="preserve"> based drug treatment. </t>
    </r>
    <r>
      <rPr>
        <b/>
        <sz val="11"/>
        <color theme="1"/>
        <rFont val="Calibri"/>
        <family val="2"/>
        <scheme val="minor"/>
      </rPr>
      <t xml:space="preserve">3) </t>
    </r>
    <r>
      <rPr>
        <sz val="11"/>
        <color theme="1"/>
        <rFont val="Calibri"/>
        <family val="2"/>
        <scheme val="minor"/>
      </rPr>
      <t xml:space="preserve">High LIG4 expression was also tightly related to early biochemical recurrence when all tumors (P&lt;0.0001) or the subsets of ERG-negative (P=0.0004) or ERG-positive </t>
    </r>
    <r>
      <rPr>
        <b/>
        <sz val="11"/>
        <color theme="1"/>
        <rFont val="Calibri"/>
        <family val="2"/>
        <scheme val="minor"/>
      </rPr>
      <t>prostate</t>
    </r>
    <r>
      <rPr>
        <sz val="11"/>
        <color theme="1"/>
        <rFont val="Calibri"/>
        <family val="2"/>
        <scheme val="minor"/>
      </rPr>
      <t xml:space="preserve"> cancers (P=0.006) were analyzed. </t>
    </r>
  </si>
  <si>
    <r>
      <rPr>
        <b/>
        <sz val="11"/>
        <color theme="1"/>
        <rFont val="Calibri"/>
        <family val="2"/>
        <scheme val="minor"/>
      </rPr>
      <t xml:space="preserve">1) </t>
    </r>
    <r>
      <rPr>
        <sz val="11"/>
        <color theme="1"/>
        <rFont val="Calibri"/>
        <family val="2"/>
        <scheme val="minor"/>
      </rPr>
      <t xml:space="preserve">Terrin sensitize </t>
    </r>
    <r>
      <rPr>
        <b/>
        <sz val="11"/>
        <color theme="1"/>
        <rFont val="Calibri"/>
        <family val="2"/>
        <scheme val="minor"/>
      </rPr>
      <t>cisplatin</t>
    </r>
    <r>
      <rPr>
        <sz val="11"/>
        <color theme="1"/>
        <rFont val="Calibri"/>
        <family val="2"/>
        <scheme val="minor"/>
      </rPr>
      <t xml:space="preserve">-resistant </t>
    </r>
    <r>
      <rPr>
        <b/>
        <sz val="11"/>
        <color theme="1"/>
        <rFont val="Calibri"/>
        <family val="2"/>
        <scheme val="minor"/>
      </rPr>
      <t>ovarian</t>
    </r>
    <r>
      <rPr>
        <sz val="11"/>
        <color theme="1"/>
        <rFont val="Calibri"/>
        <family val="2"/>
        <scheme val="minor"/>
      </rPr>
      <t xml:space="preserve"> cancer stem cells to cisplatin by suppressing the expression of LIN28. </t>
    </r>
    <r>
      <rPr>
        <b/>
        <sz val="11"/>
        <color theme="1"/>
        <rFont val="Calibri"/>
        <family val="2"/>
        <scheme val="minor"/>
      </rPr>
      <t>2)</t>
    </r>
    <r>
      <rPr>
        <sz val="11"/>
        <color theme="1"/>
        <rFont val="Calibri"/>
        <family val="2"/>
        <scheme val="minor"/>
      </rPr>
      <t xml:space="preserve"> High expression of </t>
    </r>
    <r>
      <rPr>
        <b/>
        <sz val="11"/>
        <color theme="1"/>
        <rFont val="Calibri"/>
        <family val="2"/>
        <scheme val="minor"/>
      </rPr>
      <t>LIN28A</t>
    </r>
    <r>
      <rPr>
        <sz val="11"/>
        <color theme="1"/>
        <rFont val="Calibri"/>
        <family val="2"/>
        <scheme val="minor"/>
      </rPr>
      <t xml:space="preserve"> and PLK4 was detected at the advanced pathological stage. </t>
    </r>
    <r>
      <rPr>
        <b/>
        <sz val="11"/>
        <color theme="1"/>
        <rFont val="Calibri"/>
        <family val="2"/>
        <scheme val="minor"/>
      </rPr>
      <t xml:space="preserve">3) </t>
    </r>
    <r>
      <rPr>
        <sz val="11"/>
        <color theme="1"/>
        <rFont val="Calibri"/>
        <family val="2"/>
        <scheme val="minor"/>
      </rPr>
      <t xml:space="preserve">PLK4 expression was positively correlated with LIN28A (r=0.555; P=0.039). </t>
    </r>
    <r>
      <rPr>
        <b/>
        <sz val="11"/>
        <color theme="1"/>
        <rFont val="Calibri"/>
        <family val="2"/>
        <scheme val="minor"/>
      </rPr>
      <t xml:space="preserve">4) </t>
    </r>
    <r>
      <rPr>
        <sz val="11"/>
        <color theme="1"/>
        <rFont val="Calibri"/>
        <family val="2"/>
        <scheme val="minor"/>
      </rPr>
      <t>The median survival analysis of patients with</t>
    </r>
    <r>
      <rPr>
        <b/>
        <sz val="11"/>
        <color theme="1"/>
        <rFont val="Calibri"/>
        <family val="2"/>
        <scheme val="minor"/>
      </rPr>
      <t xml:space="preserve"> EOC</t>
    </r>
    <r>
      <rPr>
        <sz val="11"/>
        <color theme="1"/>
        <rFont val="Calibri"/>
        <family val="2"/>
        <scheme val="minor"/>
      </rPr>
      <t xml:space="preserve"> with LIN28A and PLK4 double positive expression was 14 months, compared with 30 months in single positive and 60 months in double negative patients by Kaplan‑Meier analysis (P&lt;0.05), following </t>
    </r>
    <r>
      <rPr>
        <b/>
        <sz val="11"/>
        <color theme="1"/>
        <rFont val="Calibri"/>
        <family val="2"/>
        <scheme val="minor"/>
      </rPr>
      <t>cisplatin</t>
    </r>
    <r>
      <rPr>
        <sz val="11"/>
        <color theme="1"/>
        <rFont val="Calibri"/>
        <family val="2"/>
        <scheme val="minor"/>
      </rPr>
      <t xml:space="preserve"> treatment. </t>
    </r>
    <r>
      <rPr>
        <b/>
        <sz val="11"/>
        <color theme="1"/>
        <rFont val="Calibri"/>
        <family val="2"/>
        <scheme val="minor"/>
      </rPr>
      <t>5)</t>
    </r>
    <r>
      <rPr>
        <sz val="11"/>
        <color theme="1"/>
        <rFont val="Calibri"/>
        <family val="2"/>
        <scheme val="minor"/>
      </rPr>
      <t xml:space="preserve"> The expressions of LIN28A and PLK4 was elevated in different </t>
    </r>
    <r>
      <rPr>
        <b/>
        <sz val="11"/>
        <color theme="1"/>
        <rFont val="Calibri"/>
        <family val="2"/>
        <scheme val="minor"/>
      </rPr>
      <t>EOC cell lines</t>
    </r>
    <r>
      <rPr>
        <sz val="11"/>
        <color theme="1"/>
        <rFont val="Calibri"/>
        <family val="2"/>
        <scheme val="minor"/>
      </rPr>
      <t xml:space="preserve"> compared to with a normal ovarian cell line. </t>
    </r>
    <r>
      <rPr>
        <b/>
        <sz val="11"/>
        <color theme="1"/>
        <rFont val="Calibri"/>
        <family val="2"/>
        <scheme val="minor"/>
      </rPr>
      <t xml:space="preserve">6) </t>
    </r>
    <r>
      <rPr>
        <sz val="11"/>
        <color theme="1"/>
        <rFont val="Calibri"/>
        <family val="2"/>
        <scheme val="minor"/>
      </rPr>
      <t xml:space="preserve">The 293T cells transfected with LIN28A plus a PLK4 plasmid were the fastest‑growing group. These results suggest that co‑expression of </t>
    </r>
    <r>
      <rPr>
        <b/>
        <sz val="11"/>
        <color theme="1"/>
        <rFont val="Calibri"/>
        <family val="2"/>
        <scheme val="minor"/>
      </rPr>
      <t>LIN28A and PLK4</t>
    </r>
    <r>
      <rPr>
        <sz val="11"/>
        <color theme="1"/>
        <rFont val="Calibri"/>
        <family val="2"/>
        <scheme val="minor"/>
      </rPr>
      <t xml:space="preserve"> may be associated with </t>
    </r>
    <r>
      <rPr>
        <b/>
        <sz val="11"/>
        <color theme="1"/>
        <rFont val="Calibri"/>
        <family val="2"/>
        <scheme val="minor"/>
      </rPr>
      <t xml:space="preserve">poor prognosis of EOC. </t>
    </r>
    <r>
      <rPr>
        <sz val="11"/>
        <color theme="1"/>
        <rFont val="Calibri"/>
        <family val="2"/>
        <scheme val="minor"/>
      </rPr>
      <t xml:space="preserve"> </t>
    </r>
  </si>
  <si>
    <r>
      <rPr>
        <b/>
        <sz val="11"/>
        <color theme="1"/>
        <rFont val="Calibri"/>
        <family val="2"/>
        <scheme val="minor"/>
      </rPr>
      <t>1) cisplatin</t>
    </r>
    <r>
      <rPr>
        <sz val="11"/>
        <color theme="1"/>
        <rFont val="Calibri"/>
        <family val="2"/>
        <scheme val="minor"/>
      </rPr>
      <t xml:space="preserve"> treatment nitrates Lmo4 and decreases Lmo4 expression in the cochlea. </t>
    </r>
    <r>
      <rPr>
        <b/>
        <sz val="11"/>
        <color theme="1"/>
        <rFont val="Calibri"/>
        <family val="2"/>
        <scheme val="minor"/>
      </rPr>
      <t xml:space="preserve"> 2)</t>
    </r>
    <r>
      <rPr>
        <sz val="11"/>
        <color theme="1"/>
        <rFont val="Calibri"/>
        <family val="2"/>
        <scheme val="minor"/>
      </rPr>
      <t xml:space="preserve"> A potential role of Jak/Stat transcriptional machinery in relaying the Lmo4 protein signaling in cisplatin-induced ototoxicity.</t>
    </r>
    <r>
      <rPr>
        <b/>
        <sz val="11"/>
        <color theme="1"/>
        <rFont val="Calibri"/>
        <family val="2"/>
        <scheme val="minor"/>
      </rPr>
      <t xml:space="preserve"> 3)</t>
    </r>
    <r>
      <rPr>
        <sz val="11"/>
        <color theme="1"/>
        <rFont val="Calibri"/>
        <family val="2"/>
        <scheme val="minor"/>
      </rPr>
      <t xml:space="preserve"> In NSCLC patients receiving induction chemotherapy with</t>
    </r>
    <r>
      <rPr>
        <b/>
        <sz val="11"/>
        <color theme="1"/>
        <rFont val="Calibri"/>
        <family val="2"/>
        <scheme val="minor"/>
      </rPr>
      <t xml:space="preserve"> cisplatin</t>
    </r>
    <r>
      <rPr>
        <sz val="11"/>
        <color theme="1"/>
        <rFont val="Calibri"/>
        <family val="2"/>
        <scheme val="minor"/>
      </rPr>
      <t xml:space="preserve"> plus </t>
    </r>
    <r>
      <rPr>
        <b/>
        <sz val="11"/>
        <color theme="1"/>
        <rFont val="Calibri"/>
        <family val="2"/>
        <scheme val="minor"/>
      </rPr>
      <t xml:space="preserve">gemcitabine,  </t>
    </r>
    <r>
      <rPr>
        <sz val="11"/>
        <color theme="1"/>
        <rFont val="Calibri"/>
        <family val="2"/>
        <scheme val="minor"/>
      </rPr>
      <t xml:space="preserve">LMO4 has high expression level of </t>
    </r>
    <r>
      <rPr>
        <b/>
        <sz val="11"/>
        <color theme="1"/>
        <rFont val="Calibri"/>
        <family val="2"/>
        <scheme val="minor"/>
      </rPr>
      <t>NSCLC</t>
    </r>
    <r>
      <rPr>
        <sz val="11"/>
        <color theme="1"/>
        <rFont val="Calibri"/>
        <family val="2"/>
        <scheme val="minor"/>
      </rPr>
      <t xml:space="preserve"> cell lines and tumor tissues, and </t>
    </r>
    <r>
      <rPr>
        <b/>
        <sz val="11"/>
        <color theme="1"/>
        <rFont val="Calibri"/>
        <family val="2"/>
        <scheme val="minor"/>
      </rPr>
      <t xml:space="preserve">4) </t>
    </r>
    <r>
      <rPr>
        <sz val="11"/>
        <color theme="1"/>
        <rFont val="Calibri"/>
        <family val="2"/>
        <scheme val="minor"/>
      </rPr>
      <t>correlated with a lower survival rate.</t>
    </r>
    <r>
      <rPr>
        <b/>
        <sz val="11"/>
        <color theme="1"/>
        <rFont val="Calibri"/>
        <family val="2"/>
        <scheme val="minor"/>
      </rPr>
      <t xml:space="preserve"> 5) </t>
    </r>
    <r>
      <rPr>
        <sz val="11"/>
        <color theme="1"/>
        <rFont val="Calibri"/>
        <family val="2"/>
        <scheme val="minor"/>
      </rPr>
      <t>LMO4 can regulate the migration and invasion of NSCLC cells through the AKT/PI3K pathway.</t>
    </r>
  </si>
  <si>
    <r>
      <rPr>
        <b/>
        <sz val="11"/>
        <color theme="1"/>
        <rFont val="Calibri"/>
        <family val="2"/>
        <scheme val="minor"/>
      </rPr>
      <t xml:space="preserve">1) </t>
    </r>
    <r>
      <rPr>
        <sz val="11"/>
        <color theme="1"/>
        <rFont val="Calibri"/>
        <family val="2"/>
        <scheme val="minor"/>
      </rPr>
      <t xml:space="preserve">In 15 of 17 endometrial carcinoma patients, </t>
    </r>
    <r>
      <rPr>
        <b/>
        <sz val="11"/>
        <color theme="1"/>
        <rFont val="Calibri"/>
        <family val="2"/>
        <scheme val="minor"/>
      </rPr>
      <t>P-LAP</t>
    </r>
    <r>
      <rPr>
        <sz val="11"/>
        <color theme="1"/>
        <rFont val="Calibri"/>
        <family val="2"/>
        <scheme val="minor"/>
      </rPr>
      <t xml:space="preserve"> was positive. </t>
    </r>
    <r>
      <rPr>
        <b/>
        <sz val="11"/>
        <color theme="1"/>
        <rFont val="Calibri"/>
        <family val="2"/>
        <scheme val="minor"/>
      </rPr>
      <t xml:space="preserve">2) </t>
    </r>
    <r>
      <rPr>
        <sz val="11"/>
        <color theme="1"/>
        <rFont val="Calibri"/>
        <family val="2"/>
        <scheme val="minor"/>
      </rPr>
      <t>Twelve of seventeen patients were evaluable for response. Among the eight patients strongly positive for P-LAP, only two patients (25%) showed PR.</t>
    </r>
    <r>
      <rPr>
        <b/>
        <sz val="11"/>
        <color theme="1"/>
        <rFont val="Calibri"/>
        <family val="2"/>
        <scheme val="minor"/>
      </rPr>
      <t xml:space="preserve">3) </t>
    </r>
    <r>
      <rPr>
        <sz val="11"/>
        <color theme="1"/>
        <rFont val="Calibri"/>
        <family val="2"/>
        <scheme val="minor"/>
      </rPr>
      <t xml:space="preserve">all four patients who were weakly positive for P-LAP showed either complete response (CR) or partial response (PR). </t>
    </r>
    <r>
      <rPr>
        <b/>
        <sz val="11"/>
        <color theme="1"/>
        <rFont val="Calibri"/>
        <family val="2"/>
        <scheme val="minor"/>
      </rPr>
      <t>4)</t>
    </r>
    <r>
      <rPr>
        <sz val="11"/>
        <color theme="1"/>
        <rFont val="Calibri"/>
        <family val="2"/>
        <scheme val="minor"/>
      </rPr>
      <t xml:space="preserve"> Compared to vector control cells, apoptotic effect by </t>
    </r>
    <r>
      <rPr>
        <b/>
        <sz val="11"/>
        <color theme="1"/>
        <rFont val="Calibri"/>
        <family val="2"/>
        <scheme val="minor"/>
      </rPr>
      <t>carboplatin</t>
    </r>
    <r>
      <rPr>
        <sz val="11"/>
        <color theme="1"/>
        <rFont val="Calibri"/>
        <family val="2"/>
        <scheme val="minor"/>
      </rPr>
      <t xml:space="preserve"> treatment was clearly inhibited overexpressing P-LAP.</t>
    </r>
  </si>
  <si>
    <r>
      <rPr>
        <b/>
        <sz val="11"/>
        <color theme="1"/>
        <rFont val="Calibri"/>
        <family val="2"/>
        <scheme val="minor"/>
      </rPr>
      <t>1) LRP1</t>
    </r>
    <r>
      <rPr>
        <sz val="11"/>
        <color theme="1"/>
        <rFont val="Calibri"/>
        <family val="2"/>
        <scheme val="minor"/>
      </rPr>
      <t xml:space="preserve"> </t>
    </r>
    <r>
      <rPr>
        <u/>
        <sz val="11"/>
        <color theme="1"/>
        <rFont val="Calibri"/>
        <family val="2"/>
        <scheme val="minor"/>
      </rPr>
      <t>mRNA</t>
    </r>
    <r>
      <rPr>
        <sz val="11"/>
        <color theme="1"/>
        <rFont val="Calibri"/>
        <family val="2"/>
        <scheme val="minor"/>
      </rPr>
      <t xml:space="preserve"> Is Induced by p53-Activating Stresses such as </t>
    </r>
    <r>
      <rPr>
        <b/>
        <sz val="11"/>
        <color theme="1"/>
        <rFont val="Calibri"/>
        <family val="2"/>
        <scheme val="minor"/>
      </rPr>
      <t>cisplatin</t>
    </r>
    <r>
      <rPr>
        <sz val="11"/>
        <color theme="1"/>
        <rFont val="Calibri"/>
        <family val="2"/>
        <scheme val="minor"/>
      </rPr>
      <t xml:space="preserve">. </t>
    </r>
    <r>
      <rPr>
        <b/>
        <sz val="11"/>
        <color theme="1"/>
        <rFont val="Calibri"/>
        <family val="2"/>
        <scheme val="minor"/>
      </rPr>
      <t xml:space="preserve">2) LRP1 </t>
    </r>
    <r>
      <rPr>
        <u/>
        <sz val="11"/>
        <color theme="1"/>
        <rFont val="Calibri"/>
        <family val="2"/>
        <scheme val="minor"/>
      </rPr>
      <t>protein</t>
    </r>
    <r>
      <rPr>
        <sz val="11"/>
        <color theme="1"/>
        <rFont val="Calibri"/>
        <family val="2"/>
        <scheme val="minor"/>
      </rPr>
      <t xml:space="preserve"> is only upregulated in response to sub-lethal stress: lethal doses of </t>
    </r>
    <r>
      <rPr>
        <b/>
        <sz val="11"/>
        <color theme="1"/>
        <rFont val="Calibri"/>
        <family val="2"/>
        <scheme val="minor"/>
      </rPr>
      <t>Cisplatin</t>
    </r>
    <r>
      <rPr>
        <sz val="11"/>
        <color theme="1"/>
        <rFont val="Calibri"/>
        <family val="2"/>
        <scheme val="minor"/>
      </rPr>
      <t xml:space="preserve"> do not induce LRP1 </t>
    </r>
    <r>
      <rPr>
        <u/>
        <sz val="11"/>
        <color theme="1"/>
        <rFont val="Calibri"/>
        <family val="2"/>
        <scheme val="minor"/>
      </rPr>
      <t>protein</t>
    </r>
    <r>
      <rPr>
        <sz val="11"/>
        <color theme="1"/>
        <rFont val="Calibri"/>
        <family val="2"/>
        <scheme val="minor"/>
      </rPr>
      <t xml:space="preserve">. </t>
    </r>
    <r>
      <rPr>
        <b/>
        <sz val="11"/>
        <color theme="1"/>
        <rFont val="Calibri"/>
        <family val="2"/>
        <scheme val="minor"/>
      </rPr>
      <t xml:space="preserve">3) </t>
    </r>
    <r>
      <rPr>
        <sz val="11"/>
        <color theme="1"/>
        <rFont val="Calibri"/>
        <family val="2"/>
        <scheme val="minor"/>
      </rPr>
      <t xml:space="preserve">p53-activating stress inhibit LRP1 de novo </t>
    </r>
    <r>
      <rPr>
        <u/>
        <sz val="11"/>
        <color theme="1"/>
        <rFont val="Calibri"/>
        <family val="2"/>
        <scheme val="minor"/>
      </rPr>
      <t>translation</t>
    </r>
    <r>
      <rPr>
        <sz val="11"/>
        <color theme="1"/>
        <rFont val="Calibri"/>
        <family val="2"/>
        <scheme val="minor"/>
      </rPr>
      <t xml:space="preserve"> through an miRNA-based translational repression mechanism. </t>
    </r>
    <r>
      <rPr>
        <b/>
        <sz val="11"/>
        <color theme="1"/>
        <rFont val="Calibri"/>
        <family val="2"/>
        <scheme val="minor"/>
      </rPr>
      <t xml:space="preserve">4) </t>
    </r>
    <r>
      <rPr>
        <sz val="11"/>
        <color theme="1"/>
        <rFont val="Calibri"/>
        <family val="2"/>
        <scheme val="minor"/>
      </rPr>
      <t xml:space="preserve">LRP1 suppression is </t>
    </r>
    <r>
      <rPr>
        <u/>
        <sz val="11"/>
        <color theme="1"/>
        <rFont val="Calibri"/>
        <family val="2"/>
        <scheme val="minor"/>
      </rPr>
      <t>sufficient to induce cell death</t>
    </r>
    <r>
      <rPr>
        <sz val="11"/>
        <color theme="1"/>
        <rFont val="Calibri"/>
        <family val="2"/>
        <scheme val="minor"/>
      </rPr>
      <t xml:space="preserve"> in cancer cells, suggesting that p53-mediated suppression of LRP1 in response to lethal stress contributes to a pro-death response. </t>
    </r>
  </si>
  <si>
    <r>
      <rPr>
        <b/>
        <sz val="11"/>
        <color theme="1"/>
        <rFont val="Calibri"/>
        <family val="2"/>
        <scheme val="minor"/>
      </rPr>
      <t xml:space="preserve">1) </t>
    </r>
    <r>
      <rPr>
        <sz val="11"/>
        <color theme="1"/>
        <rFont val="Calibri"/>
        <family val="2"/>
        <scheme val="minor"/>
      </rPr>
      <t xml:space="preserve">Under isotonic conditions, about 50% of </t>
    </r>
    <r>
      <rPr>
        <b/>
        <sz val="11"/>
        <color theme="1"/>
        <rFont val="Calibri"/>
        <family val="2"/>
        <scheme val="minor"/>
      </rPr>
      <t>cisplatin uptake</t>
    </r>
    <r>
      <rPr>
        <sz val="11"/>
        <color theme="1"/>
        <rFont val="Calibri"/>
        <family val="2"/>
        <scheme val="minor"/>
      </rPr>
      <t xml:space="preserve"> depended on LRRC8A and LRRC8D. </t>
    </r>
    <r>
      <rPr>
        <b/>
        <sz val="11"/>
        <color theme="1"/>
        <rFont val="Calibri"/>
        <family val="2"/>
        <scheme val="minor"/>
      </rPr>
      <t>2)</t>
    </r>
    <r>
      <rPr>
        <sz val="11"/>
        <color theme="1"/>
        <rFont val="Calibri"/>
        <family val="2"/>
        <scheme val="minor"/>
      </rPr>
      <t xml:space="preserve"> LRRC8A disruption also suppressed drug-induced apoptosis independently from drug uptake, possibly by impairing VRAC-dependent apoptotic cell volume decrease. </t>
    </r>
    <r>
      <rPr>
        <b/>
        <sz val="11"/>
        <color theme="1"/>
        <rFont val="Calibri"/>
        <family val="2"/>
        <scheme val="minor"/>
      </rPr>
      <t>2)</t>
    </r>
    <r>
      <rPr>
        <sz val="11"/>
        <color theme="1"/>
        <rFont val="Calibri"/>
        <family val="2"/>
        <scheme val="minor"/>
      </rPr>
      <t xml:space="preserve"> LRRC8A was elevated in 60% of </t>
    </r>
    <r>
      <rPr>
        <b/>
        <sz val="11"/>
        <color theme="1"/>
        <rFont val="Calibri"/>
        <family val="2"/>
        <scheme val="minor"/>
      </rPr>
      <t>colorectal</t>
    </r>
    <r>
      <rPr>
        <sz val="11"/>
        <color theme="1"/>
        <rFont val="Calibri"/>
        <family val="2"/>
        <scheme val="minor"/>
      </rPr>
      <t xml:space="preserve"> cancer patient tissues. </t>
    </r>
    <r>
      <rPr>
        <b/>
        <sz val="11"/>
        <color theme="1"/>
        <rFont val="Calibri"/>
        <family val="2"/>
        <scheme val="minor"/>
      </rPr>
      <t xml:space="preserve">3) </t>
    </r>
    <r>
      <rPr>
        <sz val="11"/>
        <color theme="1"/>
        <rFont val="Calibri"/>
        <family val="2"/>
        <scheme val="minor"/>
      </rPr>
      <t xml:space="preserve">Colon cancer patients with high‑ expressed LRRC8A had a survival time of 54.9±5.5 months, shorter than that of patients with low‑expressed LRRC8A (77.1±3.7). </t>
    </r>
    <r>
      <rPr>
        <b/>
        <sz val="11"/>
        <color theme="1"/>
        <rFont val="Calibri"/>
        <family val="2"/>
        <scheme val="minor"/>
      </rPr>
      <t xml:space="preserve">4) </t>
    </r>
    <r>
      <rPr>
        <sz val="11"/>
        <color theme="1"/>
        <rFont val="Calibri"/>
        <family val="2"/>
        <scheme val="minor"/>
      </rPr>
      <t xml:space="preserve">survival time (52.6±7.3 months) of patients with metastases in the lymph nodes was shorter than that of patients without positive lymph nodes (72.2±3.6); patients with positive lymph nodes and an elevated LRRC8A expression had the highest mortality rate (~80%). </t>
    </r>
  </si>
  <si>
    <r>
      <rPr>
        <b/>
        <sz val="11"/>
        <color theme="1"/>
        <rFont val="Calibri"/>
        <family val="2"/>
        <scheme val="minor"/>
      </rPr>
      <t xml:space="preserve">1) </t>
    </r>
    <r>
      <rPr>
        <sz val="11"/>
        <color theme="1"/>
        <rFont val="Calibri"/>
        <family val="2"/>
        <scheme val="minor"/>
      </rPr>
      <t xml:space="preserve">As LRRC8A. </t>
    </r>
    <r>
      <rPr>
        <b/>
        <sz val="11"/>
        <color theme="1"/>
        <rFont val="Calibri"/>
        <family val="2"/>
        <scheme val="minor"/>
      </rPr>
      <t>2)</t>
    </r>
    <r>
      <rPr>
        <sz val="11"/>
        <color theme="1"/>
        <rFont val="Calibri"/>
        <family val="2"/>
        <scheme val="minor"/>
      </rPr>
      <t xml:space="preserve"> we investigated the data derived from </t>
    </r>
    <r>
      <rPr>
        <b/>
        <sz val="11"/>
        <color theme="1"/>
        <rFont val="Calibri"/>
        <family val="2"/>
        <scheme val="minor"/>
      </rPr>
      <t>ovarian</t>
    </r>
    <r>
      <rPr>
        <sz val="11"/>
        <color theme="1"/>
        <rFont val="Calibri"/>
        <family val="2"/>
        <scheme val="minor"/>
      </rPr>
      <t xml:space="preserve"> cancer patients that were recently published by Patch et al (2015). </t>
    </r>
    <r>
      <rPr>
        <b/>
        <sz val="11"/>
        <color theme="1"/>
        <rFont val="Calibri"/>
        <family val="2"/>
        <scheme val="minor"/>
      </rPr>
      <t xml:space="preserve">3) </t>
    </r>
    <r>
      <rPr>
        <sz val="11"/>
        <color theme="1"/>
        <rFont val="Calibri"/>
        <family val="2"/>
        <scheme val="minor"/>
      </rPr>
      <t xml:space="preserve">Although the available data are derived from fewer patients, also in this analysis a low expression of </t>
    </r>
    <r>
      <rPr>
        <b/>
        <sz val="11"/>
        <color theme="1"/>
        <rFont val="Calibri"/>
        <family val="2"/>
        <scheme val="minor"/>
      </rPr>
      <t>LRRC8D</t>
    </r>
    <r>
      <rPr>
        <sz val="11"/>
        <color theme="1"/>
        <rFont val="Calibri"/>
        <family val="2"/>
        <scheme val="minor"/>
      </rPr>
      <t xml:space="preserve">, but not LRRC8A, correlated with a modest, but </t>
    </r>
    <r>
      <rPr>
        <b/>
        <sz val="11"/>
        <color theme="1"/>
        <rFont val="Calibri"/>
        <family val="2"/>
        <scheme val="minor"/>
      </rPr>
      <t>significant decrease in survival</t>
    </r>
    <r>
      <rPr>
        <sz val="11"/>
        <color theme="1"/>
        <rFont val="Calibri"/>
        <family val="2"/>
        <scheme val="minor"/>
      </rPr>
      <t xml:space="preserve">. </t>
    </r>
    <r>
      <rPr>
        <b/>
        <sz val="11"/>
        <color theme="1"/>
        <rFont val="Calibri"/>
        <family val="2"/>
        <scheme val="minor"/>
      </rPr>
      <t xml:space="preserve">4) </t>
    </r>
    <r>
      <rPr>
        <sz val="11"/>
        <color theme="1"/>
        <rFont val="Calibri"/>
        <family val="2"/>
        <scheme val="minor"/>
      </rPr>
      <t xml:space="preserve"> LRRC8D might also affect platinum drug responses in cancer patients.</t>
    </r>
  </si>
  <si>
    <r>
      <rPr>
        <b/>
        <sz val="11"/>
        <color theme="1"/>
        <rFont val="Calibri"/>
        <family val="2"/>
        <scheme val="minor"/>
      </rPr>
      <t>1)</t>
    </r>
    <r>
      <rPr>
        <sz val="11"/>
        <color theme="1"/>
        <rFont val="Calibri"/>
        <family val="2"/>
        <scheme val="minor"/>
      </rPr>
      <t xml:space="preserve"> Increased expression of </t>
    </r>
    <r>
      <rPr>
        <b/>
        <sz val="11"/>
        <color theme="1"/>
        <rFont val="Calibri"/>
        <family val="2"/>
        <scheme val="minor"/>
      </rPr>
      <t>GCF2</t>
    </r>
    <r>
      <rPr>
        <sz val="11"/>
        <color theme="1"/>
        <rFont val="Calibri"/>
        <family val="2"/>
        <scheme val="minor"/>
      </rPr>
      <t xml:space="preserve"> was found in human </t>
    </r>
    <r>
      <rPr>
        <b/>
        <sz val="11"/>
        <color theme="1"/>
        <rFont val="Calibri"/>
        <family val="2"/>
        <scheme val="minor"/>
      </rPr>
      <t>cisplatin</t>
    </r>
    <r>
      <rPr>
        <sz val="11"/>
        <color theme="1"/>
        <rFont val="Calibri"/>
        <family val="2"/>
        <scheme val="minor"/>
      </rPr>
      <t xml:space="preserve">-resistant human </t>
    </r>
    <r>
      <rPr>
        <b/>
        <sz val="11"/>
        <color theme="1"/>
        <rFont val="Calibri"/>
        <family val="2"/>
        <scheme val="minor"/>
      </rPr>
      <t xml:space="preserve">epidermoid </t>
    </r>
    <r>
      <rPr>
        <sz val="11"/>
        <color theme="1"/>
        <rFont val="Calibri"/>
        <family val="2"/>
        <scheme val="minor"/>
      </rPr>
      <t xml:space="preserve">carcinoma cells, </t>
    </r>
    <r>
      <rPr>
        <b/>
        <sz val="11"/>
        <color theme="1"/>
        <rFont val="Calibri"/>
        <family val="2"/>
        <scheme val="minor"/>
      </rPr>
      <t xml:space="preserve">2) </t>
    </r>
    <r>
      <rPr>
        <sz val="11"/>
        <color theme="1"/>
        <rFont val="Calibri"/>
        <family val="2"/>
        <scheme val="minor"/>
      </rPr>
      <t>overexpression in GCF2-transfected cells results in loss of </t>
    </r>
    <r>
      <rPr>
        <b/>
        <sz val="11"/>
        <color theme="1"/>
        <rFont val="Calibri"/>
        <family val="2"/>
        <scheme val="minor"/>
      </rPr>
      <t>RhoA</t>
    </r>
    <r>
      <rPr>
        <sz val="11"/>
        <color theme="1"/>
        <rFont val="Calibri"/>
        <family val="2"/>
        <scheme val="minor"/>
      </rPr>
      <t xml:space="preserve"> expression and disruption of the actin/filamin network. </t>
    </r>
    <r>
      <rPr>
        <b/>
        <sz val="11"/>
        <color theme="1"/>
        <rFont val="Calibri"/>
        <family val="2"/>
        <scheme val="minor"/>
      </rPr>
      <t xml:space="preserve">3) </t>
    </r>
    <r>
      <rPr>
        <sz val="11"/>
        <color theme="1"/>
        <rFont val="Calibri"/>
        <family val="2"/>
        <scheme val="minor"/>
      </rPr>
      <t>The GCF2 transfectants also showed reduced accumulation of </t>
    </r>
    <r>
      <rPr>
        <b/>
        <sz val="11"/>
        <color theme="1"/>
        <rFont val="Calibri"/>
        <family val="2"/>
        <scheme val="minor"/>
      </rPr>
      <t>cisplatin</t>
    </r>
    <r>
      <rPr>
        <sz val="11"/>
        <color theme="1"/>
        <rFont val="Calibri"/>
        <family val="2"/>
        <scheme val="minor"/>
      </rPr>
      <t xml:space="preserve"> and increased resistance. </t>
    </r>
    <r>
      <rPr>
        <b/>
        <sz val="11"/>
        <color theme="1"/>
        <rFont val="Calibri"/>
        <family val="2"/>
        <scheme val="minor"/>
      </rPr>
      <t xml:space="preserve">4) </t>
    </r>
    <r>
      <rPr>
        <sz val="11"/>
        <color theme="1"/>
        <rFont val="Calibri"/>
        <family val="2"/>
        <scheme val="minor"/>
      </rPr>
      <t xml:space="preserve">siRNA targeted to GCF2 reactivated RhoA expression, and restored the fine structure of actin microfilaments. MRP1 was also relocated to the cell surface. </t>
    </r>
    <r>
      <rPr>
        <b/>
        <sz val="11"/>
        <color theme="1"/>
        <rFont val="Calibri"/>
        <family val="2"/>
        <scheme val="minor"/>
      </rPr>
      <t xml:space="preserve">6) </t>
    </r>
    <r>
      <rPr>
        <sz val="11"/>
        <color theme="1"/>
        <rFont val="Calibri"/>
        <family val="2"/>
        <scheme val="minor"/>
      </rPr>
      <t xml:space="preserve">siRNA targeted to RhoA increased resistance 3-fold in KB-3-1 and KB-CP.5 cells. </t>
    </r>
  </si>
  <si>
    <r>
      <rPr>
        <b/>
        <sz val="11"/>
        <color theme="1"/>
        <rFont val="Calibri"/>
        <family val="2"/>
        <scheme val="minor"/>
      </rPr>
      <t>1)</t>
    </r>
    <r>
      <rPr>
        <sz val="11"/>
        <color theme="1"/>
        <rFont val="Calibri"/>
        <family val="2"/>
        <scheme val="minor"/>
      </rPr>
      <t xml:space="preserve"> </t>
    </r>
    <r>
      <rPr>
        <b/>
        <sz val="11"/>
        <color theme="1"/>
        <rFont val="Calibri"/>
        <family val="2"/>
        <scheme val="minor"/>
      </rPr>
      <t>BLT2</t>
    </r>
    <r>
      <rPr>
        <sz val="11"/>
        <color theme="1"/>
        <rFont val="Calibri"/>
        <family val="2"/>
        <scheme val="minor"/>
      </rPr>
      <t xml:space="preserve"> and its ligand leukotriene B4 were highly up-regulated in </t>
    </r>
    <r>
      <rPr>
        <b/>
        <sz val="11"/>
        <color theme="1"/>
        <rFont val="Calibri"/>
        <family val="2"/>
        <scheme val="minor"/>
      </rPr>
      <t>cisplatin</t>
    </r>
    <r>
      <rPr>
        <sz val="11"/>
        <color theme="1"/>
        <rFont val="Calibri"/>
        <family val="2"/>
        <scheme val="minor"/>
      </rPr>
      <t xml:space="preserve">-resistant SK-OV-3 </t>
    </r>
    <r>
      <rPr>
        <b/>
        <sz val="11"/>
        <color theme="1"/>
        <rFont val="Calibri"/>
        <family val="2"/>
        <scheme val="minor"/>
      </rPr>
      <t>ovarian</t>
    </r>
    <r>
      <rPr>
        <sz val="11"/>
        <color theme="1"/>
        <rFont val="Calibri"/>
        <family val="2"/>
        <scheme val="minor"/>
      </rPr>
      <t xml:space="preserve"> cancer cells. </t>
    </r>
    <r>
      <rPr>
        <b/>
        <sz val="11"/>
        <color theme="1"/>
        <rFont val="Calibri"/>
        <family val="2"/>
        <scheme val="minor"/>
      </rPr>
      <t>2)</t>
    </r>
    <r>
      <rPr>
        <sz val="11"/>
        <color theme="1"/>
        <rFont val="Calibri"/>
        <family val="2"/>
        <scheme val="minor"/>
      </rPr>
      <t xml:space="preserve"> play critical roles in mediating the chemoresistance through the activation of signal transducer and activator of transcription-3 (STAT-3) and the subsequent up-regulation of interleukin-6 (IL-6). </t>
    </r>
    <r>
      <rPr>
        <b/>
        <sz val="11"/>
        <color theme="1"/>
        <rFont val="Calibri"/>
        <family val="2"/>
        <scheme val="minor"/>
      </rPr>
      <t>3)</t>
    </r>
    <r>
      <rPr>
        <sz val="11"/>
        <color theme="1"/>
        <rFont val="Calibri"/>
        <family val="2"/>
        <scheme val="minor"/>
      </rPr>
      <t xml:space="preserve"> BLT2 depletion with siRNA clearly abolished the chemoresistance to cisplatin in SK-OV-3 ovarian cancer cells and further increased cell sensitivity to cisplatin chemotherapy by down-regulating the 'STAT-3-IL-6' cascade. </t>
    </r>
    <r>
      <rPr>
        <b/>
        <sz val="11"/>
        <color theme="1"/>
        <rFont val="Calibri"/>
        <family val="2"/>
        <scheme val="minor"/>
      </rPr>
      <t xml:space="preserve">4) </t>
    </r>
    <r>
      <rPr>
        <sz val="11"/>
        <color theme="1"/>
        <rFont val="Calibri"/>
        <family val="2"/>
        <scheme val="minor"/>
      </rPr>
      <t xml:space="preserve">Enlarged tumor formation due to the cisplatin resistance of SK-OV-3 cells in cisplatin-treated athymic mice was also substantially reduced by co-treatment with the BLT2 inhibitor in vivo. </t>
    </r>
    <r>
      <rPr>
        <b/>
        <sz val="11"/>
        <color theme="1"/>
        <rFont val="Calibri"/>
        <family val="2"/>
        <scheme val="minor"/>
      </rPr>
      <t xml:space="preserve">5) </t>
    </r>
    <r>
      <rPr>
        <sz val="11"/>
        <color theme="1"/>
        <rFont val="Calibri"/>
        <family val="2"/>
        <scheme val="minor"/>
      </rPr>
      <t xml:space="preserve">in a group of 545 triple negative </t>
    </r>
    <r>
      <rPr>
        <b/>
        <sz val="11"/>
        <color theme="1"/>
        <rFont val="Calibri"/>
        <family val="2"/>
        <scheme val="minor"/>
      </rPr>
      <t>breast</t>
    </r>
    <r>
      <rPr>
        <sz val="11"/>
        <color theme="1"/>
        <rFont val="Calibri"/>
        <family val="2"/>
        <scheme val="minor"/>
      </rPr>
      <t xml:space="preserve"> cancer patients with metastasis,  the </t>
    </r>
    <r>
      <rPr>
        <b/>
        <sz val="11"/>
        <color theme="1"/>
        <rFont val="Calibri"/>
        <family val="2"/>
        <scheme val="minor"/>
      </rPr>
      <t xml:space="preserve">high-BLT2 </t>
    </r>
    <r>
      <rPr>
        <sz val="11"/>
        <color theme="1"/>
        <rFont val="Calibri"/>
        <family val="2"/>
        <scheme val="minor"/>
      </rPr>
      <t xml:space="preserve">subgroup had a </t>
    </r>
    <r>
      <rPr>
        <b/>
        <sz val="11"/>
        <color theme="1"/>
        <rFont val="Calibri"/>
        <family val="2"/>
        <scheme val="minor"/>
      </rPr>
      <t xml:space="preserve">lower </t>
    </r>
    <r>
      <rPr>
        <sz val="11"/>
        <color theme="1"/>
        <rFont val="Calibri"/>
        <family val="2"/>
        <scheme val="minor"/>
      </rPr>
      <t>disease-free-survival rate than the low-BLT2 subgroup.</t>
    </r>
  </si>
  <si>
    <r>
      <rPr>
        <b/>
        <sz val="11"/>
        <color theme="1"/>
        <rFont val="Calibri"/>
        <family val="2"/>
        <scheme val="minor"/>
      </rPr>
      <t xml:space="preserve">1) </t>
    </r>
    <r>
      <rPr>
        <sz val="11"/>
        <color theme="1"/>
        <rFont val="Calibri"/>
        <family val="2"/>
        <scheme val="minor"/>
      </rPr>
      <t xml:space="preserve">cDNA fragments, expressed higher in cisplatin-resistant ACHN/CDDP cells than its host ACHN cells, were isolated by di¡erential display. (Human renal cancer cell line). </t>
    </r>
    <r>
      <rPr>
        <b/>
        <sz val="11"/>
        <color theme="1"/>
        <rFont val="Calibri"/>
        <family val="2"/>
        <scheme val="minor"/>
      </rPr>
      <t xml:space="preserve">2) </t>
    </r>
    <r>
      <rPr>
        <sz val="11"/>
        <color theme="1"/>
        <rFont val="Calibri"/>
        <family val="2"/>
        <scheme val="minor"/>
      </rPr>
      <t>cisplatin affects RNA splicing by changing the subnuclear distribution of SR proteins including CROP.</t>
    </r>
  </si>
  <si>
    <r>
      <t xml:space="preserve">1) MACC1 mRNA and protein expression levels in SKOV-3/DDP cells were 2.66 ± 0.54 and 1.95 ± 0.45 times those seen in SKOV-3 cells. </t>
    </r>
    <r>
      <rPr>
        <b/>
        <sz val="11"/>
        <color theme="1"/>
        <rFont val="Calibri"/>
        <family val="2"/>
        <scheme val="minor"/>
      </rPr>
      <t xml:space="preserve">2) </t>
    </r>
    <r>
      <rPr>
        <sz val="11"/>
        <color theme="1"/>
        <rFont val="Calibri"/>
        <family val="2"/>
        <scheme val="minor"/>
      </rPr>
      <t xml:space="preserve">Cisplatin sensitivity of </t>
    </r>
    <r>
      <rPr>
        <b/>
        <sz val="11"/>
        <color theme="1"/>
        <rFont val="Calibri"/>
        <family val="2"/>
        <scheme val="minor"/>
      </rPr>
      <t>MACC1 knockdown</t>
    </r>
    <r>
      <rPr>
        <sz val="11"/>
        <color theme="1"/>
        <rFont val="Calibri"/>
        <family val="2"/>
        <scheme val="minor"/>
      </rPr>
      <t xml:space="preserve"> group was much higher than that in the control and shVect groups. </t>
    </r>
    <r>
      <rPr>
        <b/>
        <sz val="11"/>
        <color theme="1"/>
        <rFont val="Calibri"/>
        <family val="2"/>
        <scheme val="minor"/>
      </rPr>
      <t xml:space="preserve">3) </t>
    </r>
    <r>
      <rPr>
        <sz val="11"/>
        <color theme="1"/>
        <rFont val="Calibri"/>
        <family val="2"/>
        <scheme val="minor"/>
      </rPr>
      <t xml:space="preserve">p-ERK1/2 expression decreased significantly in the MACC1 knockdown cells. </t>
    </r>
    <r>
      <rPr>
        <b/>
        <sz val="11"/>
        <color theme="1"/>
        <rFont val="Calibri"/>
        <family val="2"/>
        <scheme val="minor"/>
      </rPr>
      <t xml:space="preserve">4) </t>
    </r>
    <r>
      <rPr>
        <sz val="11"/>
        <color theme="1"/>
        <rFont val="Calibri"/>
        <family val="2"/>
        <scheme val="minor"/>
      </rPr>
      <t xml:space="preserve">MACC1 mRNA high expression was significantly associated with unfavorable overall survival (hazard ratio (HR) = 1.51 (95% confidence interval (CI): 1.21 – 1.88), P = 0.00025) and progression-free survival (HR = 1.53 (95% CI: 1.24 – 1.89), P = 5.8e-05) in </t>
    </r>
    <r>
      <rPr>
        <b/>
        <sz val="11"/>
        <color theme="1"/>
        <rFont val="Calibri"/>
        <family val="2"/>
        <scheme val="minor"/>
      </rPr>
      <t>EOC</t>
    </r>
    <r>
      <rPr>
        <sz val="11"/>
        <color theme="1"/>
        <rFont val="Calibri"/>
        <family val="2"/>
        <scheme val="minor"/>
      </rPr>
      <t xml:space="preserve"> patients. </t>
    </r>
  </si>
  <si>
    <r>
      <rPr>
        <b/>
        <sz val="11"/>
        <color theme="1"/>
        <rFont val="Calibri"/>
        <family val="2"/>
        <scheme val="minor"/>
      </rPr>
      <t>1)</t>
    </r>
    <r>
      <rPr>
        <sz val="11"/>
        <color theme="1"/>
        <rFont val="Calibri"/>
        <family val="2"/>
        <scheme val="minor"/>
      </rPr>
      <t xml:space="preserve"> Expression was detected in the majority of </t>
    </r>
    <r>
      <rPr>
        <b/>
        <sz val="11"/>
        <color theme="1"/>
        <rFont val="Calibri"/>
        <family val="2"/>
        <scheme val="minor"/>
      </rPr>
      <t>EOC</t>
    </r>
    <r>
      <rPr>
        <sz val="11"/>
        <color theme="1"/>
        <rFont val="Calibri"/>
        <family val="2"/>
        <scheme val="minor"/>
      </rPr>
      <t xml:space="preserve">s (92.0%) with especially high levels of expression frequently observed in CCCs (73.5%) compared with that of non-CCCs (53.4%). </t>
    </r>
    <r>
      <rPr>
        <b/>
        <sz val="11"/>
        <color theme="1"/>
        <rFont val="Calibri"/>
        <family val="2"/>
        <scheme val="minor"/>
      </rPr>
      <t xml:space="preserve">2) </t>
    </r>
    <r>
      <rPr>
        <sz val="11"/>
        <color theme="1"/>
        <rFont val="Calibri"/>
        <family val="2"/>
        <scheme val="minor"/>
      </rPr>
      <t xml:space="preserve">Enhanced immunoreactivity to </t>
    </r>
    <r>
      <rPr>
        <b/>
        <sz val="11"/>
        <color theme="1"/>
        <rFont val="Calibri"/>
        <family val="2"/>
        <scheme val="minor"/>
      </rPr>
      <t>REV7</t>
    </r>
    <r>
      <rPr>
        <sz val="11"/>
        <color theme="1"/>
        <rFont val="Calibri"/>
        <family val="2"/>
        <scheme val="minor"/>
      </rPr>
      <t xml:space="preserve"> was associated with poor prognosis represented by reduced progression-free survival in advanced stage (stage II-IV). </t>
    </r>
    <r>
      <rPr>
        <b/>
        <sz val="11"/>
        <color theme="1"/>
        <rFont val="Calibri"/>
        <family val="2"/>
        <scheme val="minor"/>
      </rPr>
      <t xml:space="preserve">3) </t>
    </r>
    <r>
      <rPr>
        <sz val="11"/>
        <color theme="1"/>
        <rFont val="Calibri"/>
        <family val="2"/>
        <scheme val="minor"/>
      </rPr>
      <t xml:space="preserve">Knockdown of </t>
    </r>
    <r>
      <rPr>
        <b/>
        <sz val="11"/>
        <color theme="1"/>
        <rFont val="Calibri"/>
        <family val="2"/>
        <scheme val="minor"/>
      </rPr>
      <t>REV7</t>
    </r>
    <r>
      <rPr>
        <sz val="11"/>
        <color theme="1"/>
        <rFont val="Calibri"/>
        <family val="2"/>
        <scheme val="minor"/>
      </rPr>
      <t xml:space="preserve"> in CCC cells decreased cell proliferation without affecting cell cycle distribution; the number of apoptotic cells and DNA damaged cells were increased after </t>
    </r>
    <r>
      <rPr>
        <b/>
        <sz val="11"/>
        <color theme="1"/>
        <rFont val="Calibri"/>
        <family val="2"/>
        <scheme val="minor"/>
      </rPr>
      <t>cisplatin</t>
    </r>
    <r>
      <rPr>
        <sz val="11"/>
        <color theme="1"/>
        <rFont val="Calibri"/>
        <family val="2"/>
        <scheme val="minor"/>
      </rPr>
      <t xml:space="preserve"> treatment. 4) In a nude mouse tumor xenograft model, inoculated REV7-knockdown tumors showed significantly reduced tumor volumes after cisplatin treatment compared with those of the control group. </t>
    </r>
  </si>
  <si>
    <r>
      <rPr>
        <b/>
        <sz val="11"/>
        <color theme="1"/>
        <rFont val="Calibri"/>
        <family val="2"/>
        <scheme val="minor"/>
      </rPr>
      <t xml:space="preserve">1) </t>
    </r>
    <r>
      <rPr>
        <sz val="11"/>
        <color theme="1"/>
        <rFont val="Calibri"/>
        <family val="2"/>
        <scheme val="minor"/>
      </rPr>
      <t xml:space="preserve">miR-7 presented specific methylation in resistant cell lines, and was associated with poorer prognosis in </t>
    </r>
    <r>
      <rPr>
        <b/>
        <sz val="11"/>
        <color theme="1"/>
        <rFont val="Calibri"/>
        <family val="2"/>
        <scheme val="minor"/>
      </rPr>
      <t>ovarian</t>
    </r>
    <r>
      <rPr>
        <sz val="11"/>
        <color theme="1"/>
        <rFont val="Calibri"/>
        <family val="2"/>
        <scheme val="minor"/>
      </rPr>
      <t xml:space="preserve"> cancer patients. </t>
    </r>
    <r>
      <rPr>
        <b/>
        <sz val="11"/>
        <color theme="1"/>
        <rFont val="Calibri"/>
        <family val="2"/>
        <scheme val="minor"/>
      </rPr>
      <t>2)</t>
    </r>
    <r>
      <rPr>
        <sz val="11"/>
        <color theme="1"/>
        <rFont val="Calibri"/>
        <family val="2"/>
        <scheme val="minor"/>
      </rPr>
      <t xml:space="preserve"> the direct regulation of MAFG through miR-7. </t>
    </r>
    <r>
      <rPr>
        <b/>
        <sz val="11"/>
        <color theme="1"/>
        <rFont val="Calibri"/>
        <family val="2"/>
        <scheme val="minor"/>
      </rPr>
      <t xml:space="preserve">3) </t>
    </r>
    <r>
      <rPr>
        <sz val="11"/>
        <color theme="1"/>
        <rFont val="Calibri"/>
        <family val="2"/>
        <scheme val="minor"/>
      </rPr>
      <t xml:space="preserve">MAFG overexpression resulted in an increase in the resistance to </t>
    </r>
    <r>
      <rPr>
        <b/>
        <sz val="11"/>
        <color theme="1"/>
        <rFont val="Calibri"/>
        <family val="2"/>
        <scheme val="minor"/>
      </rPr>
      <t>CDDP</t>
    </r>
    <r>
      <rPr>
        <sz val="11"/>
        <color theme="1"/>
        <rFont val="Calibri"/>
        <family val="2"/>
        <scheme val="minor"/>
      </rPr>
      <t xml:space="preserve"> in ovarian cancer A2780S and H23S cells. </t>
    </r>
  </si>
  <si>
    <r>
      <rPr>
        <b/>
        <sz val="11"/>
        <color theme="1"/>
        <rFont val="Calibri"/>
        <family val="2"/>
        <scheme val="minor"/>
      </rPr>
      <t xml:space="preserve">1) </t>
    </r>
    <r>
      <rPr>
        <sz val="11"/>
        <color theme="1"/>
        <rFont val="Calibri"/>
        <family val="2"/>
        <scheme val="minor"/>
      </rPr>
      <t xml:space="preserve">Patterns of genes were identified that distinguish short-term and long-term </t>
    </r>
    <r>
      <rPr>
        <b/>
        <sz val="11"/>
        <color theme="1"/>
        <rFont val="Calibri"/>
        <family val="2"/>
        <scheme val="minor"/>
      </rPr>
      <t>ovarian</t>
    </r>
    <r>
      <rPr>
        <sz val="11"/>
        <color theme="1"/>
        <rFont val="Calibri"/>
        <family val="2"/>
        <scheme val="minor"/>
      </rPr>
      <t xml:space="preserve"> cancer survivors. The expression model developed for advanced stage disease classified all 11 early-stage ovarian cancers as long-term survivors.</t>
    </r>
    <r>
      <rPr>
        <b/>
        <sz val="11"/>
        <color theme="1"/>
        <rFont val="Calibri"/>
        <family val="2"/>
        <scheme val="minor"/>
      </rPr>
      <t xml:space="preserve"> 2)</t>
    </r>
    <r>
      <rPr>
        <sz val="11"/>
        <color theme="1"/>
        <rFont val="Calibri"/>
        <family val="2"/>
        <scheme val="minor"/>
      </rPr>
      <t xml:space="preserve"> The MAL gene, which has been shown to confer resistance to cancer therapy, was most highly overexpressed in short-term survivors (3-fold compared with long-term survivors, and 29-fold compared with early-stage cases). </t>
    </r>
    <r>
      <rPr>
        <b/>
        <sz val="11"/>
        <color theme="1"/>
        <rFont val="Calibri"/>
        <family val="2"/>
        <scheme val="minor"/>
      </rPr>
      <t>3)</t>
    </r>
    <r>
      <rPr>
        <sz val="11"/>
        <color theme="1"/>
        <rFont val="Calibri"/>
        <family val="2"/>
        <scheme val="minor"/>
      </rPr>
      <t xml:space="preserve"> MAL (T-cell differentiation protein) emerged as the most up-regulated gene in spheroids, compared to parent cell line. </t>
    </r>
    <r>
      <rPr>
        <b/>
        <sz val="11"/>
        <color theme="1"/>
        <rFont val="Calibri"/>
        <family val="2"/>
        <scheme val="minor"/>
      </rPr>
      <t>4)</t>
    </r>
    <r>
      <rPr>
        <sz val="11"/>
        <color theme="1"/>
        <rFont val="Calibri"/>
        <family val="2"/>
        <scheme val="minor"/>
      </rPr>
      <t xml:space="preserve"> In HGSOC patients, MAL was significantly overexpressed in </t>
    </r>
    <r>
      <rPr>
        <b/>
        <sz val="11"/>
        <color theme="1"/>
        <rFont val="Calibri"/>
        <family val="2"/>
        <scheme val="minor"/>
      </rPr>
      <t>platinum-resistant</t>
    </r>
    <r>
      <rPr>
        <sz val="11"/>
        <color theme="1"/>
        <rFont val="Calibri"/>
        <family val="2"/>
        <scheme val="minor"/>
      </rPr>
      <t xml:space="preserve"> compared to platinum-sensitive patients and resulted as an independent prognostic marker of survival.</t>
    </r>
  </si>
  <si>
    <r>
      <rPr>
        <b/>
        <sz val="11"/>
        <color theme="1"/>
        <rFont val="Calibri"/>
        <family val="2"/>
        <scheme val="minor"/>
      </rPr>
      <t xml:space="preserve">1) </t>
    </r>
    <r>
      <rPr>
        <sz val="11"/>
        <color theme="1"/>
        <rFont val="Calibri"/>
        <family val="2"/>
        <scheme val="minor"/>
      </rPr>
      <t xml:space="preserve">HECTD3 depletion dramatically decreases the levels of </t>
    </r>
    <r>
      <rPr>
        <b/>
        <sz val="11"/>
        <color theme="1"/>
        <rFont val="Calibri"/>
        <family val="2"/>
        <scheme val="minor"/>
      </rPr>
      <t>MALT1</t>
    </r>
    <r>
      <rPr>
        <sz val="11"/>
        <color theme="1"/>
        <rFont val="Calibri"/>
        <family val="2"/>
        <scheme val="minor"/>
      </rPr>
      <t xml:space="preserve"> in </t>
    </r>
    <r>
      <rPr>
        <b/>
        <sz val="11"/>
        <color theme="1"/>
        <rFont val="Calibri"/>
        <family val="2"/>
        <scheme val="minor"/>
      </rPr>
      <t>MCF7</t>
    </r>
    <r>
      <rPr>
        <sz val="11"/>
        <color theme="1"/>
        <rFont val="Calibri"/>
        <family val="2"/>
        <scheme val="minor"/>
      </rPr>
      <t xml:space="preserve"> and </t>
    </r>
    <r>
      <rPr>
        <b/>
        <sz val="11"/>
        <color theme="1"/>
        <rFont val="Calibri"/>
        <family val="2"/>
        <scheme val="minor"/>
      </rPr>
      <t>HeLa</t>
    </r>
    <r>
      <rPr>
        <sz val="11"/>
        <color theme="1"/>
        <rFont val="Calibri"/>
        <family val="2"/>
        <scheme val="minor"/>
      </rPr>
      <t xml:space="preserve"> cells treated with cisplatin, which is correlated to an increase in apoptosis. </t>
    </r>
    <r>
      <rPr>
        <b/>
        <sz val="11"/>
        <color theme="1"/>
        <rFont val="Calibri"/>
        <family val="2"/>
        <scheme val="minor"/>
      </rPr>
      <t xml:space="preserve">2) </t>
    </r>
    <r>
      <rPr>
        <sz val="11"/>
        <color theme="1"/>
        <rFont val="Calibri"/>
        <family val="2"/>
        <scheme val="minor"/>
      </rPr>
      <t>Knockdown of MALT1 likewise increases</t>
    </r>
    <r>
      <rPr>
        <b/>
        <sz val="11"/>
        <color theme="1"/>
        <rFont val="Calibri"/>
        <family val="2"/>
        <scheme val="minor"/>
      </rPr>
      <t xml:space="preserve"> cisplatin-</t>
    </r>
    <r>
      <rPr>
        <sz val="11"/>
        <color theme="1"/>
        <rFont val="Calibri"/>
        <family val="2"/>
        <scheme val="minor"/>
      </rPr>
      <t xml:space="preserve">induced apoptosis in these cancer cells. </t>
    </r>
    <r>
      <rPr>
        <b/>
        <sz val="11"/>
        <color theme="1"/>
        <rFont val="Calibri"/>
        <family val="2"/>
        <scheme val="minor"/>
      </rPr>
      <t>4)</t>
    </r>
    <r>
      <rPr>
        <sz val="11"/>
        <color theme="1"/>
        <rFont val="Calibri"/>
        <family val="2"/>
        <scheme val="minor"/>
      </rPr>
      <t xml:space="preserve"> HECTD3 over-expression leads to a decreased cisplatin-induced apoptosis, </t>
    </r>
    <r>
      <rPr>
        <b/>
        <sz val="11"/>
        <color theme="1"/>
        <rFont val="Calibri"/>
        <family val="2"/>
        <scheme val="minor"/>
      </rPr>
      <t xml:space="preserve">5) </t>
    </r>
    <r>
      <rPr>
        <sz val="11"/>
        <color theme="1"/>
        <rFont val="Calibri"/>
        <family val="2"/>
        <scheme val="minor"/>
      </rPr>
      <t xml:space="preserve">overexpression of MALT1 partially rescues HECTD3 depletion-induced apoptosis. </t>
    </r>
    <r>
      <rPr>
        <b/>
        <sz val="11"/>
        <color theme="1"/>
        <rFont val="Calibri"/>
        <family val="2"/>
        <scheme val="minor"/>
      </rPr>
      <t xml:space="preserve">6) </t>
    </r>
    <r>
      <rPr>
        <sz val="11"/>
        <color theme="1"/>
        <rFont val="Calibri"/>
        <family val="2"/>
        <scheme val="minor"/>
      </rPr>
      <t>HECTD3 promotes cell survival through stabilizing MALT1. </t>
    </r>
  </si>
  <si>
    <r>
      <rPr>
        <b/>
        <sz val="11"/>
        <color theme="1"/>
        <rFont val="Calibri"/>
        <family val="2"/>
        <scheme val="minor"/>
      </rPr>
      <t>1)</t>
    </r>
    <r>
      <rPr>
        <sz val="11"/>
        <color theme="1"/>
        <rFont val="Calibri"/>
        <family val="2"/>
        <scheme val="minor"/>
      </rPr>
      <t xml:space="preserve"> High expression of autophagy-related protein, LC3A, was detected in 78 cases (78%) in all CCC cases. </t>
    </r>
    <r>
      <rPr>
        <b/>
        <sz val="11"/>
        <color theme="1"/>
        <rFont val="Calibri"/>
        <family val="2"/>
        <scheme val="minor"/>
      </rPr>
      <t xml:space="preserve">2) </t>
    </r>
    <r>
      <rPr>
        <sz val="11"/>
        <color theme="1"/>
        <rFont val="Calibri"/>
        <family val="2"/>
        <scheme val="minor"/>
      </rPr>
      <t xml:space="preserve">The patients with high LC3A expression showed significantly lower response rate to primary chemotherapy (17% vs. 100%, p&lt;0.010), </t>
    </r>
    <r>
      <rPr>
        <b/>
        <sz val="11"/>
        <color theme="1"/>
        <rFont val="Calibri"/>
        <family val="2"/>
        <scheme val="minor"/>
      </rPr>
      <t xml:space="preserve">3) </t>
    </r>
    <r>
      <rPr>
        <sz val="11"/>
        <color theme="1"/>
        <rFont val="Calibri"/>
        <family val="2"/>
        <scheme val="minor"/>
      </rPr>
      <t xml:space="preserve">had worse progression-free survival (PFS) and overall survival (OS) compared with those with LC3A low expression. </t>
    </r>
    <r>
      <rPr>
        <b/>
        <sz val="11"/>
        <color theme="1"/>
        <rFont val="Calibri"/>
        <family val="2"/>
        <scheme val="minor"/>
      </rPr>
      <t>4)</t>
    </r>
    <r>
      <rPr>
        <sz val="11"/>
        <color theme="1"/>
        <rFont val="Calibri"/>
        <family val="2"/>
        <scheme val="minor"/>
      </rPr>
      <t xml:space="preserve"> Inhibition of autophagy protein LC3A using hydroxychloroquine (HCQ) increased sensitivity to </t>
    </r>
    <r>
      <rPr>
        <b/>
        <sz val="11"/>
        <color theme="1"/>
        <rFont val="Calibri"/>
        <family val="2"/>
        <scheme val="minor"/>
      </rPr>
      <t>cisplatin</t>
    </r>
    <r>
      <rPr>
        <sz val="11"/>
        <color theme="1"/>
        <rFont val="Calibri"/>
        <family val="2"/>
        <scheme val="minor"/>
      </rPr>
      <t xml:space="preserve"> in CCC cells in vitro.</t>
    </r>
  </si>
  <si>
    <r>
      <rPr>
        <b/>
        <sz val="11"/>
        <color theme="1"/>
        <rFont val="Calibri"/>
        <family val="2"/>
        <scheme val="minor"/>
      </rPr>
      <t>1)</t>
    </r>
    <r>
      <rPr>
        <sz val="11"/>
        <color theme="1"/>
        <rFont val="Calibri"/>
        <family val="2"/>
        <scheme val="minor"/>
      </rPr>
      <t xml:space="preserve"> Hypoxic exposure (1 % O2) of A549 cell stimulated autophagic induction in cancer cells, shown by increase of </t>
    </r>
    <r>
      <rPr>
        <b/>
        <sz val="11"/>
        <color theme="1"/>
        <rFont val="Calibri"/>
        <family val="2"/>
        <scheme val="minor"/>
      </rPr>
      <t>LC3BI</t>
    </r>
    <r>
      <rPr>
        <sz val="11"/>
        <color theme="1"/>
        <rFont val="Calibri"/>
        <family val="2"/>
        <scheme val="minor"/>
      </rPr>
      <t xml:space="preserve"> to </t>
    </r>
    <r>
      <rPr>
        <b/>
        <sz val="11"/>
        <color theme="1"/>
        <rFont val="Calibri"/>
        <family val="2"/>
        <scheme val="minor"/>
      </rPr>
      <t>LC3BII</t>
    </r>
    <r>
      <rPr>
        <sz val="11"/>
        <color theme="1"/>
        <rFont val="Calibri"/>
        <family val="2"/>
        <scheme val="minor"/>
      </rPr>
      <t xml:space="preserve"> conversion and decrease of </t>
    </r>
    <r>
      <rPr>
        <b/>
        <sz val="11"/>
        <color theme="1"/>
        <rFont val="Calibri"/>
        <family val="2"/>
        <scheme val="minor"/>
      </rPr>
      <t>p62/sequestosome1</t>
    </r>
    <r>
      <rPr>
        <sz val="11"/>
        <color theme="1"/>
        <rFont val="Calibri"/>
        <family val="2"/>
        <scheme val="minor"/>
      </rPr>
      <t xml:space="preserve">. </t>
    </r>
    <r>
      <rPr>
        <b/>
        <sz val="11"/>
        <color theme="1"/>
        <rFont val="Calibri"/>
        <family val="2"/>
        <scheme val="minor"/>
      </rPr>
      <t>2)</t>
    </r>
    <r>
      <rPr>
        <sz val="11"/>
        <color theme="1"/>
        <rFont val="Calibri"/>
        <family val="2"/>
        <scheme val="minor"/>
      </rPr>
      <t xml:space="preserve"> Hypoxic exposure also induced resistance of cancer cells to </t>
    </r>
    <r>
      <rPr>
        <b/>
        <sz val="11"/>
        <color theme="1"/>
        <rFont val="Calibri"/>
        <family val="2"/>
        <scheme val="minor"/>
      </rPr>
      <t>cisplatin</t>
    </r>
    <r>
      <rPr>
        <sz val="11"/>
        <color theme="1"/>
        <rFont val="Calibri"/>
        <family val="2"/>
        <scheme val="minor"/>
      </rPr>
      <t xml:space="preserve">, </t>
    </r>
    <r>
      <rPr>
        <b/>
        <sz val="11"/>
        <color theme="1"/>
        <rFont val="Calibri"/>
        <family val="2"/>
        <scheme val="minor"/>
      </rPr>
      <t>3) LC3B</t>
    </r>
    <r>
      <rPr>
        <sz val="11"/>
        <color theme="1"/>
        <rFont val="Calibri"/>
        <family val="2"/>
        <scheme val="minor"/>
      </rPr>
      <t xml:space="preserve"> siRNA restored the sensitivity of cancer cells to chemotherapy. </t>
    </r>
  </si>
  <si>
    <r>
      <rPr>
        <b/>
        <sz val="11"/>
        <color theme="1"/>
        <rFont val="Calibri"/>
        <family val="2"/>
        <scheme val="minor"/>
      </rPr>
      <t xml:space="preserve">1) </t>
    </r>
    <r>
      <rPr>
        <sz val="11"/>
        <color theme="1"/>
        <rFont val="Calibri"/>
        <family val="2"/>
        <scheme val="minor"/>
      </rPr>
      <t xml:space="preserve">All together 1,452 eligible patients were identified. </t>
    </r>
    <r>
      <rPr>
        <b/>
        <sz val="11"/>
        <color theme="1"/>
        <rFont val="Calibri"/>
        <family val="2"/>
        <scheme val="minor"/>
      </rPr>
      <t>2)</t>
    </r>
    <r>
      <rPr>
        <sz val="11"/>
        <color theme="1"/>
        <rFont val="Calibri"/>
        <family val="2"/>
        <scheme val="minor"/>
      </rPr>
      <t xml:space="preserve"> Based on the ROC analysis the eight most significant genes were </t>
    </r>
    <r>
      <rPr>
        <b/>
        <sz val="11"/>
        <color theme="1"/>
        <rFont val="Calibri"/>
        <family val="2"/>
        <scheme val="minor"/>
      </rPr>
      <t xml:space="preserve">JRK, CNOT8, RTF1, CCT3, NFAT2CIP, MEK1, FUBP1 and CSDE1. 3) </t>
    </r>
    <r>
      <rPr>
        <sz val="11"/>
        <color theme="1"/>
        <rFont val="Calibri"/>
        <family val="2"/>
        <scheme val="minor"/>
      </rPr>
      <t xml:space="preserve">Silencing of MEK1, CSDE1, CNOT8 and RTF1, and pharmacological inhibition of MEK1 caused significant sensitization to </t>
    </r>
    <r>
      <rPr>
        <b/>
        <sz val="11"/>
        <color theme="1"/>
        <rFont val="Calibri"/>
        <family val="2"/>
        <scheme val="minor"/>
      </rPr>
      <t>carboplatin</t>
    </r>
    <r>
      <rPr>
        <sz val="11"/>
        <color theme="1"/>
        <rFont val="Calibri"/>
        <family val="2"/>
        <scheme val="minor"/>
      </rPr>
      <t xml:space="preserve"> in the cell lines. </t>
    </r>
    <r>
      <rPr>
        <b/>
        <sz val="11"/>
        <color theme="1"/>
        <rFont val="Calibri"/>
        <family val="2"/>
        <scheme val="minor"/>
      </rPr>
      <t xml:space="preserve">4) </t>
    </r>
    <r>
      <rPr>
        <sz val="11"/>
        <color theme="1"/>
        <rFont val="Calibri"/>
        <family val="2"/>
        <scheme val="minor"/>
      </rPr>
      <t>Of the eight genes, JRK (p = 3.2E-05), MEK1 (p = 0.0078), FUBP1 (p = 0.014) and CNOT8 (p = 0.00022) also correlated to progression free survival.</t>
    </r>
    <r>
      <rPr>
        <b/>
        <sz val="11"/>
        <color theme="1"/>
        <rFont val="Calibri"/>
        <family val="2"/>
        <scheme val="minor"/>
      </rPr>
      <t xml:space="preserve"> 5)</t>
    </r>
    <r>
      <rPr>
        <sz val="11"/>
        <color theme="1"/>
        <rFont val="Calibri"/>
        <family val="2"/>
        <scheme val="minor"/>
      </rPr>
      <t xml:space="preserve"> The correlation between the best biomarker candidate MEK1 and survival was validated in two independent cohorts by qRT-PCR (n = 34, HR = 5.8, p = 0.003) and IHC (n = 59, HR = 4.3, p = 0.033).</t>
    </r>
  </si>
  <si>
    <r>
      <rPr>
        <b/>
        <sz val="11"/>
        <color theme="1"/>
        <rFont val="Calibri"/>
        <family val="2"/>
        <scheme val="minor"/>
      </rPr>
      <t>1) cisplatin</t>
    </r>
    <r>
      <rPr>
        <sz val="11"/>
        <color theme="1"/>
        <rFont val="Calibri"/>
        <family val="2"/>
        <scheme val="minor"/>
      </rPr>
      <t xml:space="preserve"> (cDDP) activated MAP kinase kinase kinase ASK1 and subsequent downstream subgroups of MAP kinase kinase, SEK1 (or MKK4) and MKK3/MKK6, which in turn activated c-Jun N-terminal kinase 1/stress-activated protein kinase (JNK1/SAPK) and p38 MAP kinase prior to caspase family protease activation and the onset of apoptosis in human </t>
    </r>
    <r>
      <rPr>
        <b/>
        <sz val="11"/>
        <color theme="1"/>
        <rFont val="Calibri"/>
        <family val="2"/>
        <scheme val="minor"/>
      </rPr>
      <t>ovarian</t>
    </r>
    <r>
      <rPr>
        <sz val="11"/>
        <color theme="1"/>
        <rFont val="Calibri"/>
        <family val="2"/>
        <scheme val="minor"/>
      </rPr>
      <t xml:space="preserve"> carcinoma (OVCAR-3) and human </t>
    </r>
    <r>
      <rPr>
        <b/>
        <sz val="11"/>
        <color theme="1"/>
        <rFont val="Calibri"/>
        <family val="2"/>
        <scheme val="minor"/>
      </rPr>
      <t>kidney</t>
    </r>
    <r>
      <rPr>
        <sz val="11"/>
        <color theme="1"/>
        <rFont val="Calibri"/>
        <family val="2"/>
        <scheme val="minor"/>
      </rPr>
      <t xml:space="preserve"> (293T) cells. </t>
    </r>
    <r>
      <rPr>
        <b/>
        <sz val="11"/>
        <color theme="1"/>
        <rFont val="Calibri"/>
        <family val="2"/>
        <scheme val="minor"/>
      </rPr>
      <t>2)</t>
    </r>
    <r>
      <rPr>
        <sz val="11"/>
        <color theme="1"/>
        <rFont val="Calibri"/>
        <family val="2"/>
        <scheme val="minor"/>
      </rPr>
      <t xml:space="preserve"> When the cells were exposed to various dosages of cDDP, the activities of the kinases were enhanced in a dose-dependent manner. </t>
    </r>
    <r>
      <rPr>
        <b/>
        <sz val="11"/>
        <color theme="1"/>
        <rFont val="Calibri"/>
        <family val="2"/>
        <scheme val="minor"/>
      </rPr>
      <t>3)</t>
    </r>
    <r>
      <rPr>
        <sz val="11"/>
        <color theme="1"/>
        <rFont val="Calibri"/>
        <family val="2"/>
        <scheme val="minor"/>
      </rPr>
      <t xml:space="preserve"> </t>
    </r>
    <r>
      <rPr>
        <b/>
        <sz val="11"/>
        <color theme="1"/>
        <rFont val="Calibri"/>
        <family val="2"/>
        <scheme val="minor"/>
      </rPr>
      <t>MAP2K3</t>
    </r>
    <r>
      <rPr>
        <sz val="11"/>
        <color theme="1"/>
        <rFont val="Calibri"/>
        <family val="2"/>
        <scheme val="minor"/>
      </rPr>
      <t xml:space="preserve"> is a strong promoter of tumor invasion, progression and short survival in several human cancers. </t>
    </r>
  </si>
  <si>
    <r>
      <rPr>
        <b/>
        <sz val="11"/>
        <color theme="1"/>
        <rFont val="Calibri"/>
        <family val="2"/>
        <scheme val="minor"/>
      </rPr>
      <t>1)</t>
    </r>
    <r>
      <rPr>
        <sz val="11"/>
        <color theme="1"/>
        <rFont val="Calibri"/>
        <family val="2"/>
        <scheme val="minor"/>
      </rPr>
      <t xml:space="preserve"> As MAP2K3. </t>
    </r>
    <r>
      <rPr>
        <b/>
        <sz val="11"/>
        <color theme="1"/>
        <rFont val="Calibri"/>
        <family val="2"/>
        <scheme val="minor"/>
      </rPr>
      <t>2)</t>
    </r>
    <r>
      <rPr>
        <sz val="11"/>
        <color theme="1"/>
        <rFont val="Calibri"/>
        <family val="2"/>
        <scheme val="minor"/>
      </rPr>
      <t xml:space="preserve"> The expression of MAP2K4 was significantly correlated with the pathological grades of breast cancer (P=0.011). </t>
    </r>
    <r>
      <rPr>
        <b/>
        <sz val="11"/>
        <color theme="1"/>
        <rFont val="Calibri"/>
        <family val="2"/>
        <scheme val="minor"/>
      </rPr>
      <t>3)</t>
    </r>
    <r>
      <rPr>
        <sz val="11"/>
        <color theme="1"/>
        <rFont val="Calibri"/>
        <family val="2"/>
        <scheme val="minor"/>
      </rPr>
      <t xml:space="preserve"> patients with a high expression of MAP2K4 had a shorter overall survival rate than those with low MAP2K4 expressions (P=0.009). </t>
    </r>
    <r>
      <rPr>
        <b/>
        <sz val="11"/>
        <color theme="1"/>
        <rFont val="Calibri"/>
        <family val="2"/>
        <scheme val="minor"/>
      </rPr>
      <t>4)</t>
    </r>
    <r>
      <rPr>
        <sz val="11"/>
        <color theme="1"/>
        <rFont val="Calibri"/>
        <family val="2"/>
        <scheme val="minor"/>
      </rPr>
      <t xml:space="preserve"> Multivariate analysis identified high expression of MAP2K4 as the independent predictor of a poor outcome of patients with breast cancer. </t>
    </r>
    <r>
      <rPr>
        <b/>
        <sz val="11"/>
        <color theme="1"/>
        <rFont val="Calibri"/>
        <family val="2"/>
        <scheme val="minor"/>
      </rPr>
      <t xml:space="preserve">5) </t>
    </r>
    <r>
      <rPr>
        <sz val="11"/>
        <color theme="1"/>
        <rFont val="Calibri"/>
        <family val="2"/>
        <scheme val="minor"/>
      </rPr>
      <t>The expressions of MAP2K4 and ER were not significantly correlated, but ER-negative patients with a high MAP2K4 expressionshowed the shortest overall survival time.</t>
    </r>
  </si>
  <si>
    <r>
      <rPr>
        <b/>
        <sz val="11"/>
        <color theme="1"/>
        <rFont val="Calibri"/>
        <family val="2"/>
        <scheme val="minor"/>
      </rPr>
      <t xml:space="preserve">1) </t>
    </r>
    <r>
      <rPr>
        <sz val="11"/>
        <color theme="1"/>
        <rFont val="Calibri"/>
        <family val="2"/>
        <scheme val="minor"/>
      </rPr>
      <t xml:space="preserve">treatment with </t>
    </r>
    <r>
      <rPr>
        <b/>
        <sz val="11"/>
        <color theme="1"/>
        <rFont val="Calibri"/>
        <family val="2"/>
        <scheme val="minor"/>
      </rPr>
      <t>CDDP</t>
    </r>
    <r>
      <rPr>
        <sz val="11"/>
        <color theme="1"/>
        <rFont val="Calibri"/>
        <family val="2"/>
        <scheme val="minor"/>
      </rPr>
      <t xml:space="preserve"> resulted in down-regulation of c-Jun expression via caspase-9-dependent cleavage of c-Jun at Asp-65 and </t>
    </r>
    <r>
      <rPr>
        <b/>
        <sz val="11"/>
        <color theme="1"/>
        <rFont val="Calibri"/>
        <family val="2"/>
        <scheme val="minor"/>
      </rPr>
      <t>MEKK1</t>
    </r>
    <r>
      <rPr>
        <sz val="11"/>
        <color theme="1"/>
        <rFont val="Calibri"/>
        <family val="2"/>
        <scheme val="minor"/>
      </rPr>
      <t>-mediated ubiquitylation and degradation of c-Jun in CDDP-sensitive cancer cells.</t>
    </r>
  </si>
  <si>
    <r>
      <rPr>
        <b/>
        <sz val="11"/>
        <color theme="1"/>
        <rFont val="Calibri"/>
        <family val="2"/>
        <scheme val="minor"/>
      </rPr>
      <t>1)</t>
    </r>
    <r>
      <rPr>
        <sz val="11"/>
        <color theme="1"/>
        <rFont val="Calibri"/>
        <family val="2"/>
        <scheme val="minor"/>
      </rPr>
      <t xml:space="preserve"> Expression of catalytically inactive </t>
    </r>
    <r>
      <rPr>
        <b/>
        <sz val="11"/>
        <color theme="1"/>
        <rFont val="Calibri"/>
        <family val="2"/>
        <scheme val="minor"/>
      </rPr>
      <t>ASK1</t>
    </r>
    <r>
      <rPr>
        <sz val="11"/>
        <color theme="1"/>
        <rFont val="Calibri"/>
        <family val="2"/>
        <scheme val="minor"/>
      </rPr>
      <t xml:space="preserve"> mutant inhibits ASK1 activation and</t>
    </r>
    <r>
      <rPr>
        <b/>
        <sz val="11"/>
        <color theme="1"/>
        <rFont val="Calibri"/>
        <family val="2"/>
        <scheme val="minor"/>
      </rPr>
      <t xml:space="preserve"> CDDP</t>
    </r>
    <r>
      <rPr>
        <sz val="11"/>
        <color theme="1"/>
        <rFont val="Calibri"/>
        <family val="2"/>
        <scheme val="minor"/>
      </rPr>
      <t>-induced apoptosis</t>
    </r>
  </si>
  <si>
    <r>
      <t> </t>
    </r>
    <r>
      <rPr>
        <b/>
        <sz val="11"/>
        <color theme="1"/>
        <rFont val="Calibri"/>
        <family val="2"/>
        <scheme val="minor"/>
      </rPr>
      <t>1)</t>
    </r>
    <r>
      <rPr>
        <sz val="11"/>
        <color theme="1"/>
        <rFont val="Calibri"/>
        <family val="2"/>
        <scheme val="minor"/>
      </rPr>
      <t xml:space="preserve"> increased </t>
    </r>
    <r>
      <rPr>
        <b/>
        <sz val="11"/>
        <color theme="1"/>
        <rFont val="Calibri"/>
        <family val="2"/>
        <scheme val="minor"/>
      </rPr>
      <t>TAK1</t>
    </r>
    <r>
      <rPr>
        <sz val="11"/>
        <color theme="1"/>
        <rFont val="Calibri"/>
        <family val="2"/>
        <scheme val="minor"/>
      </rPr>
      <t xml:space="preserve"> and NF-κB signaling activities are involved in aggressive ovarian cancer cells. </t>
    </r>
    <r>
      <rPr>
        <b/>
        <sz val="11"/>
        <color theme="1"/>
        <rFont val="Calibri"/>
        <family val="2"/>
        <scheme val="minor"/>
      </rPr>
      <t>2)</t>
    </r>
    <r>
      <rPr>
        <sz val="11"/>
        <color theme="1"/>
        <rFont val="Calibri"/>
        <family val="2"/>
        <scheme val="minor"/>
      </rPr>
      <t xml:space="preserve"> inhibition of TAK1 can sensitize </t>
    </r>
    <r>
      <rPr>
        <b/>
        <sz val="11"/>
        <color theme="1"/>
        <rFont val="Calibri"/>
        <family val="2"/>
        <scheme val="minor"/>
      </rPr>
      <t>ovarian</t>
    </r>
    <r>
      <rPr>
        <sz val="11"/>
        <color theme="1"/>
        <rFont val="Calibri"/>
        <family val="2"/>
        <scheme val="minor"/>
      </rPr>
      <t xml:space="preserve"> cancer cells to </t>
    </r>
    <r>
      <rPr>
        <b/>
        <sz val="11"/>
        <color theme="1"/>
        <rFont val="Calibri"/>
        <family val="2"/>
        <scheme val="minor"/>
      </rPr>
      <t>cisplatin</t>
    </r>
    <r>
      <rPr>
        <sz val="11"/>
        <color theme="1"/>
        <rFont val="Calibri"/>
        <family val="2"/>
        <scheme val="minor"/>
      </rPr>
      <t xml:space="preserve">-induced cell apoptosis. </t>
    </r>
  </si>
  <si>
    <r>
      <rPr>
        <b/>
        <sz val="11"/>
        <color theme="1"/>
        <rFont val="Calibri"/>
        <family val="2"/>
        <scheme val="minor"/>
      </rPr>
      <t>1)</t>
    </r>
    <r>
      <rPr>
        <sz val="11"/>
        <color theme="1"/>
        <rFont val="Calibri"/>
        <family val="2"/>
        <scheme val="minor"/>
      </rPr>
      <t xml:space="preserve"> </t>
    </r>
    <r>
      <rPr>
        <b/>
        <sz val="11"/>
        <color theme="1"/>
        <rFont val="Calibri"/>
        <family val="2"/>
        <scheme val="minor"/>
      </rPr>
      <t>Cisplatin</t>
    </r>
    <r>
      <rPr>
        <sz val="11"/>
        <color theme="1"/>
        <rFont val="Calibri"/>
        <family val="2"/>
        <scheme val="minor"/>
      </rPr>
      <t xml:space="preserve"> treatment caused a time-dependent increase in the ratio of p-ERK1/2:total ERK1/2. </t>
    </r>
    <r>
      <rPr>
        <b/>
        <sz val="11"/>
        <color theme="1"/>
        <rFont val="Calibri"/>
        <family val="2"/>
        <scheme val="minor"/>
      </rPr>
      <t>2)</t>
    </r>
    <r>
      <rPr>
        <sz val="11"/>
        <color theme="1"/>
        <rFont val="Calibri"/>
        <family val="2"/>
        <scheme val="minor"/>
      </rPr>
      <t xml:space="preserve"> </t>
    </r>
    <r>
      <rPr>
        <b/>
        <sz val="11"/>
        <color theme="1"/>
        <rFont val="Calibri"/>
        <family val="2"/>
        <scheme val="minor"/>
      </rPr>
      <t>ERK</t>
    </r>
    <r>
      <rPr>
        <sz val="11"/>
        <color theme="1"/>
        <rFont val="Calibri"/>
        <family val="2"/>
        <scheme val="minor"/>
      </rPr>
      <t xml:space="preserve"> activation increased after 24-h treatment with cisplatin and attained a peak 3.5-fold increase at 48 h. </t>
    </r>
    <r>
      <rPr>
        <b/>
        <sz val="11"/>
        <color theme="1"/>
        <rFont val="Calibri"/>
        <family val="2"/>
        <scheme val="minor"/>
      </rPr>
      <t>3)</t>
    </r>
    <r>
      <rPr>
        <sz val="11"/>
        <color theme="1"/>
        <rFont val="Calibri"/>
        <family val="2"/>
        <scheme val="minor"/>
      </rPr>
      <t xml:space="preserve"> Cisplatin induced a similar time-dependent </t>
    </r>
    <r>
      <rPr>
        <b/>
        <sz val="11"/>
        <color theme="1"/>
        <rFont val="Calibri"/>
        <family val="2"/>
        <scheme val="minor"/>
      </rPr>
      <t>ERCC1</t>
    </r>
    <r>
      <rPr>
        <sz val="11"/>
        <color theme="1"/>
        <rFont val="Calibri"/>
        <family val="2"/>
        <scheme val="minor"/>
      </rPr>
      <t xml:space="preserve"> increase. </t>
    </r>
    <r>
      <rPr>
        <b/>
        <sz val="11"/>
        <color theme="1"/>
        <rFont val="Calibri"/>
        <family val="2"/>
        <scheme val="minor"/>
      </rPr>
      <t xml:space="preserve">4) </t>
    </r>
    <r>
      <rPr>
        <sz val="11"/>
        <color theme="1"/>
        <rFont val="Calibri"/>
        <family val="2"/>
        <scheme val="minor"/>
      </rPr>
      <t xml:space="preserve">A similar time-dependent increase in XPF levels was observed. </t>
    </r>
    <r>
      <rPr>
        <b/>
        <sz val="11"/>
        <color theme="1"/>
        <rFont val="Calibri"/>
        <family val="2"/>
        <scheme val="minor"/>
      </rPr>
      <t xml:space="preserve">5) </t>
    </r>
    <r>
      <rPr>
        <sz val="11"/>
        <color theme="1"/>
        <rFont val="Calibri"/>
        <family val="2"/>
        <scheme val="minor"/>
      </rPr>
      <t xml:space="preserve">The MEK inhibitor efficiently prevented this cisplatin-induced increase in ERCC1 protein. </t>
    </r>
    <r>
      <rPr>
        <b/>
        <sz val="11"/>
        <color theme="1"/>
        <rFont val="Calibri"/>
        <family val="2"/>
        <scheme val="minor"/>
      </rPr>
      <t>6)</t>
    </r>
    <r>
      <rPr>
        <sz val="11"/>
        <color theme="1"/>
        <rFont val="Calibri"/>
        <family val="2"/>
        <scheme val="minor"/>
      </rPr>
      <t xml:space="preserve"> Cisplatin treatment combined with specific inhibitors to each MAPK pathway (c-Jun N-terminal kinase, extracellular signal-regulated kinase, and p38) resulted in decreased ATF3 induction at the protein level. MAPK pathway inhibition led to decreased ATF3 messenger RNA expression and reduced cytotoxic effects of cisplatin. </t>
    </r>
    <r>
      <rPr>
        <b/>
        <sz val="11"/>
        <color theme="1"/>
        <rFont val="Calibri"/>
        <family val="2"/>
        <scheme val="minor"/>
      </rPr>
      <t>7)</t>
    </r>
    <r>
      <rPr>
        <sz val="11"/>
        <color theme="1"/>
        <rFont val="Calibri"/>
        <family val="2"/>
        <scheme val="minor"/>
      </rPr>
      <t xml:space="preserve"> In a multivariate analysis, among patients with </t>
    </r>
    <r>
      <rPr>
        <b/>
        <sz val="11"/>
        <color theme="1"/>
        <rFont val="Calibri"/>
        <family val="2"/>
        <scheme val="minor"/>
      </rPr>
      <t>TNBC</t>
    </r>
    <r>
      <rPr>
        <sz val="11"/>
        <color theme="1"/>
        <rFont val="Calibri"/>
        <family val="2"/>
        <scheme val="minor"/>
      </rPr>
      <t xml:space="preserve">, those with </t>
    </r>
    <r>
      <rPr>
        <b/>
        <sz val="11"/>
        <color theme="1"/>
        <rFont val="Calibri"/>
        <family val="2"/>
        <scheme val="minor"/>
      </rPr>
      <t>ERK-2</t>
    </r>
    <r>
      <rPr>
        <sz val="11"/>
        <color theme="1"/>
        <rFont val="Calibri"/>
        <family val="2"/>
        <scheme val="minor"/>
      </rPr>
      <t xml:space="preserve">-overexpressing tumors had a lower overall survival rate than those with low ERK-2-expressing tumors (hazard ratio [HR], 2.76; 95% confidence interval [CI], 1.19-6.41). </t>
    </r>
    <r>
      <rPr>
        <b/>
        <sz val="11"/>
        <color theme="1"/>
        <rFont val="Calibri"/>
        <family val="2"/>
        <scheme val="minor"/>
      </rPr>
      <t>8)</t>
    </r>
    <r>
      <rPr>
        <sz val="11"/>
        <color theme="1"/>
        <rFont val="Calibri"/>
        <family val="2"/>
        <scheme val="minor"/>
      </rPr>
      <t xml:space="preserve"> high </t>
    </r>
    <r>
      <rPr>
        <b/>
        <sz val="11"/>
        <color theme="1"/>
        <rFont val="Calibri"/>
        <family val="2"/>
        <scheme val="minor"/>
      </rPr>
      <t>pMAPK</t>
    </r>
    <r>
      <rPr>
        <sz val="11"/>
        <color theme="1"/>
        <rFont val="Calibri"/>
        <family val="2"/>
        <scheme val="minor"/>
      </rPr>
      <t xml:space="preserve"> levels were associated with a significantly higher relapse-free survival rate (HR, 0.66; 95% CI, 0.46-0.95). </t>
    </r>
  </si>
  <si>
    <r>
      <rPr>
        <b/>
        <sz val="11"/>
        <color theme="1"/>
        <rFont val="Calibri"/>
        <family val="2"/>
        <scheme val="minor"/>
      </rPr>
      <t xml:space="preserve">1) Cisplatin </t>
    </r>
    <r>
      <rPr>
        <sz val="11"/>
        <color theme="1"/>
        <rFont val="Calibri"/>
        <family val="2"/>
        <scheme val="minor"/>
      </rPr>
      <t xml:space="preserve">induced activation of three MAPKs, JNK, </t>
    </r>
    <r>
      <rPr>
        <b/>
        <sz val="11"/>
        <color theme="1"/>
        <rFont val="Calibri"/>
        <family val="2"/>
        <scheme val="minor"/>
      </rPr>
      <t>p38</t>
    </r>
    <r>
      <rPr>
        <sz val="11"/>
        <color theme="1"/>
        <rFont val="Calibri"/>
        <family val="2"/>
        <scheme val="minor"/>
      </rPr>
      <t xml:space="preserve">, and ERK, in a cisplatin-sensitive human </t>
    </r>
    <r>
      <rPr>
        <b/>
        <sz val="11"/>
        <color theme="1"/>
        <rFont val="Calibri"/>
        <family val="2"/>
        <scheme val="minor"/>
      </rPr>
      <t>ovarian</t>
    </r>
    <r>
      <rPr>
        <sz val="11"/>
        <color theme="1"/>
        <rFont val="Calibri"/>
        <family val="2"/>
        <scheme val="minor"/>
      </rPr>
      <t xml:space="preserve"> carcinoma cell line (2008) and its resistant subclone (2008C13). </t>
    </r>
    <r>
      <rPr>
        <b/>
        <sz val="11"/>
        <color theme="1"/>
        <rFont val="Calibri"/>
        <family val="2"/>
        <scheme val="minor"/>
      </rPr>
      <t xml:space="preserve">2) </t>
    </r>
    <r>
      <rPr>
        <sz val="11"/>
        <color theme="1"/>
        <rFont val="Calibri"/>
        <family val="2"/>
        <scheme val="minor"/>
      </rPr>
      <t xml:space="preserve">The JNK and p38 pathways were activated differentially in response to cisplatin, with the cisplatin-sensitive cells showing prolonged activation (8–12 h) and the cisplatin-resistant cells showing only transient activation (1–3 h) of JNK and p38. </t>
    </r>
    <r>
      <rPr>
        <b/>
        <sz val="11"/>
        <color theme="1"/>
        <rFont val="Calibri"/>
        <family val="2"/>
        <scheme val="minor"/>
      </rPr>
      <t>3)</t>
    </r>
    <r>
      <rPr>
        <sz val="11"/>
        <color theme="1"/>
        <rFont val="Calibri"/>
        <family val="2"/>
        <scheme val="minor"/>
      </rPr>
      <t xml:space="preserve"> In the sensitive cells, inhibition of cisplatin-induced JNK and p38 activation blocked cisplatin-induced apoptosis; </t>
    </r>
    <r>
      <rPr>
        <b/>
        <sz val="11"/>
        <color theme="1"/>
        <rFont val="Calibri"/>
        <family val="2"/>
        <scheme val="minor"/>
      </rPr>
      <t xml:space="preserve">4) </t>
    </r>
    <r>
      <rPr>
        <sz val="11"/>
        <color theme="1"/>
        <rFont val="Calibri"/>
        <family val="2"/>
        <scheme val="minor"/>
      </rPr>
      <t>persistent activation of JNK resulted in hyperphosphorylation of the c-Jun transcription factor, which in turn stimulated the transcription of an immediate downstream target, the death inducer Fas ligand (FasL). </t>
    </r>
    <r>
      <rPr>
        <b/>
        <sz val="11"/>
        <color theme="1"/>
        <rFont val="Calibri"/>
        <family val="2"/>
        <scheme val="minor"/>
      </rPr>
      <t xml:space="preserve">5) </t>
    </r>
    <r>
      <rPr>
        <sz val="11"/>
        <color theme="1"/>
        <rFont val="Calibri"/>
        <family val="2"/>
        <scheme val="minor"/>
      </rPr>
      <t xml:space="preserve">As MAP2K3. </t>
    </r>
  </si>
  <si>
    <r>
      <rPr>
        <b/>
        <sz val="11"/>
        <color theme="1"/>
        <rFont val="Calibri"/>
        <family val="2"/>
        <scheme val="minor"/>
      </rPr>
      <t>1)</t>
    </r>
    <r>
      <rPr>
        <sz val="11"/>
        <color theme="1"/>
        <rFont val="Calibri"/>
        <family val="2"/>
        <scheme val="minor"/>
      </rPr>
      <t xml:space="preserve"> As MAPK11. </t>
    </r>
    <r>
      <rPr>
        <b/>
        <sz val="11"/>
        <color theme="1"/>
        <rFont val="Calibri"/>
        <family val="2"/>
        <scheme val="minor"/>
      </rPr>
      <t xml:space="preserve">2) </t>
    </r>
    <r>
      <rPr>
        <sz val="11"/>
        <color theme="1"/>
        <rFont val="Calibri"/>
        <family val="2"/>
        <scheme val="minor"/>
      </rPr>
      <t xml:space="preserve">At the end of the study, 89% of </t>
    </r>
    <r>
      <rPr>
        <b/>
        <sz val="11"/>
        <color theme="1"/>
        <rFont val="Calibri"/>
        <family val="2"/>
        <scheme val="minor"/>
      </rPr>
      <t>urothelial</t>
    </r>
    <r>
      <rPr>
        <sz val="11"/>
        <color theme="1"/>
        <rFont val="Calibri"/>
        <family val="2"/>
        <scheme val="minor"/>
      </rPr>
      <t xml:space="preserve"> carcinoma patients with low </t>
    </r>
    <r>
      <rPr>
        <b/>
        <sz val="11"/>
        <color theme="1"/>
        <rFont val="Calibri"/>
        <family val="2"/>
        <scheme val="minor"/>
      </rPr>
      <t>MAPK12</t>
    </r>
    <r>
      <rPr>
        <sz val="11"/>
        <color theme="1"/>
        <rFont val="Calibri"/>
        <family val="2"/>
        <scheme val="minor"/>
      </rPr>
      <t xml:space="preserve"> and GSTM3 expressions had survived, </t>
    </r>
    <r>
      <rPr>
        <b/>
        <sz val="11"/>
        <color theme="1"/>
        <rFont val="Calibri"/>
        <family val="2"/>
        <scheme val="minor"/>
      </rPr>
      <t>3)</t>
    </r>
    <r>
      <rPr>
        <sz val="11"/>
        <color theme="1"/>
        <rFont val="Calibri"/>
        <family val="2"/>
        <scheme val="minor"/>
      </rPr>
      <t xml:space="preserve"> 0% of patients with normal or high MAPK12 and high ICAM1 expressions had survived. </t>
    </r>
    <r>
      <rPr>
        <b/>
        <sz val="11"/>
        <color theme="1"/>
        <rFont val="Calibri"/>
        <family val="2"/>
        <scheme val="minor"/>
      </rPr>
      <t xml:space="preserve">4) </t>
    </r>
    <r>
      <rPr>
        <sz val="11"/>
        <color theme="1"/>
        <rFont val="Calibri"/>
        <family val="2"/>
        <scheme val="minor"/>
      </rPr>
      <t xml:space="preserve">Patients with low MAPK12 and normal or high GSTM3 expressions and those with normal or high MAPK12 and low or normal ICAM1 expressions had intermediate survival rates. </t>
    </r>
  </si>
  <si>
    <r>
      <rPr>
        <b/>
        <sz val="11"/>
        <color theme="1"/>
        <rFont val="Calibri"/>
        <family val="2"/>
        <scheme val="minor"/>
      </rPr>
      <t xml:space="preserve">1) </t>
    </r>
    <r>
      <rPr>
        <sz val="11"/>
        <color theme="1"/>
        <rFont val="Calibri"/>
        <family val="2"/>
        <scheme val="minor"/>
      </rPr>
      <t xml:space="preserve">As MAPK11. </t>
    </r>
  </si>
  <si>
    <r>
      <rPr>
        <b/>
        <sz val="11"/>
        <color theme="1"/>
        <rFont val="Calibri"/>
        <family val="2"/>
        <scheme val="minor"/>
      </rPr>
      <t xml:space="preserve">1) </t>
    </r>
    <r>
      <rPr>
        <sz val="11"/>
        <color theme="1"/>
        <rFont val="Calibri"/>
        <family val="2"/>
        <scheme val="minor"/>
      </rPr>
      <t xml:space="preserve">As MAPK11. </t>
    </r>
    <r>
      <rPr>
        <b/>
        <sz val="11"/>
        <color theme="1"/>
        <rFont val="Calibri"/>
        <family val="2"/>
        <scheme val="minor"/>
      </rPr>
      <t xml:space="preserve">2) </t>
    </r>
    <r>
      <rPr>
        <sz val="11"/>
        <color theme="1"/>
        <rFont val="Calibri"/>
        <family val="2"/>
        <scheme val="minor"/>
      </rPr>
      <t xml:space="preserve">a significant correlation between IL‑12Rβ2 and p38MAPK expression (r=0.415, P=0.0143). </t>
    </r>
    <r>
      <rPr>
        <b/>
        <sz val="11"/>
        <color theme="1"/>
        <rFont val="Calibri"/>
        <family val="2"/>
        <scheme val="minor"/>
      </rPr>
      <t>3)</t>
    </r>
    <r>
      <rPr>
        <sz val="11"/>
        <color theme="1"/>
        <rFont val="Calibri"/>
        <family val="2"/>
        <scheme val="minor"/>
      </rPr>
      <t xml:space="preserve"> positive IL‑12Rβ2 and p38MAPK expression was associated with </t>
    </r>
    <r>
      <rPr>
        <b/>
        <sz val="11"/>
        <color theme="1"/>
        <rFont val="Calibri"/>
        <family val="2"/>
        <scheme val="minor"/>
      </rPr>
      <t>increased</t>
    </r>
    <r>
      <rPr>
        <sz val="11"/>
        <color theme="1"/>
        <rFont val="Calibri"/>
        <family val="2"/>
        <scheme val="minor"/>
      </rPr>
      <t xml:space="preserve"> OS compared with negative protein expression in </t>
    </r>
    <r>
      <rPr>
        <b/>
        <sz val="11"/>
        <color theme="1"/>
        <rFont val="Calibri"/>
        <family val="2"/>
        <scheme val="minor"/>
      </rPr>
      <t>NSCLC</t>
    </r>
    <r>
      <rPr>
        <sz val="11"/>
        <color theme="1"/>
        <rFont val="Calibri"/>
        <family val="2"/>
        <scheme val="minor"/>
      </rPr>
      <t xml:space="preserve">. </t>
    </r>
    <r>
      <rPr>
        <b/>
        <sz val="11"/>
        <color theme="1"/>
        <rFont val="Calibri"/>
        <family val="2"/>
        <scheme val="minor"/>
      </rPr>
      <t xml:space="preserve">4) </t>
    </r>
    <r>
      <rPr>
        <sz val="11"/>
        <color theme="1"/>
        <rFont val="Calibri"/>
        <family val="2"/>
        <scheme val="minor"/>
      </rPr>
      <t xml:space="preserve">The Cox proportional hazard models revealed that IL‑12Rβ2 and p38MAPK predicted a </t>
    </r>
    <r>
      <rPr>
        <b/>
        <sz val="11"/>
        <color theme="1"/>
        <rFont val="Calibri"/>
        <family val="2"/>
        <scheme val="minor"/>
      </rPr>
      <t>long</t>
    </r>
    <r>
      <rPr>
        <sz val="11"/>
        <color theme="1"/>
        <rFont val="Calibri"/>
        <family val="2"/>
        <scheme val="minor"/>
      </rPr>
      <t xml:space="preserve"> OS. </t>
    </r>
  </si>
  <si>
    <r>
      <rPr>
        <b/>
        <sz val="11"/>
        <color theme="1"/>
        <rFont val="Calibri"/>
        <family val="2"/>
        <scheme val="minor"/>
      </rPr>
      <t xml:space="preserve">1) </t>
    </r>
    <r>
      <rPr>
        <sz val="11"/>
        <color theme="1"/>
        <rFont val="Calibri"/>
        <family val="2"/>
        <scheme val="minor"/>
      </rPr>
      <t xml:space="preserve">As MAPK1. </t>
    </r>
    <r>
      <rPr>
        <b/>
        <sz val="11"/>
        <color theme="1"/>
        <rFont val="Calibri"/>
        <family val="2"/>
        <scheme val="minor"/>
      </rPr>
      <t>2)</t>
    </r>
    <r>
      <rPr>
        <sz val="11"/>
        <color theme="1"/>
        <rFont val="Calibri"/>
        <family val="2"/>
        <scheme val="minor"/>
      </rPr>
      <t xml:space="preserve"> Positive pAMPK, NUAK2, MAPK3/1, and PDK-1 expression was observed in 379 (61.0%), 257 (41.4%), 327 (52.7%), and 67 (10.8%) </t>
    </r>
    <r>
      <rPr>
        <b/>
        <sz val="11"/>
        <color theme="1"/>
        <rFont val="Calibri"/>
        <family val="2"/>
        <scheme val="minor"/>
      </rPr>
      <t>gastric cancer</t>
    </r>
    <r>
      <rPr>
        <sz val="11"/>
        <color theme="1"/>
        <rFont val="Calibri"/>
        <family val="2"/>
        <scheme val="minor"/>
      </rPr>
      <t xml:space="preserve"> cases, respectively. </t>
    </r>
    <r>
      <rPr>
        <b/>
        <sz val="11"/>
        <color theme="1"/>
        <rFont val="Calibri"/>
        <family val="2"/>
        <scheme val="minor"/>
      </rPr>
      <t>3)</t>
    </r>
    <r>
      <rPr>
        <sz val="11"/>
        <color theme="1"/>
        <rFont val="Calibri"/>
        <family val="2"/>
        <scheme val="minor"/>
      </rPr>
      <t xml:space="preserve"> Multivariate survival analysis showed that the survival for the patients with negative expression of </t>
    </r>
    <r>
      <rPr>
        <b/>
        <sz val="11"/>
        <color theme="1"/>
        <rFont val="Calibri"/>
        <family val="2"/>
        <scheme val="minor"/>
      </rPr>
      <t>pAMPK</t>
    </r>
    <r>
      <rPr>
        <sz val="11"/>
        <color theme="1"/>
        <rFont val="Calibri"/>
        <family val="2"/>
        <scheme val="minor"/>
      </rPr>
      <t xml:space="preserve"> was worse than for the patients with the weak to strong positive expression [disease free survival (DFS): hazard ratio (HR)=1.361, P=0.029), and </t>
    </r>
    <r>
      <rPr>
        <b/>
        <sz val="11"/>
        <color theme="1"/>
        <rFont val="Calibri"/>
        <family val="2"/>
        <scheme val="minor"/>
      </rPr>
      <t>4)</t>
    </r>
    <r>
      <rPr>
        <sz val="11"/>
        <color theme="1"/>
        <rFont val="Calibri"/>
        <family val="2"/>
        <scheme val="minor"/>
      </rPr>
      <t xml:space="preserve"> the negative expression of </t>
    </r>
    <r>
      <rPr>
        <b/>
        <sz val="11"/>
        <color theme="1"/>
        <rFont val="Calibri"/>
        <family val="2"/>
        <scheme val="minor"/>
      </rPr>
      <t>MAPK3/1</t>
    </r>
    <r>
      <rPr>
        <sz val="11"/>
        <color theme="1"/>
        <rFont val="Calibri"/>
        <family val="2"/>
        <scheme val="minor"/>
      </rPr>
      <t xml:space="preserve"> was also associated with a worse survival compared to the positive expression (DFS: HR=1.401, p=0.029). </t>
    </r>
  </si>
  <si>
    <r>
      <rPr>
        <b/>
        <sz val="11"/>
        <color theme="1"/>
        <rFont val="Calibri"/>
        <family val="2"/>
        <scheme val="minor"/>
      </rPr>
      <t xml:space="preserve">1) </t>
    </r>
    <r>
      <rPr>
        <sz val="11"/>
        <color theme="1"/>
        <rFont val="Calibri"/>
        <family val="2"/>
        <scheme val="minor"/>
      </rPr>
      <t xml:space="preserve">Blocking the JNK-1, the major activator of c-Jun phosphorylation, reduced the expression of pre-microRNA mir-21 and increased the expression of its well-known target gene, PDCD4 and sensitize </t>
    </r>
    <r>
      <rPr>
        <b/>
        <sz val="11"/>
        <color theme="1"/>
        <rFont val="Calibri"/>
        <family val="2"/>
        <scheme val="minor"/>
      </rPr>
      <t>CDDP</t>
    </r>
    <r>
      <rPr>
        <sz val="11"/>
        <color theme="1"/>
        <rFont val="Calibri"/>
        <family val="2"/>
        <scheme val="minor"/>
      </rPr>
      <t xml:space="preserve">-resistant </t>
    </r>
    <r>
      <rPr>
        <b/>
        <sz val="11"/>
        <color theme="1"/>
        <rFont val="Calibri"/>
        <family val="2"/>
        <scheme val="minor"/>
      </rPr>
      <t>ovarian</t>
    </r>
    <r>
      <rPr>
        <sz val="11"/>
        <color theme="1"/>
        <rFont val="Calibri"/>
        <family val="2"/>
        <scheme val="minor"/>
      </rPr>
      <t xml:space="preserve"> cancer cells. </t>
    </r>
    <r>
      <rPr>
        <b/>
        <sz val="11"/>
        <color theme="1"/>
        <rFont val="Calibri"/>
        <family val="2"/>
        <scheme val="minor"/>
      </rPr>
      <t xml:space="preserve">2) </t>
    </r>
    <r>
      <rPr>
        <sz val="11"/>
        <color theme="1"/>
        <rFont val="Calibri"/>
        <family val="2"/>
        <scheme val="minor"/>
      </rPr>
      <t>Cisplatin treatment combined with specific inhibitors to each MAPK pathway (c-Jun N-terminal kinase, extracellular signal-regulated kinase, and p38) resulted in decreased ATF3 induction at the protein level. MAPK pathway inhibition led to decreased ATF3 messenger RNA expression and reduced cytotoxic effects of cisplatin.</t>
    </r>
    <r>
      <rPr>
        <b/>
        <sz val="11"/>
        <color theme="1"/>
        <rFont val="Calibri"/>
        <family val="2"/>
        <scheme val="minor"/>
      </rPr>
      <t xml:space="preserve"> 3)</t>
    </r>
    <r>
      <rPr>
        <sz val="11"/>
        <color theme="1"/>
        <rFont val="Calibri"/>
        <family val="2"/>
        <scheme val="minor"/>
      </rPr>
      <t xml:space="preserve"> Inhibition of JNK activity by transfection with a dominant negative allele of JNK blocked CDDP-induced apoptosis significantly in A2780 cells. </t>
    </r>
    <r>
      <rPr>
        <b/>
        <sz val="11"/>
        <color theme="1"/>
        <rFont val="Calibri"/>
        <family val="2"/>
        <scheme val="minor"/>
      </rPr>
      <t>4)</t>
    </r>
    <r>
      <rPr>
        <sz val="11"/>
        <color theme="1"/>
        <rFont val="Calibri"/>
        <family val="2"/>
        <scheme val="minor"/>
      </rPr>
      <t xml:space="preserve"> Selective stimulation of the JNK pathway by lipofectamine-mediated delivery of recombinant JNK1 led to activation of c-Jun and decrease of extracellular H2O2, as well as apoptosis sensitization to CDDP in A2780/DDP cells. </t>
    </r>
    <r>
      <rPr>
        <b/>
        <sz val="11"/>
        <color theme="1"/>
        <rFont val="Calibri"/>
        <family val="2"/>
        <scheme val="minor"/>
      </rPr>
      <t>5)</t>
    </r>
    <r>
      <rPr>
        <sz val="11"/>
        <color theme="1"/>
        <rFont val="Calibri"/>
        <family val="2"/>
        <scheme val="minor"/>
      </rPr>
      <t xml:space="preserve"> Long-term activation of </t>
    </r>
    <r>
      <rPr>
        <b/>
        <sz val="11"/>
        <color theme="1"/>
        <rFont val="Calibri"/>
        <family val="2"/>
        <scheme val="minor"/>
      </rPr>
      <t>SAPK/JNK</t>
    </r>
    <r>
      <rPr>
        <sz val="11"/>
        <color theme="1"/>
        <rFont val="Calibri"/>
        <family val="2"/>
        <scheme val="minor"/>
      </rPr>
      <t>, p38 kinase and fas-L expression by cisplatin is attenuated in human carcinoma cells that acquired drug resistance</t>
    </r>
  </si>
  <si>
    <r>
      <rPr>
        <b/>
        <sz val="11"/>
        <color theme="1"/>
        <rFont val="Calibri"/>
        <family val="2"/>
        <scheme val="minor"/>
      </rPr>
      <t>1)</t>
    </r>
    <r>
      <rPr>
        <sz val="11"/>
        <color theme="1"/>
        <rFont val="Calibri"/>
        <family val="2"/>
        <scheme val="minor"/>
      </rPr>
      <t xml:space="preserve"> activation of JNK2 (but not JNK1) phosphorylated and up-regulated the expression of </t>
    </r>
    <r>
      <rPr>
        <b/>
        <sz val="11"/>
        <color theme="1"/>
        <rFont val="Calibri"/>
        <family val="2"/>
        <scheme val="minor"/>
      </rPr>
      <t>c-Jun</t>
    </r>
    <r>
      <rPr>
        <sz val="11"/>
        <color theme="1"/>
        <rFont val="Calibri"/>
        <family val="2"/>
        <scheme val="minor"/>
      </rPr>
      <t xml:space="preserve"> in </t>
    </r>
    <r>
      <rPr>
        <b/>
        <sz val="11"/>
        <color theme="1"/>
        <rFont val="Calibri"/>
        <family val="2"/>
        <scheme val="minor"/>
      </rPr>
      <t>CDDP</t>
    </r>
    <r>
      <rPr>
        <sz val="11"/>
        <color theme="1"/>
        <rFont val="Calibri"/>
        <family val="2"/>
        <scheme val="minor"/>
      </rPr>
      <t xml:space="preserve">-resistant cells. </t>
    </r>
    <r>
      <rPr>
        <b/>
        <sz val="11"/>
        <color theme="1"/>
        <rFont val="Calibri"/>
        <family val="2"/>
        <scheme val="minor"/>
      </rPr>
      <t>2)</t>
    </r>
    <r>
      <rPr>
        <sz val="11"/>
        <color theme="1"/>
        <rFont val="Calibri"/>
        <family val="2"/>
        <scheme val="minor"/>
      </rPr>
      <t xml:space="preserve"> Activated c-Jun bound to the promoter regions of the </t>
    </r>
    <r>
      <rPr>
        <b/>
        <sz val="11"/>
        <color theme="1"/>
        <rFont val="Calibri"/>
        <family val="2"/>
        <scheme val="minor"/>
      </rPr>
      <t>MDR1</t>
    </r>
    <r>
      <rPr>
        <sz val="11"/>
        <color theme="1"/>
        <rFont val="Calibri"/>
        <family val="2"/>
        <scheme val="minor"/>
      </rPr>
      <t xml:space="preserve"> gene and promoted the expression of MDR1. </t>
    </r>
    <r>
      <rPr>
        <b/>
        <sz val="11"/>
        <color theme="1"/>
        <rFont val="Calibri"/>
        <family val="2"/>
        <scheme val="minor"/>
      </rPr>
      <t xml:space="preserve">3) </t>
    </r>
    <r>
      <rPr>
        <sz val="11"/>
        <color theme="1"/>
        <rFont val="Calibri"/>
        <family val="2"/>
        <scheme val="minor"/>
      </rPr>
      <t xml:space="preserve">Long-term activation of </t>
    </r>
    <r>
      <rPr>
        <b/>
        <sz val="11"/>
        <color theme="1"/>
        <rFont val="Calibri"/>
        <family val="2"/>
        <scheme val="minor"/>
      </rPr>
      <t>SAPK/JNK</t>
    </r>
    <r>
      <rPr>
        <sz val="11"/>
        <color theme="1"/>
        <rFont val="Calibri"/>
        <family val="2"/>
        <scheme val="minor"/>
      </rPr>
      <t>, p38 kinase and fas-L expression by cisplatin is attenuated in human carcinoma cells that acquired drug resistance</t>
    </r>
  </si>
  <si>
    <r>
      <rPr>
        <b/>
        <sz val="11"/>
        <color theme="1"/>
        <rFont val="Calibri"/>
        <family val="2"/>
        <scheme val="minor"/>
      </rPr>
      <t xml:space="preserve">1) </t>
    </r>
    <r>
      <rPr>
        <sz val="11"/>
        <color theme="1"/>
        <rFont val="Calibri"/>
        <family val="2"/>
        <scheme val="minor"/>
      </rPr>
      <t xml:space="preserve">cisplatin but no other DNA-damaging agents inhibit the MAPK pathway by dissociating cRaf from MEK1, while </t>
    </r>
    <r>
      <rPr>
        <b/>
        <sz val="11"/>
        <color theme="1"/>
        <rFont val="Calibri"/>
        <family val="2"/>
        <scheme val="minor"/>
      </rPr>
      <t>MAST1</t>
    </r>
    <r>
      <rPr>
        <sz val="11"/>
        <color theme="1"/>
        <rFont val="Calibri"/>
        <family val="2"/>
        <scheme val="minor"/>
      </rPr>
      <t xml:space="preserve"> replaces cRaf to reactivate the MAPK pathway in a cRaf-independent manner. </t>
    </r>
    <r>
      <rPr>
        <b/>
        <sz val="11"/>
        <color theme="1"/>
        <rFont val="Calibri"/>
        <family val="2"/>
        <scheme val="minor"/>
      </rPr>
      <t>2)</t>
    </r>
    <r>
      <rPr>
        <sz val="11"/>
        <color theme="1"/>
        <rFont val="Calibri"/>
        <family val="2"/>
        <scheme val="minor"/>
      </rPr>
      <t xml:space="preserve"> MAST1 expression levels, both protein and mRNA, were upregulated in cisplatin-resistant (cisR) cells that were chronically exposed to cisplatin, compared with parental cells. </t>
    </r>
    <r>
      <rPr>
        <b/>
        <sz val="11"/>
        <color theme="1"/>
        <rFont val="Calibri"/>
        <family val="2"/>
        <scheme val="minor"/>
      </rPr>
      <t xml:space="preserve">3) </t>
    </r>
    <r>
      <rPr>
        <sz val="11"/>
        <color theme="1"/>
        <rFont val="Calibri"/>
        <family val="2"/>
        <scheme val="minor"/>
      </rPr>
      <t xml:space="preserve">expression of MAST1, both initial and cisplatin-induced, contributes to platinum resistance and worse clinical outcome. </t>
    </r>
    <r>
      <rPr>
        <b/>
        <sz val="11"/>
        <color theme="1"/>
        <rFont val="Calibri"/>
        <family val="2"/>
        <scheme val="minor"/>
      </rPr>
      <t>4)</t>
    </r>
    <r>
      <rPr>
        <sz val="11"/>
        <color theme="1"/>
        <rFont val="Calibri"/>
        <family val="2"/>
        <scheme val="minor"/>
      </rPr>
      <t xml:space="preserve"> Targeting MAST1 with lestaurtinib, a recently identified MAST1 inhibitor, restores </t>
    </r>
    <r>
      <rPr>
        <b/>
        <sz val="11"/>
        <color theme="1"/>
        <rFont val="Calibri"/>
        <family val="2"/>
        <scheme val="minor"/>
      </rPr>
      <t>cisplatin</t>
    </r>
    <r>
      <rPr>
        <sz val="11"/>
        <color theme="1"/>
        <rFont val="Calibri"/>
        <family val="2"/>
        <scheme val="minor"/>
      </rPr>
      <t xml:space="preserve"> sensitivity, leading to the synergistic attenuation of cancer cell proliferation and tumor growth in human cancer cells and patient-derived xenograft models.</t>
    </r>
    <r>
      <rPr>
        <b/>
        <sz val="11"/>
        <color theme="1"/>
        <rFont val="Calibri"/>
        <family val="2"/>
        <scheme val="minor"/>
      </rPr>
      <t xml:space="preserve"> 5)</t>
    </r>
    <r>
      <rPr>
        <sz val="11"/>
        <color theme="1"/>
        <rFont val="Calibri"/>
        <family val="2"/>
        <scheme val="minor"/>
      </rPr>
      <t xml:space="preserve"> In 97 </t>
    </r>
    <r>
      <rPr>
        <b/>
        <sz val="11"/>
        <color theme="1"/>
        <rFont val="Calibri"/>
        <family val="2"/>
        <scheme val="minor"/>
      </rPr>
      <t>HNSCC</t>
    </r>
    <r>
      <rPr>
        <sz val="11"/>
        <color theme="1"/>
        <rFont val="Calibri"/>
        <family val="2"/>
        <scheme val="minor"/>
      </rPr>
      <t xml:space="preserve"> patient cases who received platinum-containing therapy or non-platinum-
based therapy such as radiation or surgery, Resistant group showed significantly higher MAST1 and phospho-
MEK1 levels compared with the Sensitive group in both pre- and post-treatment tumor samples. </t>
    </r>
  </si>
  <si>
    <r>
      <rPr>
        <b/>
        <sz val="11"/>
        <color theme="1"/>
        <rFont val="Calibri"/>
        <family val="2"/>
        <scheme val="minor"/>
      </rPr>
      <t>1) MBNL1</t>
    </r>
    <r>
      <rPr>
        <sz val="11"/>
        <color theme="1"/>
        <rFont val="Calibri"/>
        <family val="2"/>
        <scheme val="minor"/>
      </rPr>
      <t xml:space="preserve"> might be involved in the occurrence and poor prognosis of</t>
    </r>
    <r>
      <rPr>
        <b/>
        <sz val="11"/>
        <color theme="1"/>
        <rFont val="Calibri"/>
        <family val="2"/>
        <scheme val="minor"/>
      </rPr>
      <t xml:space="preserve"> cervical</t>
    </r>
    <r>
      <rPr>
        <sz val="11"/>
        <color theme="1"/>
        <rFont val="Calibri"/>
        <family val="2"/>
        <scheme val="minor"/>
      </rPr>
      <t xml:space="preserve"> cancer, and </t>
    </r>
    <r>
      <rPr>
        <b/>
        <sz val="11"/>
        <color theme="1"/>
        <rFont val="Calibri"/>
        <family val="2"/>
        <scheme val="minor"/>
      </rPr>
      <t>2)</t>
    </r>
    <r>
      <rPr>
        <sz val="11"/>
        <color theme="1"/>
        <rFont val="Calibri"/>
        <family val="2"/>
        <scheme val="minor"/>
      </rPr>
      <t xml:space="preserve"> </t>
    </r>
    <r>
      <rPr>
        <b/>
        <sz val="11"/>
        <color theme="1"/>
        <rFont val="Calibri"/>
        <family val="2"/>
        <scheme val="minor"/>
      </rPr>
      <t>MBNL1</t>
    </r>
    <r>
      <rPr>
        <sz val="11"/>
        <color theme="1"/>
        <rFont val="Calibri"/>
        <family val="2"/>
        <scheme val="minor"/>
      </rPr>
      <t xml:space="preserve"> could regulate the resistance of HeLa cells to </t>
    </r>
    <r>
      <rPr>
        <b/>
        <sz val="11"/>
        <color theme="1"/>
        <rFont val="Calibri"/>
        <family val="2"/>
        <scheme val="minor"/>
      </rPr>
      <t>cisplatin</t>
    </r>
    <r>
      <rPr>
        <sz val="11"/>
        <color theme="1"/>
        <rFont val="Calibri"/>
        <family val="2"/>
        <scheme val="minor"/>
      </rPr>
      <t xml:space="preserve"> via </t>
    </r>
    <r>
      <rPr>
        <b/>
        <sz val="11"/>
        <color theme="1"/>
        <rFont val="Calibri"/>
        <family val="2"/>
        <scheme val="minor"/>
      </rPr>
      <t>Nrf2</t>
    </r>
    <r>
      <rPr>
        <sz val="11"/>
        <color theme="1"/>
        <rFont val="Calibri"/>
        <family val="2"/>
        <scheme val="minor"/>
      </rPr>
      <t xml:space="preserve">. </t>
    </r>
    <r>
      <rPr>
        <b/>
        <sz val="11"/>
        <color theme="1"/>
        <rFont val="Calibri"/>
        <family val="2"/>
        <scheme val="minor"/>
      </rPr>
      <t xml:space="preserve">3) </t>
    </r>
    <r>
      <rPr>
        <sz val="11"/>
        <color theme="1"/>
        <rFont val="Calibri"/>
        <family val="2"/>
        <scheme val="minor"/>
      </rPr>
      <t>MBNL1 upregulated the degradation of Nrf2 protein by increasing the mRNA stability of Cul3. </t>
    </r>
  </si>
  <si>
    <r>
      <rPr>
        <b/>
        <sz val="11"/>
        <color theme="1"/>
        <rFont val="Calibri"/>
        <family val="2"/>
        <scheme val="minor"/>
      </rPr>
      <t>1)</t>
    </r>
    <r>
      <rPr>
        <sz val="11"/>
        <color theme="1"/>
        <rFont val="Calibri"/>
        <family val="2"/>
        <scheme val="minor"/>
      </rPr>
      <t xml:space="preserve"> concomitant inhibition of both BCL-X(L) and </t>
    </r>
    <r>
      <rPr>
        <b/>
        <sz val="11"/>
        <color theme="1"/>
        <rFont val="Calibri"/>
        <family val="2"/>
        <scheme val="minor"/>
      </rPr>
      <t>MCL1</t>
    </r>
    <r>
      <rPr>
        <sz val="11"/>
        <color theme="1"/>
        <rFont val="Calibri"/>
        <family val="2"/>
        <scheme val="minor"/>
      </rPr>
      <t xml:space="preserve"> lead to massive apoptosis in absence of </t>
    </r>
    <r>
      <rPr>
        <b/>
        <sz val="11"/>
        <color theme="1"/>
        <rFont val="Calibri"/>
        <family val="2"/>
        <scheme val="minor"/>
      </rPr>
      <t>cisplatin</t>
    </r>
    <r>
      <rPr>
        <sz val="11"/>
        <color theme="1"/>
        <rFont val="Calibri"/>
        <family val="2"/>
        <scheme val="minor"/>
      </rPr>
      <t xml:space="preserve">, this multi-targeted RNAi approach being much more efficient than conventional chemotherapy. </t>
    </r>
    <r>
      <rPr>
        <b/>
        <sz val="11"/>
        <color theme="1"/>
        <rFont val="Calibri"/>
        <family val="2"/>
        <scheme val="minor"/>
      </rPr>
      <t xml:space="preserve">2) </t>
    </r>
    <r>
      <rPr>
        <sz val="11"/>
        <color theme="1"/>
        <rFont val="Calibri"/>
        <family val="2"/>
        <scheme val="minor"/>
      </rPr>
      <t xml:space="preserve">in presence of a low concentration of </t>
    </r>
    <r>
      <rPr>
        <b/>
        <sz val="11"/>
        <color theme="1"/>
        <rFont val="Calibri"/>
        <family val="2"/>
        <scheme val="minor"/>
      </rPr>
      <t>cisplatin</t>
    </r>
    <r>
      <rPr>
        <sz val="11"/>
        <color theme="1"/>
        <rFont val="Calibri"/>
        <family val="2"/>
        <scheme val="minor"/>
      </rPr>
      <t xml:space="preserve">, the concomitant down-regulation of Bcl-X(L) and MCL-1 allowed a complete annihilation of </t>
    </r>
    <r>
      <rPr>
        <b/>
        <sz val="11"/>
        <color theme="1"/>
        <rFont val="Calibri"/>
        <family val="2"/>
        <scheme val="minor"/>
      </rPr>
      <t>ovarian</t>
    </r>
    <r>
      <rPr>
        <sz val="11"/>
        <color theme="1"/>
        <rFont val="Calibri"/>
        <family val="2"/>
        <scheme val="minor"/>
      </rPr>
      <t xml:space="preserve"> tumour cells population thus avoiding subsequent recurrence in vitro in cell lines highly refractory to any type of conventional chemotherapy. </t>
    </r>
    <r>
      <rPr>
        <b/>
        <sz val="11"/>
        <color theme="1"/>
        <rFont val="Calibri"/>
        <family val="2"/>
        <scheme val="minor"/>
      </rPr>
      <t xml:space="preserve">3) </t>
    </r>
    <r>
      <rPr>
        <sz val="11"/>
        <color theme="1"/>
        <rFont val="Calibri"/>
        <family val="2"/>
        <scheme val="minor"/>
      </rPr>
      <t>The expression levels of BAX and</t>
    </r>
    <r>
      <rPr>
        <b/>
        <sz val="11"/>
        <color theme="1"/>
        <rFont val="Calibri"/>
        <family val="2"/>
        <scheme val="minor"/>
      </rPr>
      <t xml:space="preserve"> MCL-1</t>
    </r>
    <r>
      <rPr>
        <sz val="11"/>
        <color theme="1"/>
        <rFont val="Calibri"/>
        <family val="2"/>
        <scheme val="minor"/>
      </rPr>
      <t xml:space="preserve"> mRNA were significantly higher in </t>
    </r>
    <r>
      <rPr>
        <b/>
        <sz val="11"/>
        <color theme="1"/>
        <rFont val="Calibri"/>
        <family val="2"/>
        <scheme val="minor"/>
      </rPr>
      <t>ovarian</t>
    </r>
    <r>
      <rPr>
        <sz val="11"/>
        <color theme="1"/>
        <rFont val="Calibri"/>
        <family val="2"/>
        <scheme val="minor"/>
      </rPr>
      <t xml:space="preserve"> cancers and in adenomas than in normal ovaries (P &lt; 0.05). </t>
    </r>
    <r>
      <rPr>
        <b/>
        <sz val="11"/>
        <color theme="1"/>
        <rFont val="Calibri"/>
        <family val="2"/>
        <scheme val="minor"/>
      </rPr>
      <t>4)</t>
    </r>
    <r>
      <rPr>
        <sz val="11"/>
        <color theme="1"/>
        <rFont val="Calibri"/>
        <family val="2"/>
        <scheme val="minor"/>
      </rPr>
      <t xml:space="preserve"> low BAX mRNA expression and high MCL-1 mRNA expression significantly correlate with poor survival for patients with stage III ovarian carcinomas (BAX, P = 0.05; MCL-1, P = 0.02). </t>
    </r>
    <r>
      <rPr>
        <b/>
        <sz val="11"/>
        <color theme="1"/>
        <rFont val="Calibri"/>
        <family val="2"/>
        <scheme val="minor"/>
      </rPr>
      <t xml:space="preserve">5) </t>
    </r>
    <r>
      <rPr>
        <sz val="11"/>
        <color theme="1"/>
        <rFont val="Calibri"/>
        <family val="2"/>
        <scheme val="minor"/>
      </rPr>
      <t xml:space="preserve">diffuse-positive expression of MCL-1 protein significantly correlates with advanced clinical stage, high histologic grade, and poor survival (stage, P &lt; 0.01; grade, P = 0.01; survival, P = 0.01). </t>
    </r>
    <r>
      <rPr>
        <b/>
        <sz val="11"/>
        <color theme="1"/>
        <rFont val="Calibri"/>
        <family val="2"/>
        <scheme val="minor"/>
      </rPr>
      <t>6) Mcl-1</t>
    </r>
    <r>
      <rPr>
        <sz val="11"/>
        <color theme="1"/>
        <rFont val="Calibri"/>
        <family val="2"/>
        <scheme val="minor"/>
      </rPr>
      <t xml:space="preserve">, VEGFR2, and 14-3-3sigma expression might predict primary response against </t>
    </r>
    <r>
      <rPr>
        <b/>
        <sz val="11"/>
        <color theme="1"/>
        <rFont val="Calibri"/>
        <family val="2"/>
        <scheme val="minor"/>
      </rPr>
      <t>radiotherapy and cisplatin</t>
    </r>
    <r>
      <rPr>
        <sz val="11"/>
        <color theme="1"/>
        <rFont val="Calibri"/>
        <family val="2"/>
        <scheme val="minor"/>
      </rPr>
      <t xml:space="preserve">-based chemotherapy in patients with locally </t>
    </r>
    <r>
      <rPr>
        <b/>
        <sz val="11"/>
        <color theme="1"/>
        <rFont val="Calibri"/>
        <family val="2"/>
        <scheme val="minor"/>
      </rPr>
      <t>advanced squamous cell carcinomas of the head and neck</t>
    </r>
    <r>
      <rPr>
        <sz val="11"/>
        <color theme="1"/>
        <rFont val="Calibri"/>
        <family val="2"/>
        <scheme val="minor"/>
      </rPr>
      <t xml:space="preserve">. </t>
    </r>
  </si>
  <si>
    <r>
      <rPr>
        <b/>
        <sz val="11"/>
        <color theme="1"/>
        <rFont val="Calibri"/>
        <family val="2"/>
        <scheme val="minor"/>
      </rPr>
      <t>1)</t>
    </r>
    <r>
      <rPr>
        <sz val="11"/>
        <color theme="1"/>
        <rFont val="Calibri"/>
        <family val="2"/>
        <scheme val="minor"/>
      </rPr>
      <t xml:space="preserve"> knockout of</t>
    </r>
    <r>
      <rPr>
        <b/>
        <sz val="11"/>
        <color theme="1"/>
        <rFont val="Calibri"/>
        <family val="2"/>
        <scheme val="minor"/>
      </rPr>
      <t> MCM9</t>
    </r>
    <r>
      <rPr>
        <sz val="11"/>
        <color theme="1"/>
        <rFont val="Calibri"/>
        <family val="2"/>
        <scheme val="minor"/>
      </rPr>
      <t xml:space="preserve"> or knockdown of </t>
    </r>
    <r>
      <rPr>
        <b/>
        <sz val="11"/>
        <color theme="1"/>
        <rFont val="Calibri"/>
        <family val="2"/>
        <scheme val="minor"/>
      </rPr>
      <t>MCM8</t>
    </r>
    <r>
      <rPr>
        <sz val="11"/>
        <color theme="1"/>
        <rFont val="Calibri"/>
        <family val="2"/>
        <scheme val="minor"/>
      </rPr>
      <t xml:space="preserve"> selectively hypersensitized transformed cells to </t>
    </r>
    <r>
      <rPr>
        <b/>
        <sz val="11"/>
        <color theme="1"/>
        <rFont val="Calibri"/>
        <family val="2"/>
        <scheme val="minor"/>
      </rPr>
      <t>cisplatin</t>
    </r>
    <r>
      <rPr>
        <sz val="11"/>
        <color theme="1"/>
        <rFont val="Calibri"/>
        <family val="2"/>
        <scheme val="minor"/>
      </rPr>
      <t xml:space="preserve"> and olaparib. </t>
    </r>
    <r>
      <rPr>
        <b/>
        <sz val="11"/>
        <color theme="1"/>
        <rFont val="Calibri"/>
        <family val="2"/>
        <scheme val="minor"/>
      </rPr>
      <t>2)</t>
    </r>
    <r>
      <rPr>
        <sz val="11"/>
        <color theme="1"/>
        <rFont val="Calibri"/>
        <family val="2"/>
        <scheme val="minor"/>
      </rPr>
      <t xml:space="preserve"> knocking out </t>
    </r>
    <r>
      <rPr>
        <b/>
        <sz val="11"/>
        <color theme="1"/>
        <rFont val="Calibri"/>
        <family val="2"/>
        <scheme val="minor"/>
      </rPr>
      <t>MCM9</t>
    </r>
    <r>
      <rPr>
        <sz val="11"/>
        <color theme="1"/>
        <rFont val="Calibri"/>
        <family val="2"/>
        <scheme val="minor"/>
      </rPr>
      <t xml:space="preserve"> increased the sensitivity of HCT116 xenograft tumors to cisplatin. </t>
    </r>
    <r>
      <rPr>
        <b/>
        <sz val="11"/>
        <color theme="1"/>
        <rFont val="Calibri"/>
        <family val="2"/>
        <scheme val="minor"/>
      </rPr>
      <t xml:space="preserve">3) </t>
    </r>
    <r>
      <rPr>
        <sz val="11"/>
        <color theme="1"/>
        <rFont val="Calibri"/>
        <family val="2"/>
        <scheme val="minor"/>
      </rPr>
      <t xml:space="preserve">MCM8 and MCM9 proteins are rapidly recruited to DNA damage sites and promote </t>
    </r>
    <r>
      <rPr>
        <b/>
        <sz val="11"/>
        <color theme="1"/>
        <rFont val="Calibri"/>
        <family val="2"/>
        <scheme val="minor"/>
      </rPr>
      <t>RAD51</t>
    </r>
    <r>
      <rPr>
        <sz val="11"/>
        <color theme="1"/>
        <rFont val="Calibri"/>
        <family val="2"/>
        <scheme val="minor"/>
      </rPr>
      <t xml:space="preserve"> recruitment. </t>
    </r>
    <r>
      <rPr>
        <b/>
        <sz val="11"/>
        <color theme="1"/>
        <rFont val="Calibri"/>
        <family val="2"/>
        <scheme val="minor"/>
      </rPr>
      <t xml:space="preserve">4) </t>
    </r>
    <r>
      <rPr>
        <sz val="11"/>
        <color theme="1"/>
        <rFont val="Calibri"/>
        <family val="2"/>
        <scheme val="minor"/>
      </rPr>
      <t xml:space="preserve">MCM8-9 is required for DNA resection by </t>
    </r>
    <r>
      <rPr>
        <b/>
        <sz val="11"/>
        <color theme="1"/>
        <rFont val="Calibri"/>
        <family val="2"/>
        <scheme val="minor"/>
      </rPr>
      <t>MRN</t>
    </r>
    <r>
      <rPr>
        <sz val="11"/>
        <color theme="1"/>
        <rFont val="Calibri"/>
        <family val="2"/>
        <scheme val="minor"/>
      </rPr>
      <t xml:space="preserve"> (MRE11-RAD50-NBS1) at DSBs to generate ssDNA. MCM8-9 interacts with MRN and is required for the nuclease activity and stable association of MRN with DSBs. The ATPase motifs of MCM8-9 are required for recruitment of MRE11 to foci of DNA damage. </t>
    </r>
    <r>
      <rPr>
        <b/>
        <sz val="11"/>
        <color theme="1"/>
        <rFont val="Calibri"/>
        <family val="2"/>
        <scheme val="minor"/>
      </rPr>
      <t xml:space="preserve">5) </t>
    </r>
    <r>
      <rPr>
        <sz val="11"/>
        <color theme="1"/>
        <rFont val="Calibri"/>
        <family val="2"/>
        <scheme val="minor"/>
      </rPr>
      <t xml:space="preserve">Homozygous deletion of the MCM9 found in various cancers sensitizes a cancer cell line to interstrand-crosslinking (ICL) agents. A cancer-derived point mutation or an SNP on MCM8 associated with premature ovarian failure (POF) diminishes the functional activity of MCM8. </t>
    </r>
  </si>
  <si>
    <r>
      <rPr>
        <b/>
        <sz val="11"/>
        <color theme="1"/>
        <rFont val="Calibri"/>
        <family val="2"/>
        <scheme val="minor"/>
      </rPr>
      <t>1)</t>
    </r>
    <r>
      <rPr>
        <sz val="11"/>
        <color theme="1"/>
        <rFont val="Calibri"/>
        <family val="2"/>
        <scheme val="minor"/>
      </rPr>
      <t xml:space="preserve"> </t>
    </r>
    <r>
      <rPr>
        <b/>
        <sz val="11"/>
        <color theme="1"/>
        <rFont val="Calibri"/>
        <family val="2"/>
        <scheme val="minor"/>
      </rPr>
      <t xml:space="preserve">cisplatin-resistant </t>
    </r>
    <r>
      <rPr>
        <sz val="11"/>
        <color theme="1"/>
        <rFont val="Calibri"/>
        <family val="2"/>
        <scheme val="minor"/>
      </rPr>
      <t>2780CP/Cl-16</t>
    </r>
    <r>
      <rPr>
        <b/>
        <sz val="11"/>
        <color theme="1"/>
        <rFont val="Calibri"/>
        <family val="2"/>
        <scheme val="minor"/>
      </rPr>
      <t xml:space="preserve"> ovarian</t>
    </r>
    <r>
      <rPr>
        <sz val="11"/>
        <color theme="1"/>
        <rFont val="Calibri"/>
        <family val="2"/>
        <scheme val="minor"/>
      </rPr>
      <t xml:space="preserve"> tumor cells expressed a heterozygous, temperature-sensitive </t>
    </r>
    <r>
      <rPr>
        <b/>
        <sz val="11"/>
        <color theme="1"/>
        <rFont val="Calibri"/>
        <family val="2"/>
        <scheme val="minor"/>
      </rPr>
      <t>p53(V172F)</t>
    </r>
    <r>
      <rPr>
        <sz val="11"/>
        <color theme="1"/>
        <rFont val="Calibri"/>
        <family val="2"/>
        <scheme val="minor"/>
      </rPr>
      <t xml:space="preserve"> mutation, which reduced p53 half-life by two- to threefold compared with homozygous wild-type (wt) p53 in parental A2780 cells. </t>
    </r>
    <r>
      <rPr>
        <b/>
        <sz val="11"/>
        <color theme="1"/>
        <rFont val="Calibri"/>
        <family val="2"/>
        <scheme val="minor"/>
      </rPr>
      <t>2)</t>
    </r>
    <r>
      <rPr>
        <sz val="11"/>
        <color theme="1"/>
        <rFont val="Calibri"/>
        <family val="2"/>
        <scheme val="minor"/>
      </rPr>
      <t xml:space="preserve"> Although reduced p53 stability in 2780CP/Cl-16 cells was associated with moderate cellular</t>
    </r>
    <r>
      <rPr>
        <b/>
        <sz val="11"/>
        <color theme="1"/>
        <rFont val="Calibri"/>
        <family val="2"/>
        <scheme val="minor"/>
      </rPr>
      <t xml:space="preserve"> overexpression of MDM2 or MDM4</t>
    </r>
    <r>
      <rPr>
        <sz val="11"/>
        <color theme="1"/>
        <rFont val="Calibri"/>
        <family val="2"/>
        <scheme val="minor"/>
      </rPr>
      <t xml:space="preserve"> (&lt;1.5-fold), their binding to p53 was substantially enhanced (five- to eightfold). </t>
    </r>
    <r>
      <rPr>
        <b/>
        <sz val="11"/>
        <color theme="1"/>
        <rFont val="Calibri"/>
        <family val="2"/>
        <scheme val="minor"/>
      </rPr>
      <t xml:space="preserve">3) </t>
    </r>
    <r>
      <rPr>
        <sz val="11"/>
        <color theme="1"/>
        <rFont val="Calibri"/>
        <family val="2"/>
        <scheme val="minor"/>
      </rPr>
      <t xml:space="preserve">downregulation of MDM2 or MDM4 by small interfering RNA in either resistant cell line induced p53 and restored p21 transactivation at 37 °C, as did </t>
    </r>
    <r>
      <rPr>
        <b/>
        <sz val="11"/>
        <color theme="1"/>
        <rFont val="Calibri"/>
        <family val="2"/>
        <scheme val="minor"/>
      </rPr>
      <t>cisplatin</t>
    </r>
    <r>
      <rPr>
        <sz val="11"/>
        <color theme="1"/>
        <rFont val="Calibri"/>
        <family val="2"/>
        <scheme val="minor"/>
      </rPr>
      <t xml:space="preserve">-induced DNA damage at 32.5 °C that coincided with reduced p53-MDM4 binding and cisplatin resistance. </t>
    </r>
    <r>
      <rPr>
        <b/>
        <sz val="11"/>
        <color theme="1"/>
        <rFont val="Calibri"/>
        <family val="2"/>
        <scheme val="minor"/>
      </rPr>
      <t xml:space="preserve">4) </t>
    </r>
    <r>
      <rPr>
        <sz val="11"/>
        <color theme="1"/>
        <rFont val="Calibri"/>
        <family val="2"/>
        <scheme val="minor"/>
      </rPr>
      <t xml:space="preserve">Fifty-four percent and 33% of cases stained positive for p53 and mdm2, respectively. </t>
    </r>
    <r>
      <rPr>
        <b/>
        <sz val="11"/>
        <color theme="1"/>
        <rFont val="Calibri"/>
        <family val="2"/>
        <scheme val="minor"/>
      </rPr>
      <t xml:space="preserve">5) </t>
    </r>
    <r>
      <rPr>
        <sz val="11"/>
        <color theme="1"/>
        <rFont val="Calibri"/>
        <family val="2"/>
        <scheme val="minor"/>
      </rPr>
      <t xml:space="preserve">mdm2 expression predicted of </t>
    </r>
    <r>
      <rPr>
        <b/>
        <sz val="11"/>
        <color theme="1"/>
        <rFont val="Calibri"/>
        <family val="2"/>
        <scheme val="minor"/>
      </rPr>
      <t>chemosensitivity</t>
    </r>
    <r>
      <rPr>
        <sz val="11"/>
        <color theme="1"/>
        <rFont val="Calibri"/>
        <family val="2"/>
        <scheme val="minor"/>
      </rPr>
      <t xml:space="preserve"> and it was related with higher grade but not with other clinicopathological variables.</t>
    </r>
    <r>
      <rPr>
        <b/>
        <sz val="11"/>
        <color theme="1"/>
        <rFont val="Calibri"/>
        <family val="2"/>
        <scheme val="minor"/>
      </rPr>
      <t xml:space="preserve"> 6)</t>
    </r>
    <r>
      <rPr>
        <sz val="11"/>
        <color theme="1"/>
        <rFont val="Calibri"/>
        <family val="2"/>
        <scheme val="minor"/>
      </rPr>
      <t xml:space="preserve"> Significantly poorer survival was seen for those with p53 (P &lt; 0.05) or mdm2 (P &lt; 0.01) positive tumors than those with negative p53 or mdm2 staining. </t>
    </r>
    <r>
      <rPr>
        <b/>
        <sz val="11"/>
        <color theme="1"/>
        <rFont val="Calibri"/>
        <family val="2"/>
        <scheme val="minor"/>
      </rPr>
      <t xml:space="preserve">7) </t>
    </r>
    <r>
      <rPr>
        <sz val="11"/>
        <color theme="1"/>
        <rFont val="Calibri"/>
        <family val="2"/>
        <scheme val="minor"/>
      </rPr>
      <t xml:space="preserve">Coexpression of p53 and mdm2 was also related to poor outcome (P &lt; 0.05). </t>
    </r>
  </si>
  <si>
    <r>
      <rPr>
        <b/>
        <sz val="11"/>
        <color theme="1"/>
        <rFont val="Calibri"/>
        <family val="2"/>
        <scheme val="minor"/>
      </rPr>
      <t xml:space="preserve">1) </t>
    </r>
    <r>
      <rPr>
        <sz val="11"/>
        <color theme="1"/>
        <rFont val="Calibri"/>
        <family val="2"/>
        <scheme val="minor"/>
      </rPr>
      <t xml:space="preserve">As MDM2. </t>
    </r>
    <r>
      <rPr>
        <b/>
        <sz val="11"/>
        <color theme="1"/>
        <rFont val="Calibri"/>
        <family val="2"/>
        <scheme val="minor"/>
      </rPr>
      <t xml:space="preserve">2) </t>
    </r>
    <r>
      <rPr>
        <sz val="11"/>
        <color theme="1"/>
        <rFont val="Calibri"/>
        <family val="2"/>
        <scheme val="minor"/>
      </rPr>
      <t xml:space="preserve">FL‐MDM4 and S‐MDM4 overexpression are indicators of p53 aberrations in CLL patients, suggesting that those patients have a poor prognosis. </t>
    </r>
  </si>
  <si>
    <r>
      <rPr>
        <b/>
        <sz val="11"/>
        <color theme="1"/>
        <rFont val="Calibri"/>
        <family val="2"/>
        <scheme val="minor"/>
      </rPr>
      <t xml:space="preserve">1) </t>
    </r>
    <r>
      <rPr>
        <sz val="11"/>
        <color theme="1"/>
        <rFont val="Calibri"/>
        <family val="2"/>
        <scheme val="minor"/>
      </rPr>
      <t xml:space="preserve">AS FAU. </t>
    </r>
    <r>
      <rPr>
        <b/>
        <sz val="11"/>
        <color theme="1"/>
        <rFont val="Calibri"/>
        <family val="2"/>
        <scheme val="minor"/>
      </rPr>
      <t xml:space="preserve">2) </t>
    </r>
    <r>
      <rPr>
        <sz val="11"/>
        <color theme="1"/>
        <rFont val="Calibri"/>
        <family val="2"/>
        <scheme val="minor"/>
      </rPr>
      <t xml:space="preserve">Elevated MELK expression was correlated with histological grading (n=6 data sets, p&lt;0.05) and poor progression-free survival (HR 5.73, p&lt;0.01) in </t>
    </r>
    <r>
      <rPr>
        <b/>
        <sz val="11"/>
        <color theme="1"/>
        <rFont val="Calibri"/>
        <family val="2"/>
        <scheme val="minor"/>
      </rPr>
      <t>OC</t>
    </r>
    <r>
      <rPr>
        <sz val="11"/>
        <color theme="1"/>
        <rFont val="Calibri"/>
        <family val="2"/>
        <scheme val="minor"/>
      </rPr>
      <t xml:space="preserve"> patients and elevated MELK expression in other cancers with disease-free survival (n=3495, HR 1.071, p&lt;0.001). </t>
    </r>
    <r>
      <rPr>
        <b/>
        <sz val="11"/>
        <color theme="1"/>
        <rFont val="Calibri"/>
        <family val="2"/>
        <scheme val="minor"/>
      </rPr>
      <t xml:space="preserve">3) </t>
    </r>
    <r>
      <rPr>
        <sz val="11"/>
        <color theme="1"/>
        <rFont val="Calibri"/>
        <family val="2"/>
        <scheme val="minor"/>
      </rPr>
      <t xml:space="preserve">Inhibition or depletion of MELK reduced cell proliferation and anchorage-dependent and -independent growth in various OC cell lines through a G2/M cell cycle arrest, eventually resulting in apoptosis. </t>
    </r>
    <r>
      <rPr>
        <b/>
        <sz val="11"/>
        <color theme="1"/>
        <rFont val="Calibri"/>
        <family val="2"/>
        <scheme val="minor"/>
      </rPr>
      <t>4)</t>
    </r>
    <r>
      <rPr>
        <sz val="11"/>
        <color theme="1"/>
        <rFont val="Calibri"/>
        <family val="2"/>
        <scheme val="minor"/>
      </rPr>
      <t xml:space="preserve"> OTSSP167 retained its cytotoxicity in</t>
    </r>
    <r>
      <rPr>
        <b/>
        <sz val="11"/>
        <color theme="1"/>
        <rFont val="Calibri"/>
        <family val="2"/>
        <scheme val="minor"/>
      </rPr>
      <t xml:space="preserve"> Cisplatin</t>
    </r>
    <r>
      <rPr>
        <sz val="11"/>
        <color theme="1"/>
        <rFont val="Calibri"/>
        <family val="2"/>
        <scheme val="minor"/>
      </rPr>
      <t xml:space="preserve">- and Paclitaxel-resistant IGROV1 and TYK-nu OC cells and sensitized OVCAR8 cells to </t>
    </r>
    <r>
      <rPr>
        <b/>
        <sz val="11"/>
        <color theme="1"/>
        <rFont val="Calibri"/>
        <family val="2"/>
        <scheme val="minor"/>
      </rPr>
      <t xml:space="preserve">Carboplatin </t>
    </r>
    <r>
      <rPr>
        <sz val="11"/>
        <color theme="1"/>
        <rFont val="Calibri"/>
        <family val="2"/>
        <scheme val="minor"/>
      </rPr>
      <t>but not Paclitaxel.</t>
    </r>
  </si>
  <si>
    <r>
      <rPr>
        <b/>
        <sz val="11"/>
        <color theme="1"/>
        <rFont val="Calibri"/>
        <family val="2"/>
        <scheme val="minor"/>
      </rPr>
      <t xml:space="preserve">1) </t>
    </r>
    <r>
      <rPr>
        <sz val="11"/>
        <color theme="1"/>
        <rFont val="Calibri"/>
        <family val="2"/>
        <scheme val="minor"/>
      </rPr>
      <t xml:space="preserve">Among 157 successfully genotyped SNPs, 9 and 10 SNPs were top SNPs associated with </t>
    </r>
    <r>
      <rPr>
        <b/>
        <sz val="11"/>
        <color theme="1"/>
        <rFont val="Calibri"/>
        <family val="2"/>
        <scheme val="minor"/>
      </rPr>
      <t>OS</t>
    </r>
    <r>
      <rPr>
        <sz val="11"/>
        <color theme="1"/>
        <rFont val="Calibri"/>
        <family val="2"/>
        <scheme val="minor"/>
      </rPr>
      <t xml:space="preserve"> for patients with </t>
    </r>
    <r>
      <rPr>
        <b/>
        <sz val="11"/>
        <color theme="1"/>
        <rFont val="Calibri"/>
        <family val="2"/>
        <scheme val="minor"/>
      </rPr>
      <t>NSCLC</t>
    </r>
    <r>
      <rPr>
        <sz val="11"/>
        <color theme="1"/>
        <rFont val="Calibri"/>
        <family val="2"/>
        <scheme val="minor"/>
      </rPr>
      <t xml:space="preserve"> and </t>
    </r>
    <r>
      <rPr>
        <b/>
        <sz val="11"/>
        <color theme="1"/>
        <rFont val="Calibri"/>
        <family val="2"/>
        <scheme val="minor"/>
      </rPr>
      <t>SCLC</t>
    </r>
    <r>
      <rPr>
        <sz val="11"/>
        <color theme="1"/>
        <rFont val="Calibri"/>
        <family val="2"/>
        <scheme val="minor"/>
      </rPr>
      <t xml:space="preserve">, respectively, although they were not significant after adjusting for multiple testing. </t>
    </r>
    <r>
      <rPr>
        <b/>
        <sz val="11"/>
        <color theme="1"/>
        <rFont val="Calibri"/>
        <family val="2"/>
        <scheme val="minor"/>
      </rPr>
      <t>2)</t>
    </r>
    <r>
      <rPr>
        <sz val="11"/>
        <color theme="1"/>
        <rFont val="Calibri"/>
        <family val="2"/>
        <scheme val="minor"/>
      </rPr>
      <t xml:space="preserve"> Fifteen genes, including 7 located within 200 kb up or downstream of the 4 top SNPs and 8 genes for which expression was correlated with 3 SNPs in LCLs were selected for siRNA screening. </t>
    </r>
    <r>
      <rPr>
        <b/>
        <sz val="11"/>
        <color theme="1"/>
        <rFont val="Calibri"/>
        <family val="2"/>
        <scheme val="minor"/>
      </rPr>
      <t>3)</t>
    </r>
    <r>
      <rPr>
        <sz val="11"/>
        <color theme="1"/>
        <rFont val="Calibri"/>
        <family val="2"/>
        <scheme val="minor"/>
      </rPr>
      <t xml:space="preserve"> Knockdown of </t>
    </r>
    <r>
      <rPr>
        <b/>
        <sz val="11"/>
        <color theme="1"/>
        <rFont val="Calibri"/>
        <family val="2"/>
        <scheme val="minor"/>
      </rPr>
      <t>DAPK3</t>
    </r>
    <r>
      <rPr>
        <sz val="11"/>
        <color theme="1"/>
        <rFont val="Calibri"/>
        <family val="2"/>
        <scheme val="minor"/>
      </rPr>
      <t xml:space="preserve"> and </t>
    </r>
    <r>
      <rPr>
        <b/>
        <sz val="11"/>
        <color theme="1"/>
        <rFont val="Calibri"/>
        <family val="2"/>
        <scheme val="minor"/>
      </rPr>
      <t>METTL6</t>
    </r>
    <r>
      <rPr>
        <sz val="11"/>
        <color theme="1"/>
        <rFont val="Calibri"/>
        <family val="2"/>
        <scheme val="minor"/>
      </rPr>
      <t>, for which expression levels were correlated with the rs11169748 and rs2440915 SNPs, significantly decreased cisplatin sensitivity in lung cancer cells.</t>
    </r>
  </si>
  <si>
    <r>
      <rPr>
        <b/>
        <sz val="11"/>
        <color theme="1"/>
        <rFont val="Calibri"/>
        <family val="2"/>
        <scheme val="minor"/>
      </rPr>
      <t xml:space="preserve">1) </t>
    </r>
    <r>
      <rPr>
        <sz val="11"/>
        <color theme="1"/>
        <rFont val="Calibri"/>
        <family val="2"/>
        <scheme val="minor"/>
      </rPr>
      <t xml:space="preserve">This Pt-drug resistance feature was associated with increased expression and altered N-linked glycosylation of ATP binding cassette transporters MRP1 and MRP4. </t>
    </r>
    <r>
      <rPr>
        <b/>
        <sz val="11"/>
        <color theme="1"/>
        <rFont val="Calibri"/>
        <family val="2"/>
        <scheme val="minor"/>
      </rPr>
      <t xml:space="preserve">2) </t>
    </r>
    <r>
      <rPr>
        <sz val="11"/>
        <color theme="1"/>
        <rFont val="Calibri"/>
        <family val="2"/>
        <scheme val="minor"/>
      </rPr>
      <t xml:space="preserve">Pre-treatment with tunicamycin, which inhibits the biosynthesis of N-linked oligosaccharides, results in Pt-resistance in sensitive cells and increased the electrophoretic mobility of MRP1 and MRP4, reproducing the association between decreased glycosylation of MRP1 and MRP4 and decreased Pt accumulation observed in the resistant Ovarian IGROV-1/OHP cells. </t>
    </r>
    <r>
      <rPr>
        <b/>
        <sz val="11"/>
        <color theme="1"/>
        <rFont val="Calibri"/>
        <family val="2"/>
        <scheme val="minor"/>
      </rPr>
      <t xml:space="preserve">3) </t>
    </r>
    <r>
      <rPr>
        <sz val="11"/>
        <color theme="1"/>
        <rFont val="Calibri"/>
        <family val="2"/>
        <scheme val="minor"/>
      </rPr>
      <t xml:space="preserve">The observed N-glycosylation defect of Pt-resistant cells was linked to reduced levels of N-acetylglucosamine-1-phosphotransferase (GNPTG) and mannosyl (alpha-1,6-)-glycoprotein beta-1,6-N-acetyl-glucosaminyltransferase (MGAT5).  </t>
    </r>
  </si>
  <si>
    <r>
      <rPr>
        <b/>
        <sz val="11"/>
        <color theme="1"/>
        <rFont val="Calibri"/>
        <family val="2"/>
        <scheme val="minor"/>
      </rPr>
      <t>1) cisplatin</t>
    </r>
    <r>
      <rPr>
        <sz val="11"/>
        <color theme="1"/>
        <rFont val="Calibri"/>
        <family val="2"/>
        <scheme val="minor"/>
      </rPr>
      <t xml:space="preserve"> resistance was the property of only CD10−/ALDH− CSCs. </t>
    </r>
    <r>
      <rPr>
        <b/>
        <sz val="11"/>
        <color theme="1"/>
        <rFont val="Calibri"/>
        <family val="2"/>
        <scheme val="minor"/>
      </rPr>
      <t xml:space="preserve">2) </t>
    </r>
    <r>
      <rPr>
        <sz val="11"/>
        <color theme="1"/>
        <rFont val="Calibri"/>
        <family val="2"/>
        <scheme val="minor"/>
      </rPr>
      <t xml:space="preserve">Molecular analysis indicated that </t>
    </r>
    <r>
      <rPr>
        <b/>
        <sz val="11"/>
        <color theme="1"/>
        <rFont val="Calibri"/>
        <family val="2"/>
        <scheme val="minor"/>
      </rPr>
      <t xml:space="preserve">cisplatin resistance </t>
    </r>
    <r>
      <rPr>
        <sz val="11"/>
        <color theme="1"/>
        <rFont val="Calibri"/>
        <family val="2"/>
        <scheme val="minor"/>
      </rPr>
      <t xml:space="preserve">is associated with inherent- and adaptive-specific drug efflux and DNA-damage repair mechanisms. </t>
    </r>
    <r>
      <rPr>
        <b/>
        <sz val="11"/>
        <color theme="1"/>
        <rFont val="Calibri"/>
        <family val="2"/>
        <scheme val="minor"/>
      </rPr>
      <t xml:space="preserve">2) </t>
    </r>
    <r>
      <rPr>
        <sz val="11"/>
        <color theme="1"/>
        <rFont val="Calibri"/>
        <family val="2"/>
        <scheme val="minor"/>
      </rPr>
      <t xml:space="preserve">Clinically, low </t>
    </r>
    <r>
      <rPr>
        <b/>
        <sz val="11"/>
        <color theme="1"/>
        <rFont val="Calibri"/>
        <family val="2"/>
        <scheme val="minor"/>
      </rPr>
      <t>CD10</t>
    </r>
    <r>
      <rPr>
        <sz val="11"/>
        <color theme="1"/>
        <rFont val="Calibri"/>
        <family val="2"/>
        <scheme val="minor"/>
      </rPr>
      <t xml:space="preserve"> expression was consistent with a specific set of ovarian cancer patient samples. </t>
    </r>
  </si>
  <si>
    <r>
      <rPr>
        <b/>
        <sz val="11"/>
        <color theme="1"/>
        <rFont val="Calibri"/>
        <family val="2"/>
        <scheme val="minor"/>
      </rPr>
      <t xml:space="preserve">1) </t>
    </r>
    <r>
      <rPr>
        <sz val="11"/>
        <color theme="1"/>
        <rFont val="Calibri"/>
        <family val="2"/>
        <scheme val="minor"/>
      </rPr>
      <t xml:space="preserve">MMP10 is expressed in CSCs/CICs of EOC. </t>
    </r>
    <r>
      <rPr>
        <b/>
        <sz val="11"/>
        <color theme="1"/>
        <rFont val="Calibri"/>
        <family val="2"/>
        <scheme val="minor"/>
      </rPr>
      <t xml:space="preserve">2) </t>
    </r>
    <r>
      <rPr>
        <sz val="11"/>
        <color theme="1"/>
        <rFont val="Calibri"/>
        <family val="2"/>
        <scheme val="minor"/>
      </rPr>
      <t xml:space="preserve">a high expression level of MMP10 is a marker for poor prognosis and platinum resistance in multivariate analysis. </t>
    </r>
    <r>
      <rPr>
        <b/>
        <sz val="11"/>
        <color theme="1"/>
        <rFont val="Calibri"/>
        <family val="2"/>
        <scheme val="minor"/>
      </rPr>
      <t xml:space="preserve">3) </t>
    </r>
    <r>
      <rPr>
        <sz val="11"/>
        <color theme="1"/>
        <rFont val="Calibri"/>
        <family val="2"/>
        <scheme val="minor"/>
      </rPr>
      <t xml:space="preserve">MMP10 gene overexpression experiments and MMP10 gene knockdown experiments using siRNAs revealed that MMP10 has a role in the maintenance of CSCs/CICs in EOC and resistance to platinum reagent. </t>
    </r>
    <r>
      <rPr>
        <b/>
        <sz val="11"/>
        <color theme="1"/>
        <rFont val="Calibri"/>
        <family val="2"/>
        <scheme val="minor"/>
      </rPr>
      <t xml:space="preserve">4) </t>
    </r>
    <r>
      <rPr>
        <sz val="11"/>
        <color theme="1"/>
        <rFont val="Calibri"/>
        <family val="2"/>
        <scheme val="minor"/>
      </rPr>
      <t xml:space="preserve">MMP10 activate canonical Wnt signaling by inhibiting noncanonical Wnt signaling ligand Wnt5a. </t>
    </r>
  </si>
  <si>
    <r>
      <rPr>
        <b/>
        <sz val="11"/>
        <color theme="1"/>
        <rFont val="Calibri"/>
        <family val="2"/>
        <scheme val="minor"/>
      </rPr>
      <t>1)</t>
    </r>
    <r>
      <rPr>
        <sz val="11"/>
        <color theme="1"/>
        <rFont val="Calibri"/>
        <family val="2"/>
        <scheme val="minor"/>
      </rPr>
      <t xml:space="preserve"> knockdown of </t>
    </r>
    <r>
      <rPr>
        <b/>
        <sz val="11"/>
        <color theme="1"/>
        <rFont val="Calibri"/>
        <family val="2"/>
        <scheme val="minor"/>
      </rPr>
      <t>MMP-19</t>
    </r>
    <r>
      <rPr>
        <sz val="11"/>
        <color theme="1"/>
        <rFont val="Calibri"/>
        <family val="2"/>
        <scheme val="minor"/>
      </rPr>
      <t xml:space="preserve"> significantly increased sensitivities of OC cell lines Skov3 and Cov362 to </t>
    </r>
    <r>
      <rPr>
        <b/>
        <sz val="11"/>
        <color theme="1"/>
        <rFont val="Calibri"/>
        <family val="2"/>
        <scheme val="minor"/>
      </rPr>
      <t>Carboplatin</t>
    </r>
    <r>
      <rPr>
        <sz val="11"/>
        <color theme="1"/>
        <rFont val="Calibri"/>
        <family val="2"/>
        <scheme val="minor"/>
      </rPr>
      <t>. </t>
    </r>
    <r>
      <rPr>
        <b/>
        <sz val="11"/>
        <color theme="1"/>
        <rFont val="Calibri"/>
        <family val="2"/>
        <scheme val="minor"/>
      </rPr>
      <t>2) MMP-19</t>
    </r>
    <r>
      <rPr>
        <sz val="11"/>
        <color theme="1"/>
        <rFont val="Calibri"/>
        <family val="2"/>
        <scheme val="minor"/>
      </rPr>
      <t xml:space="preserve"> and </t>
    </r>
    <r>
      <rPr>
        <b/>
        <sz val="11"/>
        <color theme="1"/>
        <rFont val="Calibri"/>
        <family val="2"/>
        <scheme val="minor"/>
      </rPr>
      <t>MMP-20</t>
    </r>
    <r>
      <rPr>
        <sz val="11"/>
        <color theme="1"/>
        <rFont val="Calibri"/>
        <family val="2"/>
        <scheme val="minor"/>
      </rPr>
      <t xml:space="preserve"> high expression are related to at least some kind of anti-cancer drug resistances in </t>
    </r>
    <r>
      <rPr>
        <b/>
        <sz val="11"/>
        <color theme="1"/>
        <rFont val="Calibri"/>
        <family val="2"/>
        <scheme val="minor"/>
      </rPr>
      <t>OC</t>
    </r>
    <r>
      <rPr>
        <sz val="11"/>
        <color theme="1"/>
        <rFont val="Calibri"/>
        <family val="2"/>
        <scheme val="minor"/>
      </rPr>
      <t xml:space="preserve"> patients.  </t>
    </r>
    <r>
      <rPr>
        <b/>
        <sz val="11"/>
        <color theme="1"/>
        <rFont val="Calibri"/>
        <family val="2"/>
        <scheme val="minor"/>
      </rPr>
      <t xml:space="preserve">3) </t>
    </r>
    <r>
      <rPr>
        <sz val="11"/>
        <color theme="1"/>
        <rFont val="Calibri"/>
        <family val="2"/>
        <scheme val="minor"/>
      </rPr>
      <t>high expressions of MMP-19 as well as MMP-20 predicted poor outcome, drug resistance and cancer invasion in OC patients.</t>
    </r>
  </si>
  <si>
    <r>
      <rPr>
        <b/>
        <sz val="11"/>
        <color theme="1"/>
        <rFont val="Calibri"/>
        <family val="2"/>
        <scheme val="minor"/>
      </rPr>
      <t>1)</t>
    </r>
    <r>
      <rPr>
        <sz val="11"/>
        <color theme="1"/>
        <rFont val="Calibri"/>
        <family val="2"/>
        <scheme val="minor"/>
      </rPr>
      <t xml:space="preserve"> Anti-invasive properties of cisPt associated with decrease in </t>
    </r>
    <r>
      <rPr>
        <b/>
        <sz val="11"/>
        <color theme="1"/>
        <rFont val="Calibri"/>
        <family val="2"/>
        <scheme val="minor"/>
      </rPr>
      <t>MMP-2</t>
    </r>
    <r>
      <rPr>
        <sz val="11"/>
        <color theme="1"/>
        <rFont val="Calibri"/>
        <family val="2"/>
        <scheme val="minor"/>
      </rPr>
      <t xml:space="preserve"> activity;</t>
    </r>
    <r>
      <rPr>
        <b/>
        <sz val="11"/>
        <color theme="1"/>
        <rFont val="Calibri"/>
        <family val="2"/>
        <scheme val="minor"/>
      </rPr>
      <t xml:space="preserve"> </t>
    </r>
    <r>
      <rPr>
        <sz val="11"/>
        <color theme="1"/>
        <rFont val="Calibri"/>
        <family val="2"/>
        <scheme val="minor"/>
      </rPr>
      <t xml:space="preserve"> Cells incubated with increasing cisPt concentrations showed dose- and time-dependent decrease of the MMP-2 protein and activity. </t>
    </r>
    <r>
      <rPr>
        <b/>
        <sz val="11"/>
        <color theme="1"/>
        <rFont val="Calibri"/>
        <family val="2"/>
        <scheme val="minor"/>
      </rPr>
      <t>2)</t>
    </r>
    <r>
      <rPr>
        <sz val="11"/>
        <color theme="1"/>
        <rFont val="Calibri"/>
        <family val="2"/>
        <scheme val="minor"/>
      </rPr>
      <t xml:space="preserve"> Of 1,065 </t>
    </r>
    <r>
      <rPr>
        <b/>
        <sz val="11"/>
        <color theme="1"/>
        <rFont val="Calibri"/>
        <family val="2"/>
        <scheme val="minor"/>
      </rPr>
      <t>gastric</t>
    </r>
    <r>
      <rPr>
        <sz val="11"/>
        <color theme="1"/>
        <rFont val="Calibri"/>
        <family val="2"/>
        <scheme val="minor"/>
      </rPr>
      <t xml:space="preserve"> carcinoma samples, higher expression of </t>
    </r>
    <r>
      <rPr>
        <b/>
        <sz val="11"/>
        <color theme="1"/>
        <rFont val="Calibri"/>
        <family val="2"/>
        <scheme val="minor"/>
      </rPr>
      <t>MMP2</t>
    </r>
    <r>
      <rPr>
        <sz val="11"/>
        <color theme="1"/>
        <rFont val="Calibri"/>
        <family val="2"/>
        <scheme val="minor"/>
      </rPr>
      <t xml:space="preserve"> (HR = 1.78, p = 2.6E-09) were predictive for poor OS. </t>
    </r>
    <r>
      <rPr>
        <b/>
        <sz val="11"/>
        <color theme="1"/>
        <rFont val="Calibri"/>
        <family val="2"/>
        <scheme val="minor"/>
      </rPr>
      <t>3)</t>
    </r>
    <r>
      <rPr>
        <sz val="11"/>
        <color theme="1"/>
        <rFont val="Calibri"/>
        <family val="2"/>
        <scheme val="minor"/>
      </rPr>
      <t xml:space="preserve"> </t>
    </r>
    <r>
      <rPr>
        <b/>
        <sz val="11"/>
        <color theme="1"/>
        <rFont val="Calibri"/>
        <family val="2"/>
        <scheme val="minor"/>
      </rPr>
      <t>MMP2</t>
    </r>
    <r>
      <rPr>
        <sz val="11"/>
        <color theme="1"/>
        <rFont val="Calibri"/>
        <family val="2"/>
        <scheme val="minor"/>
      </rPr>
      <t xml:space="preserve"> knockdown significantly decreased the proliferation and increased the apoptosis of HepG2 and Huh7 cells. Co-treatment with si-MMP2 and </t>
    </r>
    <r>
      <rPr>
        <b/>
        <sz val="11"/>
        <color theme="1"/>
        <rFont val="Calibri"/>
        <family val="2"/>
        <scheme val="minor"/>
      </rPr>
      <t>cisplatin</t>
    </r>
    <r>
      <rPr>
        <sz val="11"/>
        <color theme="1"/>
        <rFont val="Calibri"/>
        <family val="2"/>
        <scheme val="minor"/>
      </rPr>
      <t xml:space="preserve"> significantly increased the sensitivity of HepG2 and Huh7 cells to </t>
    </r>
    <r>
      <rPr>
        <b/>
        <sz val="11"/>
        <color theme="1"/>
        <rFont val="Calibri"/>
        <family val="2"/>
        <scheme val="minor"/>
      </rPr>
      <t>cisplatin</t>
    </r>
    <r>
      <rPr>
        <sz val="11"/>
        <color theme="1"/>
        <rFont val="Calibri"/>
        <family val="2"/>
        <scheme val="minor"/>
      </rPr>
      <t>.</t>
    </r>
  </si>
  <si>
    <r>
      <rPr>
        <b/>
        <sz val="11"/>
        <color theme="1"/>
        <rFont val="Calibri"/>
        <family val="2"/>
        <scheme val="minor"/>
      </rPr>
      <t xml:space="preserve">1) </t>
    </r>
    <r>
      <rPr>
        <sz val="11"/>
        <color theme="1"/>
        <rFont val="Calibri"/>
        <family val="2"/>
        <scheme val="minor"/>
      </rPr>
      <t xml:space="preserve">knockdown of </t>
    </r>
    <r>
      <rPr>
        <b/>
        <sz val="11"/>
        <color theme="1"/>
        <rFont val="Calibri"/>
        <family val="2"/>
        <scheme val="minor"/>
      </rPr>
      <t>MMP-20</t>
    </r>
    <r>
      <rPr>
        <sz val="11"/>
        <color theme="1"/>
        <rFont val="Calibri"/>
        <family val="2"/>
        <scheme val="minor"/>
      </rPr>
      <t xml:space="preserve"> significantly increased sensitivities of </t>
    </r>
    <r>
      <rPr>
        <b/>
        <sz val="11"/>
        <color theme="1"/>
        <rFont val="Calibri"/>
        <family val="2"/>
        <scheme val="minor"/>
      </rPr>
      <t>OC</t>
    </r>
    <r>
      <rPr>
        <sz val="11"/>
        <color theme="1"/>
        <rFont val="Calibri"/>
        <family val="2"/>
        <scheme val="minor"/>
      </rPr>
      <t xml:space="preserve"> cell line Cov362 to </t>
    </r>
    <r>
      <rPr>
        <b/>
        <sz val="11"/>
        <color theme="1"/>
        <rFont val="Calibri"/>
        <family val="2"/>
        <scheme val="minor"/>
      </rPr>
      <t>Carboplatin</t>
    </r>
    <r>
      <rPr>
        <sz val="11"/>
        <color theme="1"/>
        <rFont val="Calibri"/>
        <family val="2"/>
        <scheme val="minor"/>
      </rPr>
      <t xml:space="preserve">. </t>
    </r>
    <r>
      <rPr>
        <b/>
        <sz val="11"/>
        <color theme="1"/>
        <rFont val="Calibri"/>
        <family val="2"/>
        <scheme val="minor"/>
      </rPr>
      <t>2) MMP-19</t>
    </r>
    <r>
      <rPr>
        <sz val="11"/>
        <color theme="1"/>
        <rFont val="Calibri"/>
        <family val="2"/>
        <scheme val="minor"/>
      </rPr>
      <t xml:space="preserve"> and </t>
    </r>
    <r>
      <rPr>
        <b/>
        <sz val="11"/>
        <color theme="1"/>
        <rFont val="Calibri"/>
        <family val="2"/>
        <scheme val="minor"/>
      </rPr>
      <t>MMP-20</t>
    </r>
    <r>
      <rPr>
        <sz val="11"/>
        <color theme="1"/>
        <rFont val="Calibri"/>
        <family val="2"/>
        <scheme val="minor"/>
      </rPr>
      <t xml:space="preserve"> high expression are related to at least some kind of anti-cancer drug resistances in </t>
    </r>
    <r>
      <rPr>
        <b/>
        <sz val="11"/>
        <color theme="1"/>
        <rFont val="Calibri"/>
        <family val="2"/>
        <scheme val="minor"/>
      </rPr>
      <t>OC</t>
    </r>
    <r>
      <rPr>
        <sz val="11"/>
        <color theme="1"/>
        <rFont val="Calibri"/>
        <family val="2"/>
        <scheme val="minor"/>
      </rPr>
      <t xml:space="preserve"> patients. </t>
    </r>
    <r>
      <rPr>
        <b/>
        <sz val="11"/>
        <color theme="1"/>
        <rFont val="Calibri"/>
        <family val="2"/>
        <scheme val="minor"/>
      </rPr>
      <t xml:space="preserve">3) </t>
    </r>
    <r>
      <rPr>
        <sz val="11"/>
        <color theme="1"/>
        <rFont val="Calibri"/>
        <family val="2"/>
        <scheme val="minor"/>
      </rPr>
      <t>high expressions of MMP-19 as well as MMP-20 predicted poor outcome, drug resistance and cancer invasion in OC patients.</t>
    </r>
  </si>
  <si>
    <r>
      <rPr>
        <b/>
        <sz val="11"/>
        <color theme="1"/>
        <rFont val="Calibri"/>
        <family val="2"/>
        <scheme val="minor"/>
      </rPr>
      <t>1) MMP-7</t>
    </r>
    <r>
      <rPr>
        <sz val="11"/>
        <color theme="1"/>
        <rFont val="Calibri"/>
        <family val="2"/>
        <scheme val="minor"/>
      </rPr>
      <t xml:space="preserve"> was shown to be involved in</t>
    </r>
    <r>
      <rPr>
        <b/>
        <sz val="11"/>
        <color theme="1"/>
        <rFont val="Calibri"/>
        <family val="2"/>
        <scheme val="minor"/>
      </rPr>
      <t xml:space="preserve"> cisplatin</t>
    </r>
    <r>
      <rPr>
        <sz val="11"/>
        <color theme="1"/>
        <rFont val="Calibri"/>
        <family val="2"/>
        <scheme val="minor"/>
      </rPr>
      <t xml:space="preserve"> resistance. </t>
    </r>
    <r>
      <rPr>
        <b/>
        <sz val="11"/>
        <color theme="1"/>
        <rFont val="Calibri"/>
        <family val="2"/>
        <scheme val="minor"/>
      </rPr>
      <t>2)</t>
    </r>
    <r>
      <rPr>
        <sz val="11"/>
        <color theme="1"/>
        <rFont val="Calibri"/>
        <family val="2"/>
        <scheme val="minor"/>
      </rPr>
      <t xml:space="preserve"> tissue and circulating MMP-7 levels were evaluated in 124 </t>
    </r>
    <r>
      <rPr>
        <b/>
        <sz val="11"/>
        <color theme="1"/>
        <rFont val="Calibri"/>
        <family val="2"/>
        <scheme val="minor"/>
      </rPr>
      <t>bladder</t>
    </r>
    <r>
      <rPr>
        <sz val="11"/>
        <color theme="1"/>
        <rFont val="Calibri"/>
        <family val="2"/>
        <scheme val="minor"/>
      </rPr>
      <t xml:space="preserve"> cancer patients who received postoperative </t>
    </r>
    <r>
      <rPr>
        <b/>
        <sz val="11"/>
        <color theme="1"/>
        <rFont val="Calibri"/>
        <family val="2"/>
        <scheme val="minor"/>
      </rPr>
      <t>platinum</t>
    </r>
    <r>
      <rPr>
        <sz val="11"/>
        <color theme="1"/>
        <rFont val="Calibri"/>
        <family val="2"/>
        <scheme val="minor"/>
      </rPr>
      <t xml:space="preserve">-based chemotherapy. </t>
    </r>
    <r>
      <rPr>
        <b/>
        <sz val="11"/>
        <color theme="1"/>
        <rFont val="Calibri"/>
        <family val="2"/>
        <scheme val="minor"/>
      </rPr>
      <t>3)</t>
    </r>
    <r>
      <rPr>
        <sz val="11"/>
        <color theme="1"/>
        <rFont val="Calibri"/>
        <family val="2"/>
        <scheme val="minor"/>
      </rPr>
      <t xml:space="preserve"> Tissue MMP-7 levels were analyzed by immunohistochemistry in 72 formalin-fixed, paraffin-embedded chemo-naïve tumor samples, while MMP-7 serum concentrations were determined in 132 serum samples of an independent cohort of 52 patients. </t>
    </r>
    <r>
      <rPr>
        <b/>
        <sz val="11"/>
        <color theme="1"/>
        <rFont val="Calibri"/>
        <family val="2"/>
        <scheme val="minor"/>
      </rPr>
      <t>4)</t>
    </r>
    <r>
      <rPr>
        <sz val="11"/>
        <color theme="1"/>
        <rFont val="Calibri"/>
        <family val="2"/>
        <scheme val="minor"/>
      </rPr>
      <t xml:space="preserve"> </t>
    </r>
    <r>
      <rPr>
        <b/>
        <sz val="11"/>
        <color theme="1"/>
        <rFont val="Calibri"/>
        <family val="2"/>
        <scheme val="minor"/>
      </rPr>
      <t>MMP-7</t>
    </r>
    <r>
      <rPr>
        <sz val="11"/>
        <color theme="1"/>
        <rFont val="Calibri"/>
        <family val="2"/>
        <scheme val="minor"/>
      </rPr>
      <t xml:space="preserve"> tissue and serum levels were correlated with clinicopathological and follow-up data. MMP-7 gene expression was determined by RT-qPCR in 20 urothelial cancer cell lines and two non-malignant urothelial cell lines. </t>
    </r>
    <r>
      <rPr>
        <b/>
        <sz val="11"/>
        <color theme="1"/>
        <rFont val="Calibri"/>
        <family val="2"/>
        <scheme val="minor"/>
      </rPr>
      <t xml:space="preserve">5) </t>
    </r>
    <r>
      <rPr>
        <sz val="11"/>
        <color theme="1"/>
        <rFont val="Calibri"/>
        <family val="2"/>
        <scheme val="minor"/>
      </rPr>
      <t xml:space="preserve">MMP-7 was overexpressed in RT-112 and T-24 cells by stable transfection, to assess its functional involvement in platinum sensitivity. </t>
    </r>
    <r>
      <rPr>
        <b/>
        <sz val="11"/>
        <color theme="1"/>
        <rFont val="Calibri"/>
        <family val="2"/>
        <scheme val="minor"/>
      </rPr>
      <t>6)</t>
    </r>
    <r>
      <rPr>
        <sz val="11"/>
        <color theme="1"/>
        <rFont val="Calibri"/>
        <family val="2"/>
        <scheme val="minor"/>
      </rPr>
      <t xml:space="preserve"> High MMP-7 tissue expression and pretreatment serum concentrations were independently associated with poor overall survival (tissue HR = 2.296, 95%CI = 1.235–4.268 and p = 0.009; serum HR = 2.743, 95%CI = 1.258–5.984 and p = 0.011).</t>
    </r>
  </si>
  <si>
    <r>
      <rPr>
        <b/>
        <sz val="11"/>
        <color theme="1"/>
        <rFont val="Calibri"/>
        <family val="2"/>
        <scheme val="minor"/>
      </rPr>
      <t xml:space="preserve">1) </t>
    </r>
    <r>
      <rPr>
        <sz val="11"/>
        <color theme="1"/>
        <rFont val="Calibri"/>
        <family val="2"/>
        <scheme val="minor"/>
      </rPr>
      <t xml:space="preserve">enhanced mRNA expression of CD44, </t>
    </r>
    <r>
      <rPr>
        <b/>
        <sz val="11"/>
        <color theme="1"/>
        <rFont val="Calibri"/>
        <family val="2"/>
        <scheme val="minor"/>
      </rPr>
      <t>MMP9</t>
    </r>
    <r>
      <rPr>
        <sz val="11"/>
        <color theme="1"/>
        <rFont val="Calibri"/>
        <family val="2"/>
        <scheme val="minor"/>
      </rPr>
      <t xml:space="preserve"> and Oct4 was observed in the separate adherent (AD) population of ChemoResistant (CR) ovarian cancer patients. </t>
    </r>
    <r>
      <rPr>
        <b/>
        <sz val="11"/>
        <color theme="1"/>
        <rFont val="Calibri"/>
        <family val="2"/>
        <scheme val="minor"/>
      </rPr>
      <t xml:space="preserve">2) </t>
    </r>
    <r>
      <rPr>
        <sz val="11"/>
        <color theme="1"/>
        <rFont val="Calibri"/>
        <family val="2"/>
        <scheme val="minor"/>
      </rPr>
      <t xml:space="preserve"> Genes with a fold change &gt;4, upregulated in recurrent compared to primary tumors included: Septin 6, ZNF218, S100A8,</t>
    </r>
    <r>
      <rPr>
        <b/>
        <sz val="11"/>
        <color theme="1"/>
        <rFont val="Calibri"/>
        <family val="2"/>
        <scheme val="minor"/>
      </rPr>
      <t xml:space="preserve"> MMP9</t>
    </r>
    <r>
      <rPr>
        <sz val="11"/>
        <color theme="1"/>
        <rFont val="Calibri"/>
        <family val="2"/>
        <scheme val="minor"/>
      </rPr>
      <t xml:space="preserve">, FOXF1 and ILIR2. </t>
    </r>
    <r>
      <rPr>
        <b/>
        <sz val="11"/>
        <color theme="1"/>
        <rFont val="Calibri"/>
        <family val="2"/>
        <scheme val="minor"/>
      </rPr>
      <t xml:space="preserve">3) </t>
    </r>
    <r>
      <rPr>
        <sz val="11"/>
        <color theme="1"/>
        <rFont val="Calibri"/>
        <family val="2"/>
        <scheme val="minor"/>
      </rPr>
      <t xml:space="preserve">Co-incubation of cisplatin and an MMP-9/MMP-2 inhibitor resulted in significantly greater cytotoxicity as compared to either treatment alone in a cisplatin resistant MMP-9 overexpressing cell line; A2780cis. </t>
    </r>
    <r>
      <rPr>
        <b/>
        <sz val="11"/>
        <color theme="1"/>
        <rFont val="Calibri"/>
        <family val="2"/>
        <scheme val="minor"/>
      </rPr>
      <t>4)</t>
    </r>
    <r>
      <rPr>
        <sz val="11"/>
        <color theme="1"/>
        <rFont val="Calibri"/>
        <family val="2"/>
        <scheme val="minor"/>
      </rPr>
      <t xml:space="preserve"> pre-incubating with MMP-9i prior to cisplatin further enhances the cytotoxic effect. </t>
    </r>
    <r>
      <rPr>
        <b/>
        <sz val="11"/>
        <color theme="1"/>
        <rFont val="Calibri"/>
        <family val="2"/>
        <scheme val="minor"/>
      </rPr>
      <t xml:space="preserve">5) </t>
    </r>
    <r>
      <rPr>
        <sz val="11"/>
        <color theme="1"/>
        <rFont val="Calibri"/>
        <family val="2"/>
        <scheme val="minor"/>
      </rPr>
      <t xml:space="preserve">MMP9 mRNA and protein levels were significantly reduced in CDDP-treated cells compared to untreated ovarian CICs. </t>
    </r>
  </si>
  <si>
    <r>
      <rPr>
        <b/>
        <sz val="11"/>
        <color theme="1"/>
        <rFont val="Calibri"/>
        <family val="2"/>
        <scheme val="minor"/>
      </rPr>
      <t>1)</t>
    </r>
    <r>
      <rPr>
        <sz val="11"/>
        <color theme="1"/>
        <rFont val="Calibri"/>
        <family val="2"/>
        <scheme val="minor"/>
      </rPr>
      <t xml:space="preserve"> the HECT (homologous to the E6-AP carboxyl terminus) family E3 ubiquitin ligase, UBR5, as a novel ubiquitin ligase for </t>
    </r>
    <r>
      <rPr>
        <b/>
        <sz val="11"/>
        <color theme="1"/>
        <rFont val="Calibri"/>
        <family val="2"/>
        <scheme val="minor"/>
      </rPr>
      <t>MOAP-1</t>
    </r>
    <r>
      <rPr>
        <sz val="11"/>
        <color theme="1"/>
        <rFont val="Calibri"/>
        <family val="2"/>
        <scheme val="minor"/>
      </rPr>
      <t xml:space="preserve">. </t>
    </r>
    <r>
      <rPr>
        <b/>
        <sz val="11"/>
        <color theme="1"/>
        <rFont val="Calibri"/>
        <family val="2"/>
        <scheme val="minor"/>
      </rPr>
      <t xml:space="preserve">2) </t>
    </r>
    <r>
      <rPr>
        <sz val="11"/>
        <color theme="1"/>
        <rFont val="Calibri"/>
        <family val="2"/>
        <scheme val="minor"/>
      </rPr>
      <t xml:space="preserve">UBR5 interacts physically with MOAP-1, ubiquitylates MOAP-1 in vitro and inhibits MOAP-1 stability in cultured cells. </t>
    </r>
    <r>
      <rPr>
        <b/>
        <sz val="11"/>
        <color theme="1"/>
        <rFont val="Calibri"/>
        <family val="2"/>
        <scheme val="minor"/>
      </rPr>
      <t xml:space="preserve">3) </t>
    </r>
    <r>
      <rPr>
        <sz val="11"/>
        <color theme="1"/>
        <rFont val="Calibri"/>
        <family val="2"/>
        <scheme val="minor"/>
      </rPr>
      <t>Dyrk2 kinase, a reported UBR5 interactor, cooperates with UBR5 in mediating MOAP-1 ubiquitylation.</t>
    </r>
    <r>
      <rPr>
        <b/>
        <sz val="11"/>
        <color theme="1"/>
        <rFont val="Calibri"/>
        <family val="2"/>
        <scheme val="minor"/>
      </rPr>
      <t>4) cisplatin</t>
    </r>
    <r>
      <rPr>
        <sz val="11"/>
        <color theme="1"/>
        <rFont val="Calibri"/>
        <family val="2"/>
        <scheme val="minor"/>
      </rPr>
      <t xml:space="preserve">-resistant ovarian cancer cell lines exhibit lower levels of MOAP-1 accumulation than their sensitive counterparts upon cisplatin treatment, consistent with the previously reported role of MOAP-1 in modulating cisplatin-induced apoptosis. </t>
    </r>
    <r>
      <rPr>
        <b/>
        <sz val="11"/>
        <color theme="1"/>
        <rFont val="Calibri"/>
        <family val="2"/>
        <scheme val="minor"/>
      </rPr>
      <t>5)</t>
    </r>
    <r>
      <rPr>
        <sz val="11"/>
        <color theme="1"/>
        <rFont val="Calibri"/>
        <family val="2"/>
        <scheme val="minor"/>
      </rPr>
      <t xml:space="preserve"> UBR5 knockdown increased MOAP-1 expression, enhanced Bax activation and sensitized otherwise resistant cells to cisplatin-induced apoptosis. </t>
    </r>
    <r>
      <rPr>
        <b/>
        <sz val="11"/>
        <color theme="1"/>
        <rFont val="Calibri"/>
        <family val="2"/>
        <scheme val="minor"/>
      </rPr>
      <t xml:space="preserve">6) </t>
    </r>
    <r>
      <rPr>
        <sz val="11"/>
        <color theme="1"/>
        <rFont val="Calibri"/>
        <family val="2"/>
        <scheme val="minor"/>
      </rPr>
      <t xml:space="preserve">UBR5 expression was higher in </t>
    </r>
    <r>
      <rPr>
        <b/>
        <sz val="11"/>
        <color theme="1"/>
        <rFont val="Calibri"/>
        <family val="2"/>
        <scheme val="minor"/>
      </rPr>
      <t>ovarian</t>
    </r>
    <r>
      <rPr>
        <sz val="11"/>
        <color theme="1"/>
        <rFont val="Calibri"/>
        <family val="2"/>
        <scheme val="minor"/>
      </rPr>
      <t xml:space="preserve"> cancers from cisplatin-resistant patients than from cisplatin-responsive patients. </t>
    </r>
  </si>
  <si>
    <r>
      <rPr>
        <b/>
        <sz val="11"/>
        <color theme="1"/>
        <rFont val="Calibri"/>
        <family val="2"/>
        <scheme val="minor"/>
      </rPr>
      <t>1) cisplatin</t>
    </r>
    <r>
      <rPr>
        <sz val="11"/>
        <color theme="1"/>
        <rFont val="Calibri"/>
        <family val="2"/>
        <scheme val="minor"/>
      </rPr>
      <t xml:space="preserve"> induced p53, XPC and XPA and suppressed </t>
    </r>
    <r>
      <rPr>
        <b/>
        <sz val="11"/>
        <color theme="1"/>
        <rFont val="Calibri"/>
        <family val="2"/>
        <scheme val="minor"/>
      </rPr>
      <t>MSH2</t>
    </r>
    <r>
      <rPr>
        <sz val="11"/>
        <color theme="1"/>
        <rFont val="Calibri"/>
        <family val="2"/>
        <scheme val="minor"/>
      </rPr>
      <t xml:space="preserve"> consistent with resistant phenotype. </t>
    </r>
    <r>
      <rPr>
        <b/>
        <sz val="11"/>
        <color theme="1"/>
        <rFont val="Calibri"/>
        <family val="2"/>
        <scheme val="minor"/>
      </rPr>
      <t>2) MSH2</t>
    </r>
    <r>
      <rPr>
        <sz val="11"/>
        <color theme="1"/>
        <rFont val="Calibri"/>
        <family val="2"/>
        <scheme val="minor"/>
      </rPr>
      <t xml:space="preserve"> missense mutations that were identified in tumors or as polymorphic variations can cause increased cisplatin tolerance independent of an initial mutator phenotype. </t>
    </r>
    <r>
      <rPr>
        <b/>
        <sz val="11"/>
        <color theme="1"/>
        <rFont val="Calibri"/>
        <family val="2"/>
        <scheme val="minor"/>
      </rPr>
      <t xml:space="preserve">3) </t>
    </r>
    <r>
      <rPr>
        <sz val="11"/>
        <color theme="1"/>
        <rFont val="Calibri"/>
        <family val="2"/>
        <scheme val="minor"/>
      </rPr>
      <t xml:space="preserve">Mismatch repair (MMR) deficiency gives rise to cisplatin resistance and can lead to poor prognosis in cancers. </t>
    </r>
  </si>
  <si>
    <r>
      <rPr>
        <b/>
        <sz val="11"/>
        <color theme="1"/>
        <rFont val="Calibri"/>
        <family val="2"/>
        <scheme val="minor"/>
      </rPr>
      <t xml:space="preserve">1) </t>
    </r>
    <r>
      <rPr>
        <sz val="11"/>
        <color theme="1"/>
        <rFont val="Calibri"/>
        <family val="2"/>
        <scheme val="minor"/>
      </rPr>
      <t xml:space="preserve">Silencing MSH3 expression enhances cisplatin sensitivity of human tongue cancer cells. </t>
    </r>
    <r>
      <rPr>
        <b/>
        <sz val="11"/>
        <color theme="1"/>
        <rFont val="Calibri"/>
        <family val="2"/>
        <scheme val="minor"/>
      </rPr>
      <t>2)</t>
    </r>
    <r>
      <rPr>
        <sz val="11"/>
        <color theme="1"/>
        <rFont val="Calibri"/>
        <family val="2"/>
        <scheme val="minor"/>
      </rPr>
      <t xml:space="preserve"> shRNA knockdown of MSH3 sensitized cells to both cisplatin and oxaliplatin at clinically relevant doses. </t>
    </r>
    <r>
      <rPr>
        <b/>
        <sz val="11"/>
        <color theme="1"/>
        <rFont val="Calibri"/>
        <family val="2"/>
        <scheme val="minor"/>
      </rPr>
      <t xml:space="preserve">3) </t>
    </r>
    <r>
      <rPr>
        <sz val="11"/>
        <color theme="1"/>
        <rFont val="Calibri"/>
        <family val="2"/>
        <scheme val="minor"/>
      </rPr>
      <t xml:space="preserve">MSH3-deficient cells maintained higher levels of phosphorylated histone H2AX and 53BP1 after oxaliplatin treatment in comparison with MSH3-proficient cells, suggesting that MSH3 plays an important role in repairing DNA double strand breaks (DSBs). </t>
    </r>
    <r>
      <rPr>
        <b/>
        <sz val="11"/>
        <color theme="1"/>
        <rFont val="Calibri"/>
        <family val="2"/>
        <scheme val="minor"/>
      </rPr>
      <t>4)</t>
    </r>
    <r>
      <rPr>
        <sz val="11"/>
        <color theme="1"/>
        <rFont val="Calibri"/>
        <family val="2"/>
        <scheme val="minor"/>
      </rPr>
      <t xml:space="preserve"> This role of MSH3 was further supported by our findings that MSH3-deficient cells were sensitive to olaparib, a poly(ADP-ribose) polymerase inhibitor. </t>
    </r>
    <r>
      <rPr>
        <b/>
        <sz val="11"/>
        <color theme="1"/>
        <rFont val="Calibri"/>
        <family val="2"/>
        <scheme val="minor"/>
      </rPr>
      <t>5)</t>
    </r>
    <r>
      <rPr>
        <sz val="11"/>
        <color theme="1"/>
        <rFont val="Calibri"/>
        <family val="2"/>
        <scheme val="minor"/>
      </rPr>
      <t xml:space="preserve"> A statistically significant association was observed between the polymorphism rs26279 (Ala1054Thr) and sensitivity to platinum-based chemotherapy (P = 0.014) in a total of 180 patients with advanced </t>
    </r>
    <r>
      <rPr>
        <b/>
        <sz val="11"/>
        <color theme="1"/>
        <rFont val="Calibri"/>
        <family val="2"/>
        <scheme val="minor"/>
      </rPr>
      <t>NSCLC</t>
    </r>
    <r>
      <rPr>
        <sz val="11"/>
        <color theme="1"/>
        <rFont val="Calibri"/>
        <family val="2"/>
        <scheme val="minor"/>
      </rPr>
      <t xml:space="preserve">. </t>
    </r>
  </si>
  <si>
    <r>
      <rPr>
        <b/>
        <sz val="11"/>
        <color theme="1"/>
        <rFont val="Calibri"/>
        <family val="2"/>
        <scheme val="minor"/>
      </rPr>
      <t>1)</t>
    </r>
    <r>
      <rPr>
        <sz val="11"/>
        <color theme="1"/>
        <rFont val="Calibri"/>
        <family val="2"/>
        <scheme val="minor"/>
      </rPr>
      <t xml:space="preserve"> MSH5 undergoes </t>
    </r>
    <r>
      <rPr>
        <b/>
        <sz val="11"/>
        <color theme="1"/>
        <rFont val="Calibri"/>
        <family val="2"/>
        <scheme val="minor"/>
      </rPr>
      <t>cisplatin</t>
    </r>
    <r>
      <rPr>
        <sz val="11"/>
        <color theme="1"/>
        <rFont val="Calibri"/>
        <family val="2"/>
        <scheme val="minor"/>
      </rPr>
      <t xml:space="preserve">-elicited protein induction and tyrosine phosphorylation in </t>
    </r>
    <r>
      <rPr>
        <b/>
        <sz val="11"/>
        <color theme="1"/>
        <rFont val="Calibri"/>
        <family val="2"/>
        <scheme val="minor"/>
      </rPr>
      <t>kidney</t>
    </r>
    <r>
      <rPr>
        <sz val="11"/>
        <color theme="1"/>
        <rFont val="Calibri"/>
        <family val="2"/>
        <scheme val="minor"/>
      </rPr>
      <t xml:space="preserve"> 293 cells and </t>
    </r>
    <r>
      <rPr>
        <b/>
        <sz val="11"/>
        <color theme="1"/>
        <rFont val="Calibri"/>
        <family val="2"/>
        <scheme val="minor"/>
      </rPr>
      <t>lung</t>
    </r>
    <r>
      <rPr>
        <sz val="11"/>
        <color theme="1"/>
        <rFont val="Calibri"/>
        <family val="2"/>
        <scheme val="minor"/>
      </rPr>
      <t xml:space="preserve"> cancer A549 cells. </t>
    </r>
    <r>
      <rPr>
        <b/>
        <sz val="11"/>
        <color theme="1"/>
        <rFont val="Calibri"/>
        <family val="2"/>
        <scheme val="minor"/>
      </rPr>
      <t xml:space="preserve">2) </t>
    </r>
    <r>
      <rPr>
        <sz val="11"/>
        <color theme="1"/>
        <rFont val="Calibri"/>
        <family val="2"/>
        <scheme val="minor"/>
      </rPr>
      <t xml:space="preserve">Silencing of MSH5 by RNAi or expression of hMSH5 phosphorylation-resistant mutant hMSH5Y742F elevates cisplatin-induced G2 arrest and renders cells susceptible to cisplatin toxicity at clinically relevant doses. </t>
    </r>
    <r>
      <rPr>
        <b/>
        <sz val="11"/>
        <color theme="1"/>
        <rFont val="Calibri"/>
        <family val="2"/>
        <scheme val="minor"/>
      </rPr>
      <t>3)</t>
    </r>
    <r>
      <rPr>
        <sz val="11"/>
        <color theme="1"/>
        <rFont val="Calibri"/>
        <family val="2"/>
        <scheme val="minor"/>
      </rPr>
      <t xml:space="preserve"> a possible role for hMSH5 in recombinational repair of cisplatin-triggered double-strand breaks (DSBs). </t>
    </r>
  </si>
  <si>
    <r>
      <rPr>
        <b/>
        <sz val="11"/>
        <color theme="1"/>
        <rFont val="Calibri"/>
        <family val="2"/>
        <scheme val="minor"/>
      </rPr>
      <t>1)</t>
    </r>
    <r>
      <rPr>
        <sz val="11"/>
        <color theme="1"/>
        <rFont val="Calibri"/>
        <family val="2"/>
        <scheme val="minor"/>
      </rPr>
      <t xml:space="preserve"> CpG sites at contiguous genomic locations within the MSX1 gene have significantly lower levels of </t>
    </r>
    <r>
      <rPr>
        <b/>
        <sz val="11"/>
        <color theme="1"/>
        <rFont val="Calibri"/>
        <family val="2"/>
        <scheme val="minor"/>
      </rPr>
      <t>methylatio</t>
    </r>
    <r>
      <rPr>
        <sz val="11"/>
        <color theme="1"/>
        <rFont val="Calibri"/>
        <family val="2"/>
        <scheme val="minor"/>
      </rPr>
      <t xml:space="preserve">n in independent cohorts of </t>
    </r>
    <r>
      <rPr>
        <b/>
        <sz val="11"/>
        <color theme="1"/>
        <rFont val="Calibri"/>
        <family val="2"/>
        <scheme val="minor"/>
      </rPr>
      <t>HGSOC</t>
    </r>
    <r>
      <rPr>
        <sz val="11"/>
        <color theme="1"/>
        <rFont val="Calibri"/>
        <family val="2"/>
        <scheme val="minor"/>
      </rPr>
      <t xml:space="preserve"> patients, which recur by 6 months compared with after 12 months (P &lt; 0.05, q &lt; 0.05, n = 78), have poor RECIST response (P &lt; 0.05, q &lt; 0.05, n = 61), and are associated with PFS in an independent cohort (n = 146). </t>
    </r>
    <r>
      <rPr>
        <b/>
        <sz val="11"/>
        <color theme="1"/>
        <rFont val="Calibri"/>
        <family val="2"/>
        <scheme val="minor"/>
      </rPr>
      <t xml:space="preserve">2) </t>
    </r>
    <r>
      <rPr>
        <sz val="11"/>
        <color theme="1"/>
        <rFont val="Calibri"/>
        <family val="2"/>
        <scheme val="minor"/>
      </rPr>
      <t xml:space="preserve">A decrease in methylation at these CpG sites correlates with decreased MSX1 gene expression. </t>
    </r>
    <r>
      <rPr>
        <b/>
        <sz val="11"/>
        <color theme="1"/>
        <rFont val="Calibri"/>
        <family val="2"/>
        <scheme val="minor"/>
      </rPr>
      <t>3)</t>
    </r>
    <r>
      <rPr>
        <sz val="11"/>
        <color theme="1"/>
        <rFont val="Calibri"/>
        <family val="2"/>
        <scheme val="minor"/>
      </rPr>
      <t xml:space="preserve"> MSX1 expression is associated with PFS (HR, 0.92; 95% CI, 0.85-0.99; P = 0.029; n = 309). </t>
    </r>
    <r>
      <rPr>
        <b/>
        <sz val="11"/>
        <color theme="1"/>
        <rFont val="Calibri"/>
        <family val="2"/>
        <scheme val="minor"/>
      </rPr>
      <t xml:space="preserve">4) </t>
    </r>
    <r>
      <rPr>
        <sz val="11"/>
        <color theme="1"/>
        <rFont val="Calibri"/>
        <family val="2"/>
        <scheme val="minor"/>
      </rPr>
      <t xml:space="preserve">Cisplatin-resistant ovarian cancer cell lines have reduced MSX1 expression, </t>
    </r>
    <r>
      <rPr>
        <b/>
        <sz val="11"/>
        <color theme="1"/>
        <rFont val="Calibri"/>
        <family val="2"/>
        <scheme val="minor"/>
      </rPr>
      <t xml:space="preserve">5) </t>
    </r>
    <r>
      <rPr>
        <sz val="11"/>
        <color theme="1"/>
        <rFont val="Calibri"/>
        <family val="2"/>
        <scheme val="minor"/>
      </rPr>
      <t>MSX1 overexpression leads to cisplatin sensitization, increased apoptosis, and increased cisplatin-induced p21 expression.</t>
    </r>
  </si>
  <si>
    <r>
      <rPr>
        <b/>
        <sz val="11"/>
        <color theme="1"/>
        <rFont val="Calibri"/>
        <family val="2"/>
        <scheme val="minor"/>
      </rPr>
      <t xml:space="preserve">1) </t>
    </r>
    <r>
      <rPr>
        <sz val="11"/>
        <color theme="1"/>
        <rFont val="Calibri"/>
        <family val="2"/>
        <scheme val="minor"/>
      </rPr>
      <t xml:space="preserve">Tumor cell lines with acquired resistance to the antineoplastic agent </t>
    </r>
    <r>
      <rPr>
        <b/>
        <sz val="11"/>
        <color theme="1"/>
        <rFont val="Calibri"/>
        <family val="2"/>
        <scheme val="minor"/>
      </rPr>
      <t xml:space="preserve">cisplatin </t>
    </r>
    <r>
      <rPr>
        <sz val="11"/>
        <color theme="1"/>
        <rFont val="Calibri"/>
        <family val="2"/>
        <scheme val="minor"/>
      </rPr>
      <t xml:space="preserve">overexpressed </t>
    </r>
    <r>
      <rPr>
        <b/>
        <sz val="11"/>
        <color theme="1"/>
        <rFont val="Calibri"/>
        <family val="2"/>
        <scheme val="minor"/>
      </rPr>
      <t>metallothionein</t>
    </r>
    <r>
      <rPr>
        <sz val="11"/>
        <color theme="1"/>
        <rFont val="Calibri"/>
        <family val="2"/>
        <scheme val="minor"/>
      </rPr>
      <t xml:space="preserve"> and demonstrated cross-resistance to alkylating agents such as chlorambucil and melphalan. </t>
    </r>
    <r>
      <rPr>
        <b/>
        <sz val="11"/>
        <color theme="1"/>
        <rFont val="Calibri"/>
        <family val="2"/>
        <scheme val="minor"/>
      </rPr>
      <t>2)</t>
    </r>
    <r>
      <rPr>
        <sz val="11"/>
        <color theme="1"/>
        <rFont val="Calibri"/>
        <family val="2"/>
        <scheme val="minor"/>
      </rPr>
      <t xml:space="preserve"> Human carcinoma cells that maintained high levels of </t>
    </r>
    <r>
      <rPr>
        <b/>
        <sz val="11"/>
        <color theme="1"/>
        <rFont val="Calibri"/>
        <family val="2"/>
        <scheme val="minor"/>
      </rPr>
      <t>metallothionein</t>
    </r>
    <r>
      <rPr>
        <sz val="11"/>
        <color theme="1"/>
        <rFont val="Calibri"/>
        <family val="2"/>
        <scheme val="minor"/>
      </rPr>
      <t xml:space="preserve"> because of chronic exposure to heavy metals were resistant to </t>
    </r>
    <r>
      <rPr>
        <b/>
        <sz val="11"/>
        <color theme="1"/>
        <rFont val="Calibri"/>
        <family val="2"/>
        <scheme val="minor"/>
      </rPr>
      <t>cisplatin</t>
    </r>
    <r>
      <rPr>
        <sz val="11"/>
        <color theme="1"/>
        <rFont val="Calibri"/>
        <family val="2"/>
        <scheme val="minor"/>
      </rPr>
      <t xml:space="preserve">, melphalan, and chlorambucil. </t>
    </r>
    <r>
      <rPr>
        <b/>
        <sz val="11"/>
        <color theme="1"/>
        <rFont val="Calibri"/>
        <family val="2"/>
        <scheme val="minor"/>
      </rPr>
      <t>3)</t>
    </r>
    <r>
      <rPr>
        <sz val="11"/>
        <color theme="1"/>
        <rFont val="Calibri"/>
        <family val="2"/>
        <scheme val="minor"/>
      </rPr>
      <t xml:space="preserve"> Overexpression of </t>
    </r>
    <r>
      <rPr>
        <b/>
        <sz val="11"/>
        <color theme="1"/>
        <rFont val="Calibri"/>
        <family val="2"/>
        <scheme val="minor"/>
      </rPr>
      <t>MT</t>
    </r>
    <r>
      <rPr>
        <sz val="11"/>
        <color theme="1"/>
        <rFont val="Calibri"/>
        <family val="2"/>
        <scheme val="minor"/>
      </rPr>
      <t xml:space="preserve"> in the tumor was found in 70.6% of the patients. </t>
    </r>
    <r>
      <rPr>
        <b/>
        <sz val="11"/>
        <color theme="1"/>
        <rFont val="Calibri"/>
        <family val="2"/>
        <scheme val="minor"/>
      </rPr>
      <t>4)</t>
    </r>
    <r>
      <rPr>
        <sz val="11"/>
        <color theme="1"/>
        <rFont val="Calibri"/>
        <family val="2"/>
        <scheme val="minor"/>
      </rPr>
      <t xml:space="preserve"> Among 43 patients treated with </t>
    </r>
    <r>
      <rPr>
        <b/>
        <sz val="11"/>
        <color theme="1"/>
        <rFont val="Calibri"/>
        <family val="2"/>
        <scheme val="minor"/>
      </rPr>
      <t>cisplatin</t>
    </r>
    <r>
      <rPr>
        <sz val="11"/>
        <color theme="1"/>
        <rFont val="Calibri"/>
        <family val="2"/>
        <scheme val="minor"/>
      </rPr>
      <t xml:space="preserve">, the 5-year survival rate was 56% for MT-negative and 26% for MT-positive patients (p = 0.0277). </t>
    </r>
    <r>
      <rPr>
        <b/>
        <sz val="11"/>
        <color theme="1"/>
        <rFont val="Calibri"/>
        <family val="2"/>
        <scheme val="minor"/>
      </rPr>
      <t>5)</t>
    </r>
    <r>
      <rPr>
        <sz val="11"/>
        <color theme="1"/>
        <rFont val="Calibri"/>
        <family val="2"/>
        <scheme val="minor"/>
      </rPr>
      <t xml:space="preserve"> SNPs in </t>
    </r>
    <r>
      <rPr>
        <b/>
        <sz val="11"/>
        <color theme="1"/>
        <rFont val="Calibri"/>
        <family val="2"/>
        <scheme val="minor"/>
      </rPr>
      <t>ABCC5</t>
    </r>
    <r>
      <rPr>
        <sz val="11"/>
        <color theme="1"/>
        <rFont val="Calibri"/>
        <family val="2"/>
        <scheme val="minor"/>
      </rPr>
      <t xml:space="preserve">, </t>
    </r>
    <r>
      <rPr>
        <b/>
        <sz val="11"/>
        <color theme="1"/>
        <rFont val="Calibri"/>
        <family val="2"/>
        <scheme val="minor"/>
      </rPr>
      <t>MT1A</t>
    </r>
    <r>
      <rPr>
        <sz val="11"/>
        <color theme="1"/>
        <rFont val="Calibri"/>
        <family val="2"/>
        <scheme val="minor"/>
      </rPr>
      <t xml:space="preserve">, and </t>
    </r>
    <r>
      <rPr>
        <b/>
        <sz val="11"/>
        <color theme="1"/>
        <rFont val="Calibri"/>
        <family val="2"/>
        <scheme val="minor"/>
      </rPr>
      <t>NQO1</t>
    </r>
    <r>
      <rPr>
        <sz val="11"/>
        <color theme="1"/>
        <rFont val="Calibri"/>
        <family val="2"/>
        <scheme val="minor"/>
      </rPr>
      <t xml:space="preserve"> were significantly associated with </t>
    </r>
    <r>
      <rPr>
        <b/>
        <sz val="11"/>
        <color theme="1"/>
        <rFont val="Calibri"/>
        <family val="2"/>
        <scheme val="minor"/>
      </rPr>
      <t>oxaliplatin</t>
    </r>
    <r>
      <rPr>
        <sz val="11"/>
        <color theme="1"/>
        <rFont val="Calibri"/>
        <family val="2"/>
        <scheme val="minor"/>
      </rPr>
      <t xml:space="preserve"> drug response. </t>
    </r>
  </si>
  <si>
    <r>
      <rPr>
        <b/>
        <sz val="11"/>
        <color theme="1"/>
        <rFont val="Calibri"/>
        <family val="2"/>
        <scheme val="minor"/>
      </rPr>
      <t xml:space="preserve">1) </t>
    </r>
    <r>
      <rPr>
        <sz val="11"/>
        <color theme="1"/>
        <rFont val="Calibri"/>
        <family val="2"/>
        <scheme val="minor"/>
      </rPr>
      <t xml:space="preserve">Tumor cell lines with acquired resistance to the antineoplastic agent </t>
    </r>
    <r>
      <rPr>
        <b/>
        <sz val="11"/>
        <color theme="1"/>
        <rFont val="Calibri"/>
        <family val="2"/>
        <scheme val="minor"/>
      </rPr>
      <t xml:space="preserve">cisplatin </t>
    </r>
    <r>
      <rPr>
        <sz val="11"/>
        <color theme="1"/>
        <rFont val="Calibri"/>
        <family val="2"/>
        <scheme val="minor"/>
      </rPr>
      <t xml:space="preserve">overexpressed </t>
    </r>
    <r>
      <rPr>
        <b/>
        <sz val="11"/>
        <color theme="1"/>
        <rFont val="Calibri"/>
        <family val="2"/>
        <scheme val="minor"/>
      </rPr>
      <t>metallothionein</t>
    </r>
    <r>
      <rPr>
        <sz val="11"/>
        <color theme="1"/>
        <rFont val="Calibri"/>
        <family val="2"/>
        <scheme val="minor"/>
      </rPr>
      <t xml:space="preserve"> and demonstrated cross-resistance to alkylating agents such as chlorambucil and melphalan. </t>
    </r>
    <r>
      <rPr>
        <b/>
        <sz val="11"/>
        <color theme="1"/>
        <rFont val="Calibri"/>
        <family val="2"/>
        <scheme val="minor"/>
      </rPr>
      <t>2)</t>
    </r>
    <r>
      <rPr>
        <sz val="11"/>
        <color theme="1"/>
        <rFont val="Calibri"/>
        <family val="2"/>
        <scheme val="minor"/>
      </rPr>
      <t xml:space="preserve"> Human carcinoma cells that maintained high levels of </t>
    </r>
    <r>
      <rPr>
        <b/>
        <sz val="11"/>
        <color theme="1"/>
        <rFont val="Calibri"/>
        <family val="2"/>
        <scheme val="minor"/>
      </rPr>
      <t>metallothionein</t>
    </r>
    <r>
      <rPr>
        <sz val="11"/>
        <color theme="1"/>
        <rFont val="Calibri"/>
        <family val="2"/>
        <scheme val="minor"/>
      </rPr>
      <t xml:space="preserve"> because of chronic exposure to heavy metals were resistant to </t>
    </r>
    <r>
      <rPr>
        <b/>
        <sz val="11"/>
        <color theme="1"/>
        <rFont val="Calibri"/>
        <family val="2"/>
        <scheme val="minor"/>
      </rPr>
      <t>cisplatin</t>
    </r>
    <r>
      <rPr>
        <sz val="11"/>
        <color theme="1"/>
        <rFont val="Calibri"/>
        <family val="2"/>
        <scheme val="minor"/>
      </rPr>
      <t xml:space="preserve">, melphalan, and chlorambucil. </t>
    </r>
    <r>
      <rPr>
        <b/>
        <sz val="11"/>
        <color theme="1"/>
        <rFont val="Calibri"/>
        <family val="2"/>
        <scheme val="minor"/>
      </rPr>
      <t>3)</t>
    </r>
    <r>
      <rPr>
        <sz val="11"/>
        <color theme="1"/>
        <rFont val="Calibri"/>
        <family val="2"/>
        <scheme val="minor"/>
      </rPr>
      <t xml:space="preserve"> Overexpression of human </t>
    </r>
    <r>
      <rPr>
        <b/>
        <sz val="11"/>
        <color theme="1"/>
        <rFont val="Calibri"/>
        <family val="2"/>
        <scheme val="minor"/>
      </rPr>
      <t>metallothionein-IIA</t>
    </r>
    <r>
      <rPr>
        <sz val="11"/>
        <color theme="1"/>
        <rFont val="Calibri"/>
        <family val="2"/>
        <scheme val="minor"/>
      </rPr>
      <t xml:space="preserve"> led to resistance to </t>
    </r>
    <r>
      <rPr>
        <b/>
        <sz val="11"/>
        <color theme="1"/>
        <rFont val="Calibri"/>
        <family val="2"/>
        <scheme val="minor"/>
      </rPr>
      <t>cisplatin</t>
    </r>
    <r>
      <rPr>
        <sz val="11"/>
        <color theme="1"/>
        <rFont val="Calibri"/>
        <family val="2"/>
        <scheme val="minor"/>
      </rPr>
      <t xml:space="preserve">, melphalan, and chlorambucil but not to 5-fluorouracil or vincristine.. </t>
    </r>
    <r>
      <rPr>
        <b/>
        <sz val="11"/>
        <color theme="1"/>
        <rFont val="Calibri"/>
        <family val="2"/>
        <scheme val="minor"/>
      </rPr>
      <t>4)</t>
    </r>
    <r>
      <rPr>
        <sz val="11"/>
        <color theme="1"/>
        <rFont val="Calibri"/>
        <family val="2"/>
        <scheme val="minor"/>
      </rPr>
      <t xml:space="preserve"> Overexpression of </t>
    </r>
    <r>
      <rPr>
        <b/>
        <sz val="11"/>
        <color theme="1"/>
        <rFont val="Calibri"/>
        <family val="2"/>
        <scheme val="minor"/>
      </rPr>
      <t>MT</t>
    </r>
    <r>
      <rPr>
        <sz val="11"/>
        <color theme="1"/>
        <rFont val="Calibri"/>
        <family val="2"/>
        <scheme val="minor"/>
      </rPr>
      <t xml:space="preserve"> in the tumor was found in 70.6% of the patients. </t>
    </r>
    <r>
      <rPr>
        <b/>
        <sz val="11"/>
        <color theme="1"/>
        <rFont val="Calibri"/>
        <family val="2"/>
        <scheme val="minor"/>
      </rPr>
      <t>5)</t>
    </r>
    <r>
      <rPr>
        <sz val="11"/>
        <color theme="1"/>
        <rFont val="Calibri"/>
        <family val="2"/>
        <scheme val="minor"/>
      </rPr>
      <t xml:space="preserve"> Among 43 patients treated with </t>
    </r>
    <r>
      <rPr>
        <b/>
        <sz val="11"/>
        <color theme="1"/>
        <rFont val="Calibri"/>
        <family val="2"/>
        <scheme val="minor"/>
      </rPr>
      <t>cisplatin</t>
    </r>
    <r>
      <rPr>
        <sz val="11"/>
        <color theme="1"/>
        <rFont val="Calibri"/>
        <family val="2"/>
        <scheme val="minor"/>
      </rPr>
      <t xml:space="preserve">, the 5-year survival rate was 56% for MT-negative and 26% for MT-positive patients (p = 0.0277). </t>
    </r>
    <r>
      <rPr>
        <b/>
        <sz val="11"/>
        <color theme="1"/>
        <rFont val="Calibri"/>
        <family val="2"/>
        <scheme val="minor"/>
      </rPr>
      <t xml:space="preserve">6) </t>
    </r>
    <r>
      <rPr>
        <sz val="11"/>
        <color theme="1"/>
        <rFont val="Calibri"/>
        <family val="2"/>
        <scheme val="minor"/>
      </rPr>
      <t xml:space="preserve">Knockdown of </t>
    </r>
    <r>
      <rPr>
        <b/>
        <sz val="11"/>
        <color theme="1"/>
        <rFont val="Calibri"/>
        <family val="2"/>
        <scheme val="minor"/>
      </rPr>
      <t>MT2A</t>
    </r>
    <r>
      <rPr>
        <sz val="11"/>
        <color theme="1"/>
        <rFont val="Calibri"/>
        <family val="2"/>
        <scheme val="minor"/>
      </rPr>
      <t xml:space="preserve"> expression levels resulted in significantly induced apoptotic rates during </t>
    </r>
    <r>
      <rPr>
        <b/>
        <sz val="11"/>
        <color theme="1"/>
        <rFont val="Calibri"/>
        <family val="2"/>
        <scheme val="minor"/>
      </rPr>
      <t>cisplatin</t>
    </r>
    <r>
      <rPr>
        <sz val="11"/>
        <color theme="1"/>
        <rFont val="Calibri"/>
        <family val="2"/>
        <scheme val="minor"/>
      </rPr>
      <t xml:space="preserve"> treatment in MPM cell lines. </t>
    </r>
  </si>
  <si>
    <r>
      <rPr>
        <b/>
        <sz val="11"/>
        <color theme="1"/>
        <rFont val="Calibri"/>
        <family val="2"/>
        <scheme val="minor"/>
      </rPr>
      <t xml:space="preserve">1) </t>
    </r>
    <r>
      <rPr>
        <sz val="11"/>
        <color theme="1"/>
        <rFont val="Calibri"/>
        <family val="2"/>
        <scheme val="minor"/>
      </rPr>
      <t>Microarray analysis revealed 51 genes whose mRNA increased by at least 2-fold in PE01</t>
    </r>
    <r>
      <rPr>
        <b/>
        <sz val="11"/>
        <color theme="1"/>
        <rFont val="Calibri"/>
        <family val="2"/>
        <scheme val="minor"/>
      </rPr>
      <t>CDDP</t>
    </r>
    <r>
      <rPr>
        <sz val="11"/>
        <color theme="1"/>
        <rFont val="Calibri"/>
        <family val="2"/>
        <scheme val="minor"/>
      </rPr>
      <t xml:space="preserve"> cells relative to PE01 (including FRA1, ETV4, MCM2, AXL, </t>
    </r>
    <r>
      <rPr>
        <b/>
        <sz val="11"/>
        <color theme="1"/>
        <rFont val="Calibri"/>
        <family val="2"/>
        <scheme val="minor"/>
      </rPr>
      <t>MT3</t>
    </r>
    <r>
      <rPr>
        <sz val="11"/>
        <color theme="1"/>
        <rFont val="Calibri"/>
        <family val="2"/>
        <scheme val="minor"/>
      </rPr>
      <t xml:space="preserve">, TRAP1, and FANCG). </t>
    </r>
    <r>
      <rPr>
        <b/>
        <sz val="11"/>
        <color theme="1"/>
        <rFont val="Calibri"/>
        <family val="2"/>
        <scheme val="minor"/>
      </rPr>
      <t>2)</t>
    </r>
    <r>
      <rPr>
        <sz val="11"/>
        <color theme="1"/>
        <rFont val="Calibri"/>
        <family val="2"/>
        <scheme val="minor"/>
      </rPr>
      <t xml:space="preserve"> the differentiation of PC12 cells into neurons induced </t>
    </r>
    <r>
      <rPr>
        <b/>
        <sz val="11"/>
        <color theme="1"/>
        <rFont val="Calibri"/>
        <family val="2"/>
        <scheme val="minor"/>
      </rPr>
      <t>MT-3</t>
    </r>
    <r>
      <rPr>
        <sz val="11"/>
        <color theme="1"/>
        <rFont val="Calibri"/>
        <family val="2"/>
        <scheme val="minor"/>
      </rPr>
      <t xml:space="preserve"> expression, thereby resulting in intracellular Cu accumulation and </t>
    </r>
    <r>
      <rPr>
        <b/>
        <sz val="11"/>
        <color theme="1"/>
        <rFont val="Calibri"/>
        <family val="2"/>
        <scheme val="minor"/>
      </rPr>
      <t>cisplatin</t>
    </r>
    <r>
      <rPr>
        <sz val="11"/>
        <color theme="1"/>
        <rFont val="Calibri"/>
        <family val="2"/>
        <scheme val="minor"/>
      </rPr>
      <t xml:space="preserve"> resistance. </t>
    </r>
    <r>
      <rPr>
        <b/>
        <sz val="11"/>
        <color theme="1"/>
        <rFont val="Calibri"/>
        <family val="2"/>
        <scheme val="minor"/>
      </rPr>
      <t>3)</t>
    </r>
    <r>
      <rPr>
        <sz val="11"/>
        <color theme="1"/>
        <rFont val="Calibri"/>
        <family val="2"/>
        <scheme val="minor"/>
      </rPr>
      <t xml:space="preserve"> overexpression of </t>
    </r>
    <r>
      <rPr>
        <b/>
        <sz val="11"/>
        <color theme="1"/>
        <rFont val="Calibri"/>
        <family val="2"/>
        <scheme val="minor"/>
      </rPr>
      <t>MT3</t>
    </r>
    <r>
      <rPr>
        <sz val="11"/>
        <color theme="1"/>
        <rFont val="Calibri"/>
        <family val="2"/>
        <scheme val="minor"/>
      </rPr>
      <t xml:space="preserve"> reduced sensitivity of MT-3 transfected cells to </t>
    </r>
    <r>
      <rPr>
        <b/>
        <sz val="11"/>
        <color theme="1"/>
        <rFont val="Calibri"/>
        <family val="2"/>
        <scheme val="minor"/>
      </rPr>
      <t>CDDP</t>
    </r>
    <r>
      <rPr>
        <sz val="11"/>
        <color theme="1"/>
        <rFont val="Calibri"/>
        <family val="2"/>
        <scheme val="minor"/>
      </rPr>
      <t xml:space="preserve">. </t>
    </r>
    <r>
      <rPr>
        <b/>
        <sz val="11"/>
        <color theme="1"/>
        <rFont val="Calibri"/>
        <family val="2"/>
        <scheme val="minor"/>
      </rPr>
      <t>4)</t>
    </r>
    <r>
      <rPr>
        <sz val="11"/>
        <color theme="1"/>
        <rFont val="Calibri"/>
        <family val="2"/>
        <scheme val="minor"/>
      </rPr>
      <t xml:space="preserve"> We confirmed the </t>
    </r>
    <r>
      <rPr>
        <b/>
        <sz val="11"/>
        <color theme="1"/>
        <rFont val="Calibri"/>
        <family val="2"/>
        <scheme val="minor"/>
      </rPr>
      <t>cisplatin</t>
    </r>
    <r>
      <rPr>
        <sz val="11"/>
        <color theme="1"/>
        <rFont val="Calibri"/>
        <family val="2"/>
        <scheme val="minor"/>
      </rPr>
      <t>-</t>
    </r>
    <r>
      <rPr>
        <b/>
        <sz val="11"/>
        <color theme="1"/>
        <rFont val="Calibri"/>
        <family val="2"/>
        <scheme val="minor"/>
      </rPr>
      <t>metallothionein</t>
    </r>
    <r>
      <rPr>
        <sz val="11"/>
        <color theme="1"/>
        <rFont val="Calibri"/>
        <family val="2"/>
        <scheme val="minor"/>
      </rPr>
      <t xml:space="preserve"> complex formation using mass spectrometry. </t>
    </r>
    <r>
      <rPr>
        <b/>
        <sz val="11"/>
        <color theme="1"/>
        <rFont val="Calibri"/>
        <family val="2"/>
        <scheme val="minor"/>
      </rPr>
      <t xml:space="preserve">5) </t>
    </r>
    <r>
      <rPr>
        <sz val="11"/>
        <color theme="1"/>
        <rFont val="Calibri"/>
        <family val="2"/>
        <scheme val="minor"/>
      </rPr>
      <t xml:space="preserve">Overexpression of </t>
    </r>
    <r>
      <rPr>
        <b/>
        <sz val="11"/>
        <color theme="1"/>
        <rFont val="Calibri"/>
        <family val="2"/>
        <scheme val="minor"/>
      </rPr>
      <t>hMT3</t>
    </r>
    <r>
      <rPr>
        <sz val="11"/>
        <color theme="1"/>
        <rFont val="Calibri"/>
        <family val="2"/>
        <scheme val="minor"/>
      </rPr>
      <t xml:space="preserve"> decreased the sensitivity of neuroblastoma UKF-NB-4 cells to </t>
    </r>
    <r>
      <rPr>
        <b/>
        <sz val="11"/>
        <color theme="1"/>
        <rFont val="Calibri"/>
        <family val="2"/>
        <scheme val="minor"/>
      </rPr>
      <t>cisplatin</t>
    </r>
    <r>
      <rPr>
        <sz val="11"/>
        <color theme="1"/>
        <rFont val="Calibri"/>
        <family val="2"/>
        <scheme val="minor"/>
      </rPr>
      <t xml:space="preserve">. </t>
    </r>
    <r>
      <rPr>
        <b/>
        <sz val="11"/>
        <color theme="1"/>
        <rFont val="Calibri"/>
        <family val="2"/>
        <scheme val="minor"/>
      </rPr>
      <t>6) cisplatin</t>
    </r>
    <r>
      <rPr>
        <sz val="11"/>
        <color theme="1"/>
        <rFont val="Calibri"/>
        <family val="2"/>
        <scheme val="minor"/>
      </rPr>
      <t xml:space="preserve">-sensitive human UKF-NB-4 cells remodelled into cisplatin-resistant cells via high and constitutive hMT3 expression in an in vivo model using chick chorioallantoic membrane assay. </t>
    </r>
    <r>
      <rPr>
        <b/>
        <sz val="11"/>
        <color theme="1"/>
        <rFont val="Calibri"/>
        <family val="2"/>
        <scheme val="minor"/>
      </rPr>
      <t xml:space="preserve">7) </t>
    </r>
    <r>
      <rPr>
        <sz val="11"/>
        <color theme="1"/>
        <rFont val="Calibri"/>
        <family val="2"/>
        <scheme val="minor"/>
      </rPr>
      <t xml:space="preserve">several biological pathways related to apoptosis, transport, proteasome, and cellular stress were involved in cisplatin-resistance in hMT3 overexpressing UKF-NB-4 cells. </t>
    </r>
  </si>
  <si>
    <r>
      <rPr>
        <b/>
        <sz val="11"/>
        <color theme="1"/>
        <rFont val="Calibri"/>
        <family val="2"/>
        <scheme val="minor"/>
      </rPr>
      <t xml:space="preserve">1) </t>
    </r>
    <r>
      <rPr>
        <sz val="11"/>
        <color theme="1"/>
        <rFont val="Calibri"/>
        <family val="2"/>
        <scheme val="minor"/>
      </rPr>
      <t xml:space="preserve">Differential microarray analysis identified downregulation of </t>
    </r>
    <r>
      <rPr>
        <b/>
        <sz val="11"/>
        <color theme="1"/>
        <rFont val="Calibri"/>
        <family val="2"/>
        <scheme val="minor"/>
      </rPr>
      <t>mitomiR-5787</t>
    </r>
    <r>
      <rPr>
        <sz val="11"/>
        <color theme="1"/>
        <rFont val="Calibri"/>
        <family val="2"/>
        <scheme val="minor"/>
      </rPr>
      <t xml:space="preserve"> in Cal27-re cells. </t>
    </r>
    <r>
      <rPr>
        <b/>
        <sz val="11"/>
        <color theme="1"/>
        <rFont val="Calibri"/>
        <family val="2"/>
        <scheme val="minor"/>
      </rPr>
      <t>2)</t>
    </r>
    <r>
      <rPr>
        <sz val="11"/>
        <color theme="1"/>
        <rFont val="Calibri"/>
        <family val="2"/>
        <scheme val="minor"/>
      </rPr>
      <t xml:space="preserve"> The sensitivity of </t>
    </r>
    <r>
      <rPr>
        <b/>
        <sz val="11"/>
        <color theme="1"/>
        <rFont val="Calibri"/>
        <family val="2"/>
        <scheme val="minor"/>
      </rPr>
      <t>tongue squamous cell carcinoma (TSCC)</t>
    </r>
    <r>
      <rPr>
        <sz val="11"/>
        <color theme="1"/>
        <rFont val="Calibri"/>
        <family val="2"/>
        <scheme val="minor"/>
      </rPr>
      <t xml:space="preserve"> cells to </t>
    </r>
    <r>
      <rPr>
        <b/>
        <sz val="11"/>
        <color theme="1"/>
        <rFont val="Calibri"/>
        <family val="2"/>
        <scheme val="minor"/>
      </rPr>
      <t>cisplatin</t>
    </r>
    <r>
      <rPr>
        <sz val="11"/>
        <color theme="1"/>
        <rFont val="Calibri"/>
        <family val="2"/>
        <scheme val="minor"/>
      </rPr>
      <t xml:space="preserve"> was regulated by </t>
    </r>
    <r>
      <rPr>
        <b/>
        <sz val="11"/>
        <color theme="1"/>
        <rFont val="Calibri"/>
        <family val="2"/>
        <scheme val="minor"/>
      </rPr>
      <t>miR-5787:</t>
    </r>
    <r>
      <rPr>
        <sz val="11"/>
        <color theme="1"/>
        <rFont val="Calibri"/>
        <family val="2"/>
        <scheme val="minor"/>
      </rPr>
      <t xml:space="preserve"> reduced expression of miR-5787 changed the balance of glucose metabolism by shifting it from </t>
    </r>
    <r>
      <rPr>
        <b/>
        <sz val="11"/>
        <color theme="1"/>
        <rFont val="Calibri"/>
        <family val="2"/>
        <scheme val="minor"/>
      </rPr>
      <t>oxidative phosphorylation</t>
    </r>
    <r>
      <rPr>
        <sz val="11"/>
        <color theme="1"/>
        <rFont val="Calibri"/>
        <family val="2"/>
        <scheme val="minor"/>
      </rPr>
      <t xml:space="preserve"> to </t>
    </r>
    <r>
      <rPr>
        <b/>
        <sz val="11"/>
        <color theme="1"/>
        <rFont val="Calibri"/>
        <family val="2"/>
        <scheme val="minor"/>
      </rPr>
      <t>aerobic glycolysis</t>
    </r>
    <r>
      <rPr>
        <sz val="11"/>
        <color theme="1"/>
        <rFont val="Calibri"/>
        <family val="2"/>
        <scheme val="minor"/>
      </rPr>
      <t xml:space="preserve">. Xenograft experiments in BALB/c-nu mice further verified the in vitro results. </t>
    </r>
    <r>
      <rPr>
        <b/>
        <sz val="11"/>
        <color theme="1"/>
        <rFont val="Calibri"/>
        <family val="2"/>
        <scheme val="minor"/>
      </rPr>
      <t xml:space="preserve">3) </t>
    </r>
    <r>
      <rPr>
        <sz val="11"/>
        <color theme="1"/>
        <rFont val="Calibri"/>
        <family val="2"/>
        <scheme val="minor"/>
      </rPr>
      <t xml:space="preserve">Reduced expression of miR-5787 contributes to chemoresistance in TSCC cells by inhibiting the translation of </t>
    </r>
    <r>
      <rPr>
        <b/>
        <sz val="11"/>
        <color theme="1"/>
        <rFont val="Calibri"/>
        <family val="2"/>
        <scheme val="minor"/>
      </rPr>
      <t>mitochondrial cytochrome c oxidase subunit 3 (MT-CO3)</t>
    </r>
    <r>
      <rPr>
        <sz val="11"/>
        <color theme="1"/>
        <rFont val="Calibri"/>
        <family val="2"/>
        <scheme val="minor"/>
      </rPr>
      <t xml:space="preserve">. </t>
    </r>
    <r>
      <rPr>
        <b/>
        <sz val="11"/>
        <color theme="1"/>
        <rFont val="Calibri"/>
        <family val="2"/>
        <scheme val="minor"/>
      </rPr>
      <t xml:space="preserve">4) </t>
    </r>
    <r>
      <rPr>
        <sz val="11"/>
        <color theme="1"/>
        <rFont val="Calibri"/>
        <family val="2"/>
        <scheme val="minor"/>
      </rPr>
      <t>The prognostic analysis of 126 TSCC patients showed that the patients with low expression of miR-5787 and/or MT-CO3 had poor cisplatin sensitivity and prognosis. </t>
    </r>
  </si>
  <si>
    <r>
      <rPr>
        <b/>
        <sz val="11"/>
        <color theme="1"/>
        <rFont val="Calibri"/>
        <family val="2"/>
        <scheme val="minor"/>
      </rPr>
      <t xml:space="preserve">1) </t>
    </r>
    <r>
      <rPr>
        <sz val="11"/>
        <color theme="1"/>
        <rFont val="Calibri"/>
        <family val="2"/>
        <scheme val="minor"/>
      </rPr>
      <t xml:space="preserve">The frequency and intensity of immunohistochemical AEG-1 expression increased in a step-wise fashion from normal to </t>
    </r>
    <r>
      <rPr>
        <b/>
        <sz val="11"/>
        <color theme="1"/>
        <rFont val="Calibri"/>
        <family val="2"/>
        <scheme val="minor"/>
      </rPr>
      <t>chemosensitive to chemoresistant</t>
    </r>
    <r>
      <rPr>
        <sz val="11"/>
        <color theme="1"/>
        <rFont val="Calibri"/>
        <family val="2"/>
        <scheme val="minor"/>
      </rPr>
      <t xml:space="preserve"> tissues. </t>
    </r>
    <r>
      <rPr>
        <b/>
        <sz val="11"/>
        <color theme="1"/>
        <rFont val="Calibri"/>
        <family val="2"/>
        <scheme val="minor"/>
      </rPr>
      <t>2)</t>
    </r>
    <r>
      <rPr>
        <sz val="11"/>
        <color theme="1"/>
        <rFont val="Calibri"/>
        <family val="2"/>
        <scheme val="minor"/>
      </rPr>
      <t xml:space="preserve"> AEG-1 expression level was correlated with lymph nodal metastasis, histological differentiation, residual tumour size and </t>
    </r>
    <r>
      <rPr>
        <b/>
        <sz val="11"/>
        <color theme="1"/>
        <rFont val="Calibri"/>
        <family val="2"/>
        <scheme val="minor"/>
      </rPr>
      <t>response to primary chemotherapy</t>
    </r>
    <r>
      <rPr>
        <sz val="11"/>
        <color theme="1"/>
        <rFont val="Calibri"/>
        <family val="2"/>
        <scheme val="minor"/>
      </rPr>
      <t xml:space="preserve">. </t>
    </r>
    <r>
      <rPr>
        <b/>
        <sz val="11"/>
        <color theme="1"/>
        <rFont val="Calibri"/>
        <family val="2"/>
        <scheme val="minor"/>
      </rPr>
      <t xml:space="preserve">3) </t>
    </r>
    <r>
      <rPr>
        <sz val="11"/>
        <color theme="1"/>
        <rFont val="Calibri"/>
        <family val="2"/>
        <scheme val="minor"/>
      </rPr>
      <t xml:space="preserve">Five-year progression-free survival (PFS) and overall survival (OS) rates were lower in the high-expression group than that in the low-expression group. </t>
    </r>
    <r>
      <rPr>
        <b/>
        <sz val="11"/>
        <color theme="1"/>
        <rFont val="Calibri"/>
        <family val="2"/>
        <scheme val="minor"/>
      </rPr>
      <t>4)</t>
    </r>
    <r>
      <rPr>
        <sz val="11"/>
        <color theme="1"/>
        <rFont val="Calibri"/>
        <family val="2"/>
        <scheme val="minor"/>
      </rPr>
      <t xml:space="preserve"> AEG-1 overexpression was an independent but poor prognostic factor in the OS and PFS of these patients, as determined by multivariate Cox regression analysis. </t>
    </r>
    <r>
      <rPr>
        <b/>
        <sz val="11"/>
        <color theme="1"/>
        <rFont val="Calibri"/>
        <family val="2"/>
        <scheme val="minor"/>
      </rPr>
      <t xml:space="preserve">5) </t>
    </r>
    <r>
      <rPr>
        <sz val="11"/>
        <color theme="1"/>
        <rFont val="Calibri"/>
        <family val="2"/>
        <scheme val="minor"/>
      </rPr>
      <t xml:space="preserve">Multivariate logistic regression analysis revealed that the presence of </t>
    </r>
    <r>
      <rPr>
        <b/>
        <sz val="11"/>
        <color theme="1"/>
        <rFont val="Calibri"/>
        <family val="2"/>
        <scheme val="minor"/>
      </rPr>
      <t>cisplatin-based chemoresistance</t>
    </r>
    <r>
      <rPr>
        <sz val="11"/>
        <color theme="1"/>
        <rFont val="Calibri"/>
        <family val="2"/>
        <scheme val="minor"/>
      </rPr>
      <t xml:space="preserve"> was significantly associated with expression level of </t>
    </r>
    <r>
      <rPr>
        <b/>
        <sz val="11"/>
        <color theme="1"/>
        <rFont val="Calibri"/>
        <family val="2"/>
        <scheme val="minor"/>
      </rPr>
      <t>AEG-1</t>
    </r>
    <r>
      <rPr>
        <sz val="11"/>
        <color theme="1"/>
        <rFont val="Calibri"/>
        <family val="2"/>
        <scheme val="minor"/>
      </rPr>
      <t xml:space="preserve"> and the degree of residual disease (P = 0.0001 and P = 0.0027, respectively).</t>
    </r>
    <r>
      <rPr>
        <b/>
        <sz val="11"/>
        <color theme="1"/>
        <rFont val="Calibri"/>
        <family val="2"/>
        <scheme val="minor"/>
      </rPr>
      <t xml:space="preserve"> 6)</t>
    </r>
    <r>
      <rPr>
        <sz val="11"/>
        <color theme="1"/>
        <rFont val="Calibri"/>
        <family val="2"/>
        <scheme val="minor"/>
      </rPr>
      <t xml:space="preserve"> the suppression of MTDH expression increased cell sensitivity to</t>
    </r>
    <r>
      <rPr>
        <b/>
        <sz val="11"/>
        <color theme="1"/>
        <rFont val="Calibri"/>
        <family val="2"/>
        <scheme val="minor"/>
      </rPr>
      <t xml:space="preserve"> cisplatin</t>
    </r>
    <r>
      <rPr>
        <sz val="11"/>
        <color theme="1"/>
        <rFont val="Calibri"/>
        <family val="2"/>
        <scheme val="minor"/>
      </rPr>
      <t xml:space="preserve">. </t>
    </r>
    <r>
      <rPr>
        <b/>
        <sz val="11"/>
        <color theme="1"/>
        <rFont val="Calibri"/>
        <family val="2"/>
        <scheme val="minor"/>
      </rPr>
      <t>7)</t>
    </r>
    <r>
      <rPr>
        <sz val="11"/>
        <color theme="1"/>
        <rFont val="Calibri"/>
        <family val="2"/>
        <scheme val="minor"/>
      </rPr>
      <t xml:space="preserve"> MTDH-associated phosphoinositide 3-kinase/Akt signaling pathways may be involved in mediating the biological behavior of prostate cancer.</t>
    </r>
  </si>
  <si>
    <r>
      <rPr>
        <b/>
        <sz val="11"/>
        <color theme="1"/>
        <rFont val="Calibri"/>
        <family val="2"/>
        <scheme val="minor"/>
      </rPr>
      <t>1)</t>
    </r>
    <r>
      <rPr>
        <sz val="11"/>
        <color theme="1"/>
        <rFont val="Calibri"/>
        <family val="2"/>
        <scheme val="minor"/>
      </rPr>
      <t xml:space="preserve"> </t>
    </r>
    <r>
      <rPr>
        <b/>
        <sz val="11"/>
        <color theme="1"/>
        <rFont val="Calibri"/>
        <family val="2"/>
        <scheme val="minor"/>
      </rPr>
      <t>CDDP-</t>
    </r>
    <r>
      <rPr>
        <sz val="11"/>
        <color theme="1"/>
        <rFont val="Calibri"/>
        <family val="2"/>
        <scheme val="minor"/>
      </rPr>
      <t xml:space="preserve">resistant </t>
    </r>
    <r>
      <rPr>
        <b/>
        <sz val="11"/>
        <color theme="1"/>
        <rFont val="Calibri"/>
        <family val="2"/>
        <scheme val="minor"/>
      </rPr>
      <t>Head and Neck</t>
    </r>
    <r>
      <rPr>
        <sz val="11"/>
        <color theme="1"/>
        <rFont val="Calibri"/>
        <family val="2"/>
        <scheme val="minor"/>
      </rPr>
      <t xml:space="preserve"> Cancer (</t>
    </r>
    <r>
      <rPr>
        <b/>
        <sz val="11"/>
        <color theme="1"/>
        <rFont val="Calibri"/>
        <family val="2"/>
        <scheme val="minor"/>
      </rPr>
      <t>SCCHN)</t>
    </r>
    <r>
      <rPr>
        <sz val="11"/>
        <color theme="1"/>
        <rFont val="Calibri"/>
        <family val="2"/>
        <scheme val="minor"/>
      </rPr>
      <t xml:space="preserve"> cell line FaDu clones were also characterized by increased activity of the </t>
    </r>
    <r>
      <rPr>
        <b/>
        <sz val="11"/>
        <color theme="1"/>
        <rFont val="Calibri"/>
        <family val="2"/>
        <scheme val="minor"/>
      </rPr>
      <t>PI3K-AKT-mTOR</t>
    </r>
    <r>
      <rPr>
        <sz val="11"/>
        <color theme="1"/>
        <rFont val="Calibri"/>
        <family val="2"/>
        <scheme val="minor"/>
      </rPr>
      <t xml:space="preserve"> pathway; the poor prognostic value of </t>
    </r>
    <r>
      <rPr>
        <b/>
        <sz val="11"/>
        <color theme="1"/>
        <rFont val="Calibri"/>
        <family val="2"/>
        <scheme val="minor"/>
      </rPr>
      <t>mTOR</t>
    </r>
    <r>
      <rPr>
        <sz val="11"/>
        <color theme="1"/>
        <rFont val="Calibri"/>
        <family val="2"/>
        <scheme val="minor"/>
      </rPr>
      <t xml:space="preserve"> pathway upregulation was confirmed in the </t>
    </r>
    <r>
      <rPr>
        <b/>
        <sz val="11"/>
        <color theme="1"/>
        <rFont val="Calibri"/>
        <family val="2"/>
        <scheme val="minor"/>
      </rPr>
      <t>TCGA SCCHN cohort</t>
    </r>
    <r>
      <rPr>
        <sz val="11"/>
        <color theme="1"/>
        <rFont val="Calibri"/>
        <family val="2"/>
        <scheme val="minor"/>
      </rPr>
      <t xml:space="preserve">. </t>
    </r>
    <r>
      <rPr>
        <b/>
        <sz val="11"/>
        <color theme="1"/>
        <rFont val="Calibri"/>
        <family val="2"/>
        <scheme val="minor"/>
      </rPr>
      <t>2)</t>
    </r>
    <r>
      <rPr>
        <sz val="11"/>
        <color theme="1"/>
        <rFont val="Calibri"/>
        <family val="2"/>
        <scheme val="minor"/>
      </rPr>
      <t xml:space="preserve"> expression of miR-199a-3p was positively correlated with </t>
    </r>
    <r>
      <rPr>
        <b/>
        <sz val="11"/>
        <color theme="1"/>
        <rFont val="Calibri"/>
        <family val="2"/>
        <scheme val="minor"/>
      </rPr>
      <t>cisplatin</t>
    </r>
    <r>
      <rPr>
        <sz val="11"/>
        <color theme="1"/>
        <rFont val="Calibri"/>
        <family val="2"/>
        <scheme val="minor"/>
      </rPr>
      <t xml:space="preserve"> sensitivity in </t>
    </r>
    <r>
      <rPr>
        <b/>
        <sz val="11"/>
        <color theme="1"/>
        <rFont val="Calibri"/>
        <family val="2"/>
        <scheme val="minor"/>
      </rPr>
      <t>cholangiocarcinoma</t>
    </r>
    <r>
      <rPr>
        <sz val="11"/>
        <color theme="1"/>
        <rFont val="Calibri"/>
        <family val="2"/>
        <scheme val="minor"/>
      </rPr>
      <t xml:space="preserve"> cell lines; </t>
    </r>
    <r>
      <rPr>
        <b/>
        <sz val="11"/>
        <color theme="1"/>
        <rFont val="Calibri"/>
        <family val="2"/>
        <scheme val="minor"/>
      </rPr>
      <t>mTOR</t>
    </r>
    <r>
      <rPr>
        <sz val="11"/>
        <color theme="1"/>
        <rFont val="Calibri"/>
        <family val="2"/>
        <scheme val="minor"/>
      </rPr>
      <t xml:space="preserve"> was the target gene of miR-199a-3p, and that miR-199a-3p mimics could inhibit expression of </t>
    </r>
    <r>
      <rPr>
        <b/>
        <sz val="11"/>
        <color theme="1"/>
        <rFont val="Calibri"/>
        <family val="2"/>
        <scheme val="minor"/>
      </rPr>
      <t>mTOR</t>
    </r>
    <r>
      <rPr>
        <sz val="11"/>
        <color theme="1"/>
        <rFont val="Calibri"/>
        <family val="2"/>
        <scheme val="minor"/>
      </rPr>
      <t xml:space="preserve">. </t>
    </r>
    <r>
      <rPr>
        <b/>
        <sz val="11"/>
        <color theme="1"/>
        <rFont val="Calibri"/>
        <family val="2"/>
        <scheme val="minor"/>
      </rPr>
      <t>3)</t>
    </r>
    <r>
      <rPr>
        <sz val="11"/>
        <color theme="1"/>
        <rFont val="Calibri"/>
        <family val="2"/>
        <scheme val="minor"/>
      </rPr>
      <t xml:space="preserve"> The growth of </t>
    </r>
    <r>
      <rPr>
        <b/>
        <sz val="11"/>
        <color theme="1"/>
        <rFont val="Calibri"/>
        <family val="2"/>
        <scheme val="minor"/>
      </rPr>
      <t>ESCC</t>
    </r>
    <r>
      <rPr>
        <sz val="11"/>
        <color theme="1"/>
        <rFont val="Calibri"/>
        <family val="2"/>
        <scheme val="minor"/>
      </rPr>
      <t xml:space="preserve"> xenografts was synergisticly inhibited by </t>
    </r>
    <r>
      <rPr>
        <b/>
        <sz val="11"/>
        <color theme="1"/>
        <rFont val="Calibri"/>
        <family val="2"/>
        <scheme val="minor"/>
      </rPr>
      <t>mTOR</t>
    </r>
    <r>
      <rPr>
        <sz val="11"/>
        <color theme="1"/>
        <rFont val="Calibri"/>
        <family val="2"/>
        <scheme val="minor"/>
      </rPr>
      <t xml:space="preserve"> siRNA combined with</t>
    </r>
    <r>
      <rPr>
        <b/>
        <sz val="11"/>
        <color theme="1"/>
        <rFont val="Calibri"/>
        <family val="2"/>
        <scheme val="minor"/>
      </rPr>
      <t xml:space="preserve"> cisplatin</t>
    </r>
    <r>
      <rPr>
        <sz val="11"/>
        <color theme="1"/>
        <rFont val="Calibri"/>
        <family val="2"/>
        <scheme val="minor"/>
      </rPr>
      <t xml:space="preserve">. </t>
    </r>
    <r>
      <rPr>
        <b/>
        <sz val="11"/>
        <color theme="1"/>
        <rFont val="Calibri"/>
        <family val="2"/>
        <scheme val="minor"/>
      </rPr>
      <t xml:space="preserve">4) </t>
    </r>
    <r>
      <rPr>
        <sz val="11"/>
        <color theme="1"/>
        <rFont val="Calibri"/>
        <family val="2"/>
        <scheme val="minor"/>
      </rPr>
      <t xml:space="preserve">Increased expression of phospho-mTOR was observed in </t>
    </r>
    <r>
      <rPr>
        <b/>
        <sz val="11"/>
        <color theme="1"/>
        <rFont val="Calibri"/>
        <family val="2"/>
        <scheme val="minor"/>
      </rPr>
      <t>cisplatin</t>
    </r>
    <r>
      <rPr>
        <sz val="11"/>
        <color theme="1"/>
        <rFont val="Calibri"/>
        <family val="2"/>
        <scheme val="minor"/>
      </rPr>
      <t xml:space="preserve">-resistant </t>
    </r>
    <r>
      <rPr>
        <b/>
        <sz val="11"/>
        <color theme="1"/>
        <rFont val="Calibri"/>
        <family val="2"/>
        <scheme val="minor"/>
      </rPr>
      <t>ovarian</t>
    </r>
    <r>
      <rPr>
        <sz val="11"/>
        <color theme="1"/>
        <rFont val="Calibri"/>
        <family val="2"/>
        <scheme val="minor"/>
      </rPr>
      <t xml:space="preserve"> cancer RMG1-CR and KOC7C-CR cells, compared with the respective parental cells, the increase was associated with increased activation of </t>
    </r>
    <r>
      <rPr>
        <b/>
        <sz val="11"/>
        <color theme="1"/>
        <rFont val="Calibri"/>
        <family val="2"/>
        <scheme val="minor"/>
      </rPr>
      <t>AKT</t>
    </r>
    <r>
      <rPr>
        <sz val="11"/>
        <color theme="1"/>
        <rFont val="Calibri"/>
        <family val="2"/>
        <scheme val="minor"/>
      </rPr>
      <t xml:space="preserve">. RMG1-CR and KOC7C-CR cells showed greater sensitivity to RAD001 than did parental RMG1 and KOC7C cells, respectively, in vitro and in vivo. </t>
    </r>
    <r>
      <rPr>
        <b/>
        <sz val="11"/>
        <color theme="1"/>
        <rFont val="Calibri"/>
        <family val="2"/>
        <scheme val="minor"/>
      </rPr>
      <t>5)</t>
    </r>
    <r>
      <rPr>
        <sz val="11"/>
        <color theme="1"/>
        <rFont val="Calibri"/>
        <family val="2"/>
        <scheme val="minor"/>
      </rPr>
      <t xml:space="preserve"> </t>
    </r>
    <r>
      <rPr>
        <b/>
        <sz val="11"/>
        <color theme="1"/>
        <rFont val="Calibri"/>
        <family val="2"/>
        <scheme val="minor"/>
      </rPr>
      <t>platinum</t>
    </r>
    <r>
      <rPr>
        <sz val="11"/>
        <color theme="1"/>
        <rFont val="Calibri"/>
        <family val="2"/>
        <scheme val="minor"/>
      </rPr>
      <t xml:space="preserve">-resistant OVCAR-3 </t>
    </r>
    <r>
      <rPr>
        <b/>
        <sz val="11"/>
        <color theme="1"/>
        <rFont val="Calibri"/>
        <family val="2"/>
        <scheme val="minor"/>
      </rPr>
      <t>ovarian</t>
    </r>
    <r>
      <rPr>
        <sz val="11"/>
        <color theme="1"/>
        <rFont val="Calibri"/>
        <family val="2"/>
        <scheme val="minor"/>
      </rPr>
      <t xml:space="preserve"> cancer cells are resensitized to low levels of carboplatin in culture by </t>
    </r>
    <r>
      <rPr>
        <b/>
        <sz val="11"/>
        <color theme="1"/>
        <rFont val="Calibri"/>
        <family val="2"/>
        <scheme val="minor"/>
      </rPr>
      <t>mTOR</t>
    </r>
    <r>
      <rPr>
        <sz val="11"/>
        <color theme="1"/>
        <rFont val="Calibri"/>
        <family val="2"/>
        <scheme val="minor"/>
      </rPr>
      <t xml:space="preserve"> inhibition, either by </t>
    </r>
    <r>
      <rPr>
        <b/>
        <sz val="11"/>
        <color theme="1"/>
        <rFont val="Calibri"/>
        <family val="2"/>
        <scheme val="minor"/>
      </rPr>
      <t>mTORC1</t>
    </r>
    <r>
      <rPr>
        <sz val="11"/>
        <color theme="1"/>
        <rFont val="Calibri"/>
        <family val="2"/>
        <scheme val="minor"/>
      </rPr>
      <t xml:space="preserve"> inhibitor everolimus or </t>
    </r>
    <r>
      <rPr>
        <b/>
        <sz val="11"/>
        <color theme="1"/>
        <rFont val="Calibri"/>
        <family val="2"/>
        <scheme val="minor"/>
      </rPr>
      <t>mTORC1/2</t>
    </r>
    <r>
      <rPr>
        <sz val="11"/>
        <color theme="1"/>
        <rFont val="Calibri"/>
        <family val="2"/>
        <scheme val="minor"/>
      </rPr>
      <t xml:space="preserve"> inhibitor PP242. </t>
    </r>
    <r>
      <rPr>
        <b/>
        <sz val="11"/>
        <color theme="1"/>
        <rFont val="Calibri"/>
        <family val="2"/>
        <scheme val="minor"/>
      </rPr>
      <t>6) Platinum</t>
    </r>
    <r>
      <rPr>
        <sz val="11"/>
        <color theme="1"/>
        <rFont val="Calibri"/>
        <family val="2"/>
        <scheme val="minor"/>
      </rPr>
      <t xml:space="preserve"> resistance is shown to be associated with activating phosphorylation of </t>
    </r>
    <r>
      <rPr>
        <b/>
        <sz val="11"/>
        <color theme="1"/>
        <rFont val="Calibri"/>
        <family val="2"/>
        <scheme val="minor"/>
      </rPr>
      <t>AKT</t>
    </r>
    <r>
      <rPr>
        <sz val="11"/>
        <color theme="1"/>
        <rFont val="Calibri"/>
        <family val="2"/>
        <scheme val="minor"/>
      </rPr>
      <t xml:space="preserve"> and </t>
    </r>
    <r>
      <rPr>
        <b/>
        <sz val="11"/>
        <color theme="1"/>
        <rFont val="Calibri"/>
        <family val="2"/>
        <scheme val="minor"/>
      </rPr>
      <t>CHK1</t>
    </r>
    <r>
      <rPr>
        <sz val="11"/>
        <color theme="1"/>
        <rFont val="Calibri"/>
        <family val="2"/>
        <scheme val="minor"/>
      </rPr>
      <t xml:space="preserve">, inactivating phosphorylation of </t>
    </r>
    <r>
      <rPr>
        <b/>
        <sz val="11"/>
        <color theme="1"/>
        <rFont val="Calibri"/>
        <family val="2"/>
        <scheme val="minor"/>
      </rPr>
      <t>4E-BP1</t>
    </r>
    <r>
      <rPr>
        <sz val="11"/>
        <color theme="1"/>
        <rFont val="Calibri"/>
        <family val="2"/>
        <scheme val="minor"/>
      </rPr>
      <t xml:space="preserve">, the negative regulator of </t>
    </r>
    <r>
      <rPr>
        <b/>
        <sz val="11"/>
        <color theme="1"/>
        <rFont val="Calibri"/>
        <family val="2"/>
        <scheme val="minor"/>
      </rPr>
      <t>eIF4E</t>
    </r>
    <r>
      <rPr>
        <sz val="11"/>
        <color theme="1"/>
        <rFont val="Calibri"/>
        <family val="2"/>
        <scheme val="minor"/>
      </rPr>
      <t xml:space="preserve">, which promotes increased cap-dependent mRNA translation and increased levels of </t>
    </r>
    <r>
      <rPr>
        <b/>
        <sz val="11"/>
        <color theme="1"/>
        <rFont val="Calibri"/>
        <family val="2"/>
        <scheme val="minor"/>
      </rPr>
      <t>CHK1</t>
    </r>
    <r>
      <rPr>
        <sz val="11"/>
        <color theme="1"/>
        <rFont val="Calibri"/>
        <family val="2"/>
        <scheme val="minor"/>
      </rPr>
      <t xml:space="preserve"> and </t>
    </r>
    <r>
      <rPr>
        <b/>
        <sz val="11"/>
        <color theme="1"/>
        <rFont val="Calibri"/>
        <family val="2"/>
        <scheme val="minor"/>
      </rPr>
      <t>BRCA1</t>
    </r>
    <r>
      <rPr>
        <sz val="11"/>
        <color theme="1"/>
        <rFont val="Calibri"/>
        <family val="2"/>
        <scheme val="minor"/>
      </rPr>
      <t xml:space="preserve"> proteins. </t>
    </r>
    <r>
      <rPr>
        <b/>
        <sz val="11"/>
        <color theme="1"/>
        <rFont val="Calibri"/>
        <family val="2"/>
        <scheme val="minor"/>
      </rPr>
      <t>7)</t>
    </r>
    <r>
      <rPr>
        <sz val="11"/>
        <color theme="1"/>
        <rFont val="Calibri"/>
        <family val="2"/>
        <scheme val="minor"/>
      </rPr>
      <t xml:space="preserve"> Animals with platinum-resistant OVCAR-3 tumors treated with carboplatin plus mTORC1/2 inhibition had significantly longer median survival and strikingly reduced metastasis compared with animals treated with carboplatin plus everolimus, which inhibits only mTORC1. </t>
    </r>
  </si>
  <si>
    <r>
      <rPr>
        <b/>
        <sz val="11"/>
        <color theme="1"/>
        <rFont val="Calibri"/>
        <family val="2"/>
        <scheme val="minor"/>
      </rPr>
      <t>1)</t>
    </r>
    <r>
      <rPr>
        <sz val="11"/>
        <color theme="1"/>
        <rFont val="Calibri"/>
        <family val="2"/>
        <scheme val="minor"/>
      </rPr>
      <t xml:space="preserve"> MTRR expression increased orderly from normal tissues, benign ovarian tumor to OC tissue. </t>
    </r>
    <r>
      <rPr>
        <b/>
        <sz val="11"/>
        <color theme="1"/>
        <rFont val="Calibri"/>
        <family val="2"/>
        <scheme val="minor"/>
      </rPr>
      <t xml:space="preserve">2) </t>
    </r>
    <r>
      <rPr>
        <sz val="11"/>
        <color theme="1"/>
        <rFont val="Calibri"/>
        <family val="2"/>
        <scheme val="minor"/>
      </rPr>
      <t xml:space="preserve">MTRR over-expression in OC tissue was correlated with pathologic type (P=0.005), grade (P=0.037), FIGO stage (P=0.001), organ metastasis (P=0.009) and </t>
    </r>
    <r>
      <rPr>
        <b/>
        <sz val="11"/>
        <color theme="1"/>
        <rFont val="Calibri"/>
        <family val="2"/>
        <scheme val="minor"/>
      </rPr>
      <t>platinum resistance</t>
    </r>
    <r>
      <rPr>
        <sz val="11"/>
        <color theme="1"/>
        <rFont val="Calibri"/>
        <family val="2"/>
        <scheme val="minor"/>
      </rPr>
      <t xml:space="preserve"> (P=0.038). </t>
    </r>
    <r>
      <rPr>
        <b/>
        <sz val="11"/>
        <color theme="1"/>
        <rFont val="Calibri"/>
        <family val="2"/>
        <scheme val="minor"/>
      </rPr>
      <t xml:space="preserve">3) </t>
    </r>
    <r>
      <rPr>
        <sz val="11"/>
        <color theme="1"/>
        <rFont val="Calibri"/>
        <family val="2"/>
        <scheme val="minor"/>
      </rPr>
      <t xml:space="preserve">MTRR silencing inhibited cell proliferation, cisplatin resistance and autophagy, and induced apoptosis of OC cells. </t>
    </r>
    <r>
      <rPr>
        <b/>
        <sz val="11"/>
        <color theme="1"/>
        <rFont val="Calibri"/>
        <family val="2"/>
        <scheme val="minor"/>
      </rPr>
      <t>4)</t>
    </r>
    <r>
      <rPr>
        <sz val="11"/>
        <color theme="1"/>
        <rFont val="Calibri"/>
        <family val="2"/>
        <scheme val="minor"/>
      </rPr>
      <t xml:space="preserve"> MTRR silencing also affected the caspase expression as well as mTOR signaling pathway. </t>
    </r>
    <r>
      <rPr>
        <b/>
        <sz val="11"/>
        <color theme="1"/>
        <rFont val="Calibri"/>
        <family val="2"/>
        <scheme val="minor"/>
      </rPr>
      <t>5)</t>
    </r>
    <r>
      <rPr>
        <sz val="11"/>
        <color theme="1"/>
        <rFont val="Calibri"/>
        <family val="2"/>
        <scheme val="minor"/>
      </rPr>
      <t xml:space="preserve"> the tumor volume in MTRR-suppressed SKOV3/DDP mice treated with cisplatin significantly decreased when compared with controls (P&lt;0.05). </t>
    </r>
  </si>
  <si>
    <r>
      <rPr>
        <b/>
        <sz val="11"/>
        <color theme="1"/>
        <rFont val="Calibri"/>
        <family val="2"/>
        <scheme val="minor"/>
      </rPr>
      <t>1)</t>
    </r>
    <r>
      <rPr>
        <sz val="11"/>
        <color theme="1"/>
        <rFont val="Calibri"/>
        <family val="2"/>
        <scheme val="minor"/>
      </rPr>
      <t xml:space="preserve"> The MUC1 transforming protein is overexpressed by most human carcinomas. </t>
    </r>
    <r>
      <rPr>
        <b/>
        <sz val="11"/>
        <color theme="1"/>
        <rFont val="Calibri"/>
        <family val="2"/>
        <scheme val="minor"/>
      </rPr>
      <t xml:space="preserve">2) </t>
    </r>
    <r>
      <rPr>
        <sz val="11"/>
        <color theme="1"/>
        <rFont val="Calibri"/>
        <family val="2"/>
        <scheme val="minor"/>
      </rPr>
      <t xml:space="preserve">The MUC1 C-terminal subunit (MUC1 C-ter) localizes to mitochondria in HCT116/MUC1 colon carcinoma cells and heregulin stimulates mitochondrial targeting of MUC1 C-ter. </t>
    </r>
    <r>
      <rPr>
        <b/>
        <sz val="11"/>
        <color theme="1"/>
        <rFont val="Calibri"/>
        <family val="2"/>
        <scheme val="minor"/>
      </rPr>
      <t>3)</t>
    </r>
    <r>
      <rPr>
        <sz val="11"/>
        <color theme="1"/>
        <rFont val="Calibri"/>
        <family val="2"/>
        <scheme val="minor"/>
      </rPr>
      <t xml:space="preserve"> MUC1 attenuates </t>
    </r>
    <r>
      <rPr>
        <b/>
        <sz val="11"/>
        <color theme="1"/>
        <rFont val="Calibri"/>
        <family val="2"/>
        <scheme val="minor"/>
      </rPr>
      <t>cisplatin</t>
    </r>
    <r>
      <rPr>
        <sz val="11"/>
        <color theme="1"/>
        <rFont val="Calibri"/>
        <family val="2"/>
        <scheme val="minor"/>
      </rPr>
      <t xml:space="preserve">-induced (1) release of mitochondrial apoptogenic factors, (2) activation of caspase-3, and (3) induction of apoptosis. </t>
    </r>
    <r>
      <rPr>
        <b/>
        <sz val="11"/>
        <color theme="1"/>
        <rFont val="Calibri"/>
        <family val="2"/>
        <scheme val="minor"/>
      </rPr>
      <t>4)</t>
    </r>
    <r>
      <rPr>
        <sz val="11"/>
        <color theme="1"/>
        <rFont val="Calibri"/>
        <family val="2"/>
        <scheme val="minor"/>
      </rPr>
      <t xml:space="preserve"> knockdown of MUC1 expression in A549 lung and ZR-75-1 breast carcinoma cells by MUC1siRNA was associated with increased sensitivity to genotoxic drugs in vitro and in vivo. </t>
    </r>
    <r>
      <rPr>
        <b/>
        <sz val="11"/>
        <color theme="1"/>
        <rFont val="Calibri"/>
        <family val="2"/>
        <scheme val="minor"/>
      </rPr>
      <t>5)</t>
    </r>
    <r>
      <rPr>
        <sz val="11"/>
        <color theme="1"/>
        <rFont val="Calibri"/>
        <family val="2"/>
        <scheme val="minor"/>
      </rPr>
      <t xml:space="preserve"> A significant association was found between a high expression of MUC1 and histological grade (P = 0.005) and also disease stage (P = 0.001).</t>
    </r>
  </si>
  <si>
    <r>
      <rPr>
        <b/>
        <sz val="11"/>
        <color theme="1"/>
        <rFont val="Calibri"/>
        <family val="2"/>
        <scheme val="minor"/>
      </rPr>
      <t xml:space="preserve">1) </t>
    </r>
    <r>
      <rPr>
        <sz val="11"/>
        <color theme="1"/>
        <rFont val="Calibri"/>
        <family val="2"/>
        <scheme val="minor"/>
      </rPr>
      <t xml:space="preserve">Down-regulation of cell surface MUC16 decreases cisplatin IC(50) by 5-fold in NIH:OVCAR3 cells but does not affect paclitaxel IC(50). </t>
    </r>
    <r>
      <rPr>
        <b/>
        <sz val="11"/>
        <color theme="1"/>
        <rFont val="Calibri"/>
        <family val="2"/>
        <scheme val="minor"/>
      </rPr>
      <t xml:space="preserve">2) </t>
    </r>
    <r>
      <rPr>
        <sz val="11"/>
        <color theme="1"/>
        <rFont val="Calibri"/>
        <family val="2"/>
        <scheme val="minor"/>
      </rPr>
      <t xml:space="preserve">Caspase-9 and caspase-3 activation also significantly augmented in cisplatin-treated NIH:OVCAR3 cells expressing the anti-MUC16 scFv. </t>
    </r>
    <r>
      <rPr>
        <b/>
        <sz val="11"/>
        <color theme="1"/>
        <rFont val="Calibri"/>
        <family val="2"/>
        <scheme val="minor"/>
      </rPr>
      <t>3)</t>
    </r>
    <r>
      <rPr>
        <sz val="11"/>
        <color theme="1"/>
        <rFont val="Calibri"/>
        <family val="2"/>
        <scheme val="minor"/>
      </rPr>
      <t xml:space="preserve"> Ectopic expression of MUC16 CTD has the opposite effect. Cisplatin sensitivity and caspases activation are decreased by the ectopic expression of MUC16 CTD in SKOV3 cells.</t>
    </r>
    <r>
      <rPr>
        <b/>
        <sz val="11"/>
        <color theme="1"/>
        <rFont val="Calibri"/>
        <family val="2"/>
        <scheme val="minor"/>
      </rPr>
      <t xml:space="preserve"> 4) </t>
    </r>
    <r>
      <rPr>
        <sz val="11"/>
        <color theme="1"/>
        <rFont val="Calibri"/>
        <family val="2"/>
        <scheme val="minor"/>
      </rPr>
      <t xml:space="preserve">MUC16 overexpression had functional effects on the behavior of lung cancer cells, including increasing their </t>
    </r>
    <r>
      <rPr>
        <b/>
        <sz val="11"/>
        <color theme="1"/>
        <rFont val="Calibri"/>
        <family val="2"/>
        <scheme val="minor"/>
      </rPr>
      <t>resistance to cisplatin</t>
    </r>
    <r>
      <rPr>
        <sz val="11"/>
        <color theme="1"/>
        <rFont val="Calibri"/>
        <family val="2"/>
        <scheme val="minor"/>
      </rPr>
      <t xml:space="preserve">, promoting their growth, and enhancing their migration and invasion capabilities. </t>
    </r>
  </si>
  <si>
    <r>
      <rPr>
        <b/>
        <sz val="11"/>
        <color theme="1"/>
        <rFont val="Calibri"/>
        <family val="2"/>
        <scheme val="minor"/>
      </rPr>
      <t xml:space="preserve">1) </t>
    </r>
    <r>
      <rPr>
        <sz val="11"/>
        <color theme="1"/>
        <rFont val="Calibri"/>
        <family val="2"/>
        <scheme val="minor"/>
      </rPr>
      <t xml:space="preserve">Downregulation of MUC5B expression increases chemo-sensitivity of MCF-7 breast cancer cells to </t>
    </r>
    <r>
      <rPr>
        <b/>
        <sz val="11"/>
        <color theme="1"/>
        <rFont val="Calibri"/>
        <family val="2"/>
        <scheme val="minor"/>
      </rPr>
      <t>cisplatin</t>
    </r>
    <r>
      <rPr>
        <sz val="11"/>
        <color theme="1"/>
        <rFont val="Calibri"/>
        <family val="2"/>
        <scheme val="minor"/>
      </rPr>
      <t>. </t>
    </r>
    <r>
      <rPr>
        <b/>
        <sz val="11"/>
        <color theme="1"/>
        <rFont val="Calibri"/>
        <family val="2"/>
        <scheme val="minor"/>
      </rPr>
      <t>2)</t>
    </r>
    <r>
      <rPr>
        <sz val="11"/>
        <color theme="1"/>
        <rFont val="Calibri"/>
        <family val="2"/>
        <scheme val="minor"/>
      </rPr>
      <t xml:space="preserve"> MUC5b protein abundance is upregulated in cisplatin-reistance </t>
    </r>
    <r>
      <rPr>
        <b/>
        <sz val="11"/>
        <color theme="1"/>
        <rFont val="Calibri"/>
        <family val="2"/>
        <scheme val="minor"/>
      </rPr>
      <t>ovarian</t>
    </r>
    <r>
      <rPr>
        <sz val="11"/>
        <color theme="1"/>
        <rFont val="Calibri"/>
        <family val="2"/>
        <scheme val="minor"/>
      </rPr>
      <t xml:space="preserve"> cancer cells A2780-CP. </t>
    </r>
    <r>
      <rPr>
        <b/>
        <sz val="11"/>
        <color theme="1"/>
        <rFont val="Calibri"/>
        <family val="2"/>
        <scheme val="minor"/>
      </rPr>
      <t xml:space="preserve">3) </t>
    </r>
    <r>
      <rPr>
        <sz val="11"/>
        <color theme="1"/>
        <rFont val="Calibri"/>
        <family val="2"/>
        <scheme val="minor"/>
      </rPr>
      <t xml:space="preserve">MUC5B expression was significantly associated with poorer differentiation (P = 0.0303), higher pathological TNM stage (p = 0.0153) and poorer prognosis of Non-Small Cell </t>
    </r>
    <r>
      <rPr>
        <b/>
        <sz val="11"/>
        <color theme="1"/>
        <rFont val="Calibri"/>
        <family val="2"/>
        <scheme val="minor"/>
      </rPr>
      <t>Lung</t>
    </r>
    <r>
      <rPr>
        <sz val="11"/>
        <color theme="1"/>
        <rFont val="Calibri"/>
        <family val="2"/>
        <scheme val="minor"/>
      </rPr>
      <t xml:space="preserve"> Cancer adenocarcinoma patients (P = 0.0017). </t>
    </r>
    <r>
      <rPr>
        <b/>
        <sz val="11"/>
        <color theme="1"/>
        <rFont val="Calibri"/>
        <family val="2"/>
        <scheme val="minor"/>
      </rPr>
      <t xml:space="preserve">4) </t>
    </r>
    <r>
      <rPr>
        <sz val="11"/>
        <color theme="1"/>
        <rFont val="Calibri"/>
        <family val="2"/>
        <scheme val="minor"/>
      </rPr>
      <t xml:space="preserve">Multivariable analysis with Cox proportional hazards models confirmed that MUC5B expression increased the hazard of death after adjusting for other clinicopathological factors (HR = 2.66; 95%CI, 1.26–5.61). </t>
    </r>
  </si>
  <si>
    <r>
      <rPr>
        <b/>
        <sz val="11"/>
        <color theme="1"/>
        <rFont val="Calibri"/>
        <family val="2"/>
        <scheme val="minor"/>
      </rPr>
      <t xml:space="preserve">PARPi resistance (D'Andrea) AACR presentation. 1) </t>
    </r>
    <r>
      <rPr>
        <sz val="11"/>
        <color theme="1"/>
        <rFont val="Calibri"/>
        <family val="2"/>
        <scheme val="minor"/>
      </rPr>
      <t xml:space="preserve">inhibition of MUS81 expression induced cellular senescence and enhanced the antitumor effect of </t>
    </r>
    <r>
      <rPr>
        <b/>
        <sz val="11"/>
        <color theme="1"/>
        <rFont val="Calibri"/>
        <family val="2"/>
        <scheme val="minor"/>
      </rPr>
      <t xml:space="preserve">cisplatin </t>
    </r>
    <r>
      <rPr>
        <sz val="11"/>
        <color theme="1"/>
        <rFont val="Calibri"/>
        <family val="2"/>
        <scheme val="minor"/>
      </rPr>
      <t xml:space="preserve">in </t>
    </r>
    <r>
      <rPr>
        <b/>
        <sz val="11"/>
        <color theme="1"/>
        <rFont val="Calibri"/>
        <family val="2"/>
        <scheme val="minor"/>
      </rPr>
      <t xml:space="preserve">SOC </t>
    </r>
    <r>
      <rPr>
        <sz val="11"/>
        <color theme="1"/>
        <rFont val="Calibri"/>
        <family val="2"/>
        <scheme val="minor"/>
      </rPr>
      <t xml:space="preserve">cells. </t>
    </r>
    <r>
      <rPr>
        <b/>
        <sz val="11"/>
        <color theme="1"/>
        <rFont val="Calibri"/>
        <family val="2"/>
        <scheme val="minor"/>
      </rPr>
      <t xml:space="preserve">2) </t>
    </r>
    <r>
      <rPr>
        <sz val="11"/>
        <color theme="1"/>
        <rFont val="Calibri"/>
        <family val="2"/>
        <scheme val="minor"/>
      </rPr>
      <t xml:space="preserve">Mus81 knockdown could significantly improve the chemosensitivity of </t>
    </r>
    <r>
      <rPr>
        <b/>
        <sz val="11"/>
        <color theme="1"/>
        <rFont val="Calibri"/>
        <family val="2"/>
        <scheme val="minor"/>
      </rPr>
      <t>colon</t>
    </r>
    <r>
      <rPr>
        <sz val="11"/>
        <color theme="1"/>
        <rFont val="Calibri"/>
        <family val="2"/>
        <scheme val="minor"/>
      </rPr>
      <t xml:space="preserve"> cancer cells in vitro and in vivo, especially to CDDP. </t>
    </r>
    <r>
      <rPr>
        <b/>
        <sz val="11"/>
        <color theme="1"/>
        <rFont val="Calibri"/>
        <family val="2"/>
        <scheme val="minor"/>
      </rPr>
      <t>3)</t>
    </r>
    <r>
      <rPr>
        <sz val="11"/>
        <color theme="1"/>
        <rFont val="Calibri"/>
        <family val="2"/>
        <scheme val="minor"/>
      </rPr>
      <t xml:space="preserve"> Mus81 knockdown also induced S phase arrest and elevated apoptosis in CDDP treated HCT116 cells through activating CHK1/CDC25A/CDK2 and CHK1/p53/Bax pathways, while these effects could be counteracted by CHK1 inhibition. </t>
    </r>
  </si>
  <si>
    <r>
      <rPr>
        <b/>
        <sz val="11"/>
        <color theme="1"/>
        <rFont val="Calibri"/>
        <family val="2"/>
        <scheme val="minor"/>
      </rPr>
      <t xml:space="preserve">1) </t>
    </r>
    <r>
      <rPr>
        <sz val="11"/>
        <color theme="1"/>
        <rFont val="Calibri"/>
        <family val="2"/>
        <scheme val="minor"/>
      </rPr>
      <t>Kaempferol enhances</t>
    </r>
    <r>
      <rPr>
        <b/>
        <sz val="11"/>
        <color theme="1"/>
        <rFont val="Calibri"/>
        <family val="2"/>
        <scheme val="minor"/>
      </rPr>
      <t xml:space="preserve"> cisplatin</t>
    </r>
    <r>
      <rPr>
        <sz val="11"/>
        <color theme="1"/>
        <rFont val="Calibri"/>
        <family val="2"/>
        <scheme val="minor"/>
      </rPr>
      <t xml:space="preserve">'s effect on </t>
    </r>
    <r>
      <rPr>
        <b/>
        <sz val="11"/>
        <color theme="1"/>
        <rFont val="Calibri"/>
        <family val="2"/>
        <scheme val="minor"/>
      </rPr>
      <t>ovarian</t>
    </r>
    <r>
      <rPr>
        <sz val="11"/>
        <color theme="1"/>
        <rFont val="Calibri"/>
        <family val="2"/>
        <scheme val="minor"/>
      </rPr>
      <t xml:space="preserve"> cancer cells through promoting apoptosis caused by down regulation of cMyc. </t>
    </r>
    <r>
      <rPr>
        <b/>
        <sz val="11"/>
        <color theme="1"/>
        <rFont val="Calibri"/>
        <family val="2"/>
        <scheme val="minor"/>
      </rPr>
      <t>2)</t>
    </r>
    <r>
      <rPr>
        <sz val="11"/>
        <color theme="1"/>
        <rFont val="Calibri"/>
        <family val="2"/>
        <scheme val="minor"/>
      </rPr>
      <t xml:space="preserve"> the disease-free (DFS) and the overall (OS) survival were decreased in ovarian cancer patients with high c-MYC mRNA levels. </t>
    </r>
    <r>
      <rPr>
        <b/>
        <sz val="11"/>
        <color theme="1"/>
        <rFont val="Calibri"/>
        <family val="2"/>
        <scheme val="minor"/>
      </rPr>
      <t>3)</t>
    </r>
    <r>
      <rPr>
        <sz val="11"/>
        <color theme="1"/>
        <rFont val="Calibri"/>
        <family val="2"/>
        <scheme val="minor"/>
      </rPr>
      <t xml:space="preserve"> c-MYC protein levels were higher in </t>
    </r>
    <r>
      <rPr>
        <b/>
        <sz val="11"/>
        <color theme="1"/>
        <rFont val="Calibri"/>
        <family val="2"/>
        <scheme val="minor"/>
      </rPr>
      <t>cisplatin</t>
    </r>
    <r>
      <rPr>
        <sz val="11"/>
        <color theme="1"/>
        <rFont val="Calibri"/>
        <family val="2"/>
        <scheme val="minor"/>
      </rPr>
      <t xml:space="preserve">-resistant cells when compared with their cisplatin-sensitive counterparts. </t>
    </r>
    <r>
      <rPr>
        <b/>
        <sz val="11"/>
        <color theme="1"/>
        <rFont val="Calibri"/>
        <family val="2"/>
        <scheme val="minor"/>
      </rPr>
      <t>4)</t>
    </r>
    <r>
      <rPr>
        <sz val="11"/>
        <color theme="1"/>
        <rFont val="Calibri"/>
        <family val="2"/>
        <scheme val="minor"/>
      </rPr>
      <t xml:space="preserve"> Significant inhibition of cell growth and viability, cell-cycle arrest, and activation of apoptosis were observed upon siRNA-mediated c-MYC depletion.</t>
    </r>
    <r>
      <rPr>
        <b/>
        <sz val="11"/>
        <color theme="1"/>
        <rFont val="Calibri"/>
        <family val="2"/>
        <scheme val="minor"/>
      </rPr>
      <t xml:space="preserve"> 5) </t>
    </r>
    <r>
      <rPr>
        <sz val="11"/>
        <color theme="1"/>
        <rFont val="Calibri"/>
        <family val="2"/>
        <scheme val="minor"/>
      </rPr>
      <t xml:space="preserve">the tamoxifen (TAM)‑resistant </t>
    </r>
    <r>
      <rPr>
        <b/>
        <sz val="11"/>
        <color theme="1"/>
        <rFont val="Calibri"/>
        <family val="2"/>
        <scheme val="minor"/>
      </rPr>
      <t>breast</t>
    </r>
    <r>
      <rPr>
        <sz val="11"/>
        <color theme="1"/>
        <rFont val="Calibri"/>
        <family val="2"/>
        <scheme val="minor"/>
      </rPr>
      <t xml:space="preserve"> cancer cells were significantly more sensitive to </t>
    </r>
    <r>
      <rPr>
        <b/>
        <sz val="11"/>
        <color theme="1"/>
        <rFont val="Calibri"/>
        <family val="2"/>
        <scheme val="minor"/>
      </rPr>
      <t>cisplatin</t>
    </r>
    <r>
      <rPr>
        <sz val="11"/>
        <color theme="1"/>
        <rFont val="Calibri"/>
        <family val="2"/>
        <scheme val="minor"/>
      </rPr>
      <t xml:space="preserve"> compared with the parent cells, and the silencing of </t>
    </r>
    <r>
      <rPr>
        <b/>
        <sz val="11"/>
        <color theme="1"/>
        <rFont val="Calibri"/>
        <family val="2"/>
        <scheme val="minor"/>
      </rPr>
      <t>c‑MYC</t>
    </r>
    <r>
      <rPr>
        <sz val="11"/>
        <color theme="1"/>
        <rFont val="Calibri"/>
        <family val="2"/>
        <scheme val="minor"/>
      </rPr>
      <t xml:space="preserve"> expression desensitized the cells to cisplatin through the inhibition of the cell cycle. </t>
    </r>
    <r>
      <rPr>
        <b/>
        <sz val="11"/>
        <color theme="1"/>
        <rFont val="Calibri"/>
        <family val="2"/>
        <scheme val="minor"/>
      </rPr>
      <t xml:space="preserve">6) </t>
    </r>
    <r>
      <rPr>
        <sz val="11"/>
        <color theme="1"/>
        <rFont val="Calibri"/>
        <family val="2"/>
        <scheme val="minor"/>
      </rPr>
      <t xml:space="preserve">An increased </t>
    </r>
    <r>
      <rPr>
        <b/>
        <sz val="11"/>
        <color theme="1"/>
        <rFont val="Calibri"/>
        <family val="2"/>
        <scheme val="minor"/>
      </rPr>
      <t>c‑MYC</t>
    </r>
    <r>
      <rPr>
        <sz val="11"/>
        <color theme="1"/>
        <rFont val="Calibri"/>
        <family val="2"/>
        <scheme val="minor"/>
      </rPr>
      <t xml:space="preserve"> expression was observed in 28 pairs of primary and metastatic tumors from patients treated with TAM, and the clinical remission rate of cisplatin‑based chemotherapy was significantly higher compared with other chemotherapy‑based regimens in 122 patients with TAM resistant breast cancer. </t>
    </r>
    <r>
      <rPr>
        <b/>
        <sz val="11"/>
        <color theme="1"/>
        <rFont val="Calibri"/>
        <family val="2"/>
        <scheme val="minor"/>
      </rPr>
      <t>7) c-Myc</t>
    </r>
    <r>
      <rPr>
        <sz val="11"/>
        <color theme="1"/>
        <rFont val="Calibri"/>
        <family val="2"/>
        <scheme val="minor"/>
      </rPr>
      <t xml:space="preserve"> deletion completely abrogated the immediate wave of apoptosis following both ionizing irradiation and </t>
    </r>
    <r>
      <rPr>
        <b/>
        <sz val="11"/>
        <color theme="1"/>
        <rFont val="Calibri"/>
        <family val="2"/>
        <scheme val="minor"/>
      </rPr>
      <t>cisplatin</t>
    </r>
    <r>
      <rPr>
        <sz val="11"/>
        <color theme="1"/>
        <rFont val="Calibri"/>
        <family val="2"/>
        <scheme val="minor"/>
      </rPr>
      <t xml:space="preserve"> treatment, recapitulating the phenotype of p53 deficiency in the intestine. </t>
    </r>
    <r>
      <rPr>
        <b/>
        <sz val="11"/>
        <color theme="1"/>
        <rFont val="Calibri"/>
        <family val="2"/>
        <scheme val="minor"/>
      </rPr>
      <t>8) c-Myc</t>
    </r>
    <r>
      <rPr>
        <sz val="11"/>
        <color theme="1"/>
        <rFont val="Calibri"/>
        <family val="2"/>
        <scheme val="minor"/>
      </rPr>
      <t xml:space="preserve">-deficient intestinal enterocytes upregulate Mdm2, which targets </t>
    </r>
    <r>
      <rPr>
        <b/>
        <sz val="11"/>
        <color theme="1"/>
        <rFont val="Calibri"/>
        <family val="2"/>
        <scheme val="minor"/>
      </rPr>
      <t>p53</t>
    </r>
    <r>
      <rPr>
        <sz val="11"/>
        <color theme="1"/>
        <rFont val="Calibri"/>
        <family val="2"/>
        <scheme val="minor"/>
      </rPr>
      <t xml:space="preserve"> for degradation. </t>
    </r>
  </si>
  <si>
    <r>
      <rPr>
        <b/>
        <sz val="11"/>
        <color theme="1"/>
        <rFont val="Calibri"/>
        <family val="2"/>
        <scheme val="minor"/>
      </rPr>
      <t>1) MyD88</t>
    </r>
    <r>
      <rPr>
        <sz val="11"/>
        <color theme="1"/>
        <rFont val="Calibri"/>
        <family val="2"/>
        <scheme val="minor"/>
      </rPr>
      <t xml:space="preserve"> positive </t>
    </r>
    <r>
      <rPr>
        <b/>
        <sz val="11"/>
        <color theme="1"/>
        <rFont val="Calibri"/>
        <family val="2"/>
        <scheme val="minor"/>
      </rPr>
      <t>EOCs</t>
    </r>
    <r>
      <rPr>
        <sz val="11"/>
        <color theme="1"/>
        <rFont val="Calibri"/>
        <family val="2"/>
        <scheme val="minor"/>
      </rPr>
      <t xml:space="preserve"> have a functioning TLR4/MyD88 pathway and may represent an ovarian cancer stem cell (CSC) that is highly resistant to pro-apoptotic signaling and which can recruit leukocytes to actively promote a pro-inflammatory, pro-proliferative microenvironment. / MyD88 negative EOCs in contrast lack MyD88 and may represent more differentiated tumours that are less biologically aggressive. </t>
    </r>
    <r>
      <rPr>
        <b/>
        <sz val="11"/>
        <color theme="1"/>
        <rFont val="Calibri"/>
        <family val="2"/>
        <scheme val="minor"/>
      </rPr>
      <t>2)</t>
    </r>
    <r>
      <rPr>
        <sz val="11"/>
        <color theme="1"/>
        <rFont val="Calibri"/>
        <family val="2"/>
        <scheme val="minor"/>
      </rPr>
      <t xml:space="preserve"> Significant alterations in MyD88 mRNA expression were observed between </t>
    </r>
    <r>
      <rPr>
        <b/>
        <sz val="11"/>
        <color theme="1"/>
        <rFont val="Calibri"/>
        <family val="2"/>
        <scheme val="minor"/>
      </rPr>
      <t>chemosensitive and chemoresistant</t>
    </r>
    <r>
      <rPr>
        <sz val="11"/>
        <color theme="1"/>
        <rFont val="Calibri"/>
        <family val="2"/>
        <scheme val="minor"/>
      </rPr>
      <t xml:space="preserve"> cells and tissue. </t>
    </r>
    <r>
      <rPr>
        <b/>
        <sz val="11"/>
        <color theme="1"/>
        <rFont val="Calibri"/>
        <family val="2"/>
        <scheme val="minor"/>
      </rPr>
      <t xml:space="preserve">3) </t>
    </r>
    <r>
      <rPr>
        <sz val="11"/>
        <color theme="1"/>
        <rFont val="Calibri"/>
        <family val="2"/>
        <scheme val="minor"/>
      </rPr>
      <t xml:space="preserve">MyD88 mRNA was upregulated 4.9 fold in a cohort of non-responders compared to responders (p&lt;0.05). Similarly, TLR4 mRNA was upregulated 3.4 fold in this cohort (p&lt;0.05). All patients analysed here had advanced serous papillary adenocarcinomas and received </t>
    </r>
    <r>
      <rPr>
        <b/>
        <sz val="11"/>
        <color theme="1"/>
        <rFont val="Calibri"/>
        <family val="2"/>
        <scheme val="minor"/>
      </rPr>
      <t>carboplatin</t>
    </r>
    <r>
      <rPr>
        <sz val="11"/>
        <color theme="1"/>
        <rFont val="Calibri"/>
        <family val="2"/>
        <scheme val="minor"/>
      </rPr>
      <t xml:space="preserve"> and paclitaxel as first line chemotherapy following optimal debulking surgery. </t>
    </r>
    <r>
      <rPr>
        <b/>
        <sz val="11"/>
        <color theme="1"/>
        <rFont val="Calibri"/>
        <family val="2"/>
        <scheme val="minor"/>
      </rPr>
      <t xml:space="preserve">4) </t>
    </r>
    <r>
      <rPr>
        <sz val="11"/>
        <color theme="1"/>
        <rFont val="Calibri"/>
        <family val="2"/>
        <scheme val="minor"/>
      </rPr>
      <t xml:space="preserve">Knockdown of TLR4 in SKOV-3 ovarian cells recovered chemosensitivity. / Knockdown of MyD88 alone did not. </t>
    </r>
    <r>
      <rPr>
        <b/>
        <sz val="11"/>
        <color theme="1"/>
        <rFont val="Calibri"/>
        <family val="2"/>
        <scheme val="minor"/>
      </rPr>
      <t>5)</t>
    </r>
    <r>
      <rPr>
        <sz val="11"/>
        <color theme="1"/>
        <rFont val="Calibri"/>
        <family val="2"/>
        <scheme val="minor"/>
      </rPr>
      <t xml:space="preserve"> Down-regulation of the expression of MyD88 in SKOV3/DDP cells decreased the cisplatin resistance. </t>
    </r>
    <r>
      <rPr>
        <b/>
        <sz val="11"/>
        <color theme="1"/>
        <rFont val="Calibri"/>
        <family val="2"/>
        <scheme val="minor"/>
      </rPr>
      <t xml:space="preserve">6) </t>
    </r>
    <r>
      <rPr>
        <sz val="11"/>
        <color theme="1"/>
        <rFont val="Calibri"/>
        <family val="2"/>
        <scheme val="minor"/>
      </rPr>
      <t xml:space="preserve">The increased expression of p-Akt, XIAP, and MRP1 in SKOV3/DDP cells after cisplatin treatment was also repressed by the downregulation of MyD88. </t>
    </r>
  </si>
  <si>
    <r>
      <rPr>
        <b/>
        <sz val="11"/>
        <color theme="1"/>
        <rFont val="Calibri"/>
        <family val="2"/>
        <scheme val="minor"/>
      </rPr>
      <t>1)</t>
    </r>
    <r>
      <rPr>
        <sz val="11"/>
        <color theme="1"/>
        <rFont val="Calibri"/>
        <family val="2"/>
        <scheme val="minor"/>
      </rPr>
      <t xml:space="preserve"> EMSA with MZF1 ZN1-4 consensus oligonucleotides suggests that the MZF1 N-terminal domain of zinc finger cluster may bind to the MZF1-like site of the </t>
    </r>
    <r>
      <rPr>
        <b/>
        <sz val="11"/>
        <color theme="1"/>
        <rFont val="Calibri"/>
        <family val="2"/>
        <scheme val="minor"/>
      </rPr>
      <t>ERCC1</t>
    </r>
    <r>
      <rPr>
        <sz val="11"/>
        <color theme="1"/>
        <rFont val="Calibri"/>
        <family val="2"/>
        <scheme val="minor"/>
      </rPr>
      <t xml:space="preserve"> promoter region. </t>
    </r>
    <r>
      <rPr>
        <b/>
        <sz val="11"/>
        <color theme="1"/>
        <rFont val="Calibri"/>
        <family val="2"/>
        <scheme val="minor"/>
      </rPr>
      <t xml:space="preserve">2) </t>
    </r>
    <r>
      <rPr>
        <sz val="11"/>
        <color theme="1"/>
        <rFont val="Calibri"/>
        <family val="2"/>
        <scheme val="minor"/>
      </rPr>
      <t xml:space="preserve">MZF1 mRNA in A2780/CP70 cells decreased upon cisplatin exposure. </t>
    </r>
    <r>
      <rPr>
        <b/>
        <sz val="11"/>
        <color theme="1"/>
        <rFont val="Calibri"/>
        <family val="2"/>
        <scheme val="minor"/>
      </rPr>
      <t xml:space="preserve">3) </t>
    </r>
    <r>
      <rPr>
        <sz val="11"/>
        <color theme="1"/>
        <rFont val="Calibri"/>
        <family val="2"/>
        <scheme val="minor"/>
      </rPr>
      <t xml:space="preserve">Overexpression of MZF1 repressed the ERCC1 promoter activity as determined in co-transfection assay. </t>
    </r>
  </si>
  <si>
    <r>
      <rPr>
        <b/>
        <sz val="11"/>
        <color theme="1"/>
        <rFont val="Calibri"/>
        <family val="2"/>
        <scheme val="minor"/>
      </rPr>
      <t>1) NAC1</t>
    </r>
    <r>
      <rPr>
        <sz val="11"/>
        <color theme="1"/>
        <rFont val="Calibri"/>
        <family val="2"/>
        <scheme val="minor"/>
      </rPr>
      <t xml:space="preserve"> modulates sensitivity of </t>
    </r>
    <r>
      <rPr>
        <b/>
        <sz val="11"/>
        <color theme="1"/>
        <rFont val="Calibri"/>
        <family val="2"/>
        <scheme val="minor"/>
      </rPr>
      <t>ovarian</t>
    </r>
    <r>
      <rPr>
        <sz val="11"/>
        <color theme="1"/>
        <rFont val="Calibri"/>
        <family val="2"/>
        <scheme val="minor"/>
      </rPr>
      <t xml:space="preserve"> cancer cells to </t>
    </r>
    <r>
      <rPr>
        <b/>
        <sz val="11"/>
        <color theme="1"/>
        <rFont val="Calibri"/>
        <family val="2"/>
        <scheme val="minor"/>
      </rPr>
      <t>cisplatin</t>
    </r>
    <r>
      <rPr>
        <sz val="11"/>
        <color theme="1"/>
        <rFont val="Calibri"/>
        <family val="2"/>
        <scheme val="minor"/>
      </rPr>
      <t xml:space="preserve"> by altering the HMGB1-mediated autophagic response. </t>
    </r>
    <r>
      <rPr>
        <b/>
        <sz val="11"/>
        <color theme="1"/>
        <rFont val="Calibri"/>
        <family val="2"/>
        <scheme val="minor"/>
      </rPr>
      <t>2)</t>
    </r>
    <r>
      <rPr>
        <sz val="11"/>
        <color theme="1"/>
        <rFont val="Calibri"/>
        <family val="2"/>
        <scheme val="minor"/>
      </rPr>
      <t xml:space="preserve"> NAC-1 proteins negatively regulate the expression of Gadd45gip1 (Crif1). Turning off the Gadd45 pathway appears to be critical for cancer cell survival and to facilitate tumor growth under cellular stress. </t>
    </r>
    <r>
      <rPr>
        <b/>
        <sz val="11"/>
        <color theme="1"/>
        <rFont val="Calibri"/>
        <family val="2"/>
        <scheme val="minor"/>
      </rPr>
      <t>3)</t>
    </r>
    <r>
      <rPr>
        <sz val="11"/>
        <color theme="1"/>
        <rFont val="Calibri"/>
        <family val="2"/>
        <scheme val="minor"/>
      </rPr>
      <t xml:space="preserve"> NAC-1 protein, shows significantly higher expression in recurrent chemoresistant ovarian serous carcinomas than in primary untreated tumors. </t>
    </r>
    <r>
      <rPr>
        <b/>
        <sz val="11"/>
        <color theme="1"/>
        <rFont val="Calibri"/>
        <family val="2"/>
        <scheme val="minor"/>
      </rPr>
      <t xml:space="preserve">4) </t>
    </r>
    <r>
      <rPr>
        <sz val="11"/>
        <color theme="1"/>
        <rFont val="Calibri"/>
        <family val="2"/>
        <scheme val="minor"/>
      </rPr>
      <t xml:space="preserve">Ectopic expression of NAC1 increased paclitaxel resistance. </t>
    </r>
    <r>
      <rPr>
        <b/>
        <sz val="11"/>
        <color theme="1"/>
        <rFont val="Calibri"/>
        <family val="2"/>
        <scheme val="minor"/>
      </rPr>
      <t xml:space="preserve">5) </t>
    </r>
    <r>
      <rPr>
        <sz val="11"/>
        <color theme="1"/>
        <rFont val="Calibri"/>
        <family val="2"/>
        <scheme val="minor"/>
      </rPr>
      <t xml:space="preserve">knockdown of NAC1 or disruption of NAC1 homodimerization sensitized cancer cells to chemotherapeutic drugs. </t>
    </r>
  </si>
  <si>
    <r>
      <rPr>
        <b/>
        <sz val="11"/>
        <color theme="1"/>
        <rFont val="Calibri"/>
        <family val="2"/>
        <scheme val="minor"/>
      </rPr>
      <t>1)</t>
    </r>
    <r>
      <rPr>
        <sz val="11"/>
        <color theme="1"/>
        <rFont val="Calibri"/>
        <family val="2"/>
        <scheme val="minor"/>
      </rPr>
      <t xml:space="preserve"> </t>
    </r>
    <r>
      <rPr>
        <b/>
        <sz val="11"/>
        <color theme="1"/>
        <rFont val="Calibri"/>
        <family val="2"/>
        <scheme val="minor"/>
      </rPr>
      <t>Cisplatin</t>
    </r>
    <r>
      <rPr>
        <sz val="11"/>
        <color theme="1"/>
        <rFont val="Calibri"/>
        <family val="2"/>
        <scheme val="minor"/>
      </rPr>
      <t>-resistant OC2 cells highly expressed the stemness markers (</t>
    </r>
    <r>
      <rPr>
        <b/>
        <sz val="11"/>
        <color theme="1"/>
        <rFont val="Calibri"/>
        <family val="2"/>
        <scheme val="minor"/>
      </rPr>
      <t>Nanog</t>
    </r>
    <r>
      <rPr>
        <sz val="11"/>
        <color theme="1"/>
        <rFont val="Calibri"/>
        <family val="2"/>
        <scheme val="minor"/>
      </rPr>
      <t>, Oct4, Bmi1, CD117, CD133, and ABCG2). </t>
    </r>
    <r>
      <rPr>
        <b/>
        <sz val="11"/>
        <color theme="1"/>
        <rFont val="Calibri"/>
        <family val="2"/>
        <scheme val="minor"/>
      </rPr>
      <t>2)</t>
    </r>
    <r>
      <rPr>
        <sz val="11"/>
        <color theme="1"/>
        <rFont val="Calibri"/>
        <family val="2"/>
        <scheme val="minor"/>
      </rPr>
      <t xml:space="preserve"> Up-regulation of Oct4 and </t>
    </r>
    <r>
      <rPr>
        <b/>
        <sz val="11"/>
        <color theme="1"/>
        <rFont val="Calibri"/>
        <family val="2"/>
        <scheme val="minor"/>
      </rPr>
      <t>Nanog</t>
    </r>
    <r>
      <rPr>
        <sz val="11"/>
        <color theme="1"/>
        <rFont val="Calibri"/>
        <family val="2"/>
        <scheme val="minor"/>
      </rPr>
      <t xml:space="preserve"> expression was significantly observed in </t>
    </r>
    <r>
      <rPr>
        <b/>
        <sz val="11"/>
        <color theme="1"/>
        <rFont val="Calibri"/>
        <family val="2"/>
        <scheme val="minor"/>
      </rPr>
      <t>cisplatin-resistant</t>
    </r>
    <r>
      <rPr>
        <sz val="11"/>
        <color theme="1"/>
        <rFont val="Calibri"/>
        <family val="2"/>
        <scheme val="minor"/>
      </rPr>
      <t xml:space="preserve"> patients with OSCC. </t>
    </r>
    <r>
      <rPr>
        <b/>
        <sz val="11"/>
        <color theme="1"/>
        <rFont val="Calibri"/>
        <family val="2"/>
        <scheme val="minor"/>
      </rPr>
      <t>3)</t>
    </r>
    <r>
      <rPr>
        <sz val="11"/>
        <color theme="1"/>
        <rFont val="Calibri"/>
        <family val="2"/>
        <scheme val="minor"/>
      </rPr>
      <t xml:space="preserve"> Susceptibility to </t>
    </r>
    <r>
      <rPr>
        <b/>
        <sz val="11"/>
        <color theme="1"/>
        <rFont val="Calibri"/>
        <family val="2"/>
        <scheme val="minor"/>
      </rPr>
      <t>cisplatin</t>
    </r>
    <r>
      <rPr>
        <sz val="11"/>
        <color theme="1"/>
        <rFont val="Calibri"/>
        <family val="2"/>
        <scheme val="minor"/>
      </rPr>
      <t xml:space="preserve"> increased in SKOV-3 cells on down-regulating </t>
    </r>
    <r>
      <rPr>
        <b/>
        <sz val="11"/>
        <color theme="1"/>
        <rFont val="Calibri"/>
        <family val="2"/>
        <scheme val="minor"/>
      </rPr>
      <t>NANOG</t>
    </r>
    <r>
      <rPr>
        <sz val="11"/>
        <color theme="1"/>
        <rFont val="Calibri"/>
        <family val="2"/>
        <scheme val="minor"/>
      </rPr>
      <t xml:space="preserve"> and reversible results were obtained in Moody cells post-overexpression of </t>
    </r>
    <r>
      <rPr>
        <b/>
        <sz val="11"/>
        <color theme="1"/>
        <rFont val="Calibri"/>
        <family val="2"/>
        <scheme val="minor"/>
      </rPr>
      <t>NANOG</t>
    </r>
    <r>
      <rPr>
        <sz val="11"/>
        <color theme="1"/>
        <rFont val="Calibri"/>
        <family val="2"/>
        <scheme val="minor"/>
      </rPr>
      <t xml:space="preserve">. </t>
    </r>
    <r>
      <rPr>
        <b/>
        <sz val="11"/>
        <color theme="1"/>
        <rFont val="Calibri"/>
        <family val="2"/>
        <scheme val="minor"/>
      </rPr>
      <t>4) Nanog</t>
    </r>
    <r>
      <rPr>
        <sz val="11"/>
        <color theme="1"/>
        <rFont val="Calibri"/>
        <family val="2"/>
        <scheme val="minor"/>
      </rPr>
      <t xml:space="preserve"> overexpression was associated with overall progression, </t>
    </r>
    <r>
      <rPr>
        <b/>
        <sz val="11"/>
        <color theme="1"/>
        <rFont val="Calibri"/>
        <family val="2"/>
        <scheme val="minor"/>
      </rPr>
      <t>cisplatin</t>
    </r>
    <r>
      <rPr>
        <sz val="11"/>
        <color theme="1"/>
        <rFont val="Calibri"/>
        <family val="2"/>
        <scheme val="minor"/>
      </rPr>
      <t xml:space="preserve"> resistance, and invasion of </t>
    </r>
    <r>
      <rPr>
        <b/>
        <sz val="11"/>
        <color theme="1"/>
        <rFont val="Calibri"/>
        <family val="2"/>
        <scheme val="minor"/>
      </rPr>
      <t>oral</t>
    </r>
    <r>
      <rPr>
        <sz val="11"/>
        <color theme="1"/>
        <rFont val="Calibri"/>
        <family val="2"/>
        <scheme val="minor"/>
      </rPr>
      <t xml:space="preserve"> squamous cell carcinoma (OSCC). </t>
    </r>
    <r>
      <rPr>
        <b/>
        <sz val="11"/>
        <color theme="1"/>
        <rFont val="Calibri"/>
        <family val="2"/>
        <scheme val="minor"/>
      </rPr>
      <t>5) Nanog</t>
    </r>
    <r>
      <rPr>
        <sz val="11"/>
        <color theme="1"/>
        <rFont val="Calibri"/>
        <family val="2"/>
        <scheme val="minor"/>
      </rPr>
      <t xml:space="preserve"> recruitment to </t>
    </r>
    <r>
      <rPr>
        <b/>
        <sz val="11"/>
        <color theme="1"/>
        <rFont val="Calibri"/>
        <family val="2"/>
        <scheme val="minor"/>
      </rPr>
      <t>c-Myc, Slug, E-cadherin</t>
    </r>
    <r>
      <rPr>
        <sz val="11"/>
        <color theme="1"/>
        <rFont val="Calibri"/>
        <family val="2"/>
        <scheme val="minor"/>
      </rPr>
      <t xml:space="preserve">, and </t>
    </r>
    <r>
      <rPr>
        <b/>
        <sz val="11"/>
        <color theme="1"/>
        <rFont val="Calibri"/>
        <family val="2"/>
        <scheme val="minor"/>
      </rPr>
      <t>Oct-4</t>
    </r>
    <r>
      <rPr>
        <sz val="11"/>
        <color theme="1"/>
        <rFont val="Calibri"/>
        <family val="2"/>
        <scheme val="minor"/>
      </rPr>
      <t xml:space="preserve"> gene promoter was observed. </t>
    </r>
    <r>
      <rPr>
        <b/>
        <sz val="11"/>
        <color theme="1"/>
        <rFont val="Calibri"/>
        <family val="2"/>
        <scheme val="minor"/>
      </rPr>
      <t>6)</t>
    </r>
    <r>
      <rPr>
        <sz val="11"/>
        <color theme="1"/>
        <rFont val="Calibri"/>
        <family val="2"/>
        <scheme val="minor"/>
      </rPr>
      <t xml:space="preserve"> Positive correlation of Nanog protein expression with c-Myc, Slug, cyclin D1, MMP-2/-9, and Oct-4 and negative correlation with E-cadherin gene expression were found. </t>
    </r>
    <r>
      <rPr>
        <b/>
        <sz val="11"/>
        <color theme="1"/>
        <rFont val="Calibri"/>
        <family val="2"/>
        <scheme val="minor"/>
      </rPr>
      <t>7)</t>
    </r>
    <r>
      <rPr>
        <sz val="11"/>
        <color theme="1"/>
        <rFont val="Calibri"/>
        <family val="2"/>
        <scheme val="minor"/>
      </rPr>
      <t xml:space="preserve"> Knockdown of Nanog and treatment of epicatechin-3-gallate reversed </t>
    </r>
    <r>
      <rPr>
        <b/>
        <sz val="11"/>
        <color theme="1"/>
        <rFont val="Calibri"/>
        <family val="2"/>
        <scheme val="minor"/>
      </rPr>
      <t>cisplatin</t>
    </r>
    <r>
      <rPr>
        <sz val="11"/>
        <color theme="1"/>
        <rFont val="Calibri"/>
        <family val="2"/>
        <scheme val="minor"/>
      </rPr>
      <t xml:space="preserve"> resistance and diminished invasion/migration potential.</t>
    </r>
  </si>
  <si>
    <r>
      <rPr>
        <b/>
        <sz val="11"/>
        <color theme="1"/>
        <rFont val="Calibri"/>
        <family val="2"/>
        <scheme val="minor"/>
      </rPr>
      <t>1) NAP1L3</t>
    </r>
    <r>
      <rPr>
        <sz val="11"/>
        <color theme="1"/>
        <rFont val="Calibri"/>
        <family val="2"/>
        <scheme val="minor"/>
      </rPr>
      <t xml:space="preserve"> was significantly upregulated in tissues with </t>
    </r>
    <r>
      <rPr>
        <b/>
        <sz val="11"/>
        <color theme="1"/>
        <rFont val="Calibri"/>
        <family val="2"/>
        <scheme val="minor"/>
      </rPr>
      <t>cisplatin</t>
    </r>
    <r>
      <rPr>
        <sz val="11"/>
        <color theme="1"/>
        <rFont val="Calibri"/>
        <family val="2"/>
        <scheme val="minor"/>
      </rPr>
      <t xml:space="preserve"> resistance compared with cisplatin-sensitive tissues. </t>
    </r>
    <r>
      <rPr>
        <b/>
        <sz val="11"/>
        <color theme="1"/>
        <rFont val="Calibri"/>
        <family val="2"/>
        <scheme val="minor"/>
      </rPr>
      <t xml:space="preserve">2) </t>
    </r>
    <r>
      <rPr>
        <sz val="11"/>
        <color theme="1"/>
        <rFont val="Calibri"/>
        <family val="2"/>
        <scheme val="minor"/>
      </rPr>
      <t xml:space="preserve">Patients with high </t>
    </r>
    <r>
      <rPr>
        <b/>
        <sz val="11"/>
        <color theme="1"/>
        <rFont val="Calibri"/>
        <family val="2"/>
        <scheme val="minor"/>
      </rPr>
      <t>NAP1L3</t>
    </r>
    <r>
      <rPr>
        <sz val="11"/>
        <color theme="1"/>
        <rFont val="Calibri"/>
        <family val="2"/>
        <scheme val="minor"/>
      </rPr>
      <t xml:space="preserve"> levels had poor prognosis, suggesting that NAP1L3 might regulate </t>
    </r>
    <r>
      <rPr>
        <b/>
        <sz val="11"/>
        <color theme="1"/>
        <rFont val="Calibri"/>
        <family val="2"/>
        <scheme val="minor"/>
      </rPr>
      <t>ovarian</t>
    </r>
    <r>
      <rPr>
        <sz val="11"/>
        <color theme="1"/>
        <rFont val="Calibri"/>
        <family val="2"/>
        <scheme val="minor"/>
      </rPr>
      <t xml:space="preserve"> cancer resistance. </t>
    </r>
    <r>
      <rPr>
        <b/>
        <sz val="11"/>
        <color theme="1"/>
        <rFont val="Calibri"/>
        <family val="2"/>
        <scheme val="minor"/>
      </rPr>
      <t>3)</t>
    </r>
    <r>
      <rPr>
        <sz val="11"/>
        <color theme="1"/>
        <rFont val="Calibri"/>
        <family val="2"/>
        <scheme val="minor"/>
      </rPr>
      <t xml:space="preserve"> cells with high </t>
    </r>
    <r>
      <rPr>
        <b/>
        <sz val="11"/>
        <color theme="1"/>
        <rFont val="Calibri"/>
        <family val="2"/>
        <scheme val="minor"/>
      </rPr>
      <t>NAP1L3</t>
    </r>
    <r>
      <rPr>
        <sz val="11"/>
        <color theme="1"/>
        <rFont val="Calibri"/>
        <family val="2"/>
        <scheme val="minor"/>
      </rPr>
      <t xml:space="preserve"> had high cisplatin resistance, whereas cells with low NAP1L3 had poor cisplatin resistance. </t>
    </r>
    <r>
      <rPr>
        <b/>
        <sz val="11"/>
        <color theme="1"/>
        <rFont val="Calibri"/>
        <family val="2"/>
        <scheme val="minor"/>
      </rPr>
      <t xml:space="preserve">4) </t>
    </r>
    <r>
      <rPr>
        <sz val="11"/>
        <color theme="1"/>
        <rFont val="Calibri"/>
        <family val="2"/>
        <scheme val="minor"/>
      </rPr>
      <t xml:space="preserve">NAP1L3 overexpression significantly increased cisplatin resistance, whereas NAP1L3 knockdown significantly reduced cisplatin resistance. </t>
    </r>
    <r>
      <rPr>
        <b/>
        <sz val="11"/>
        <color theme="1"/>
        <rFont val="Calibri"/>
        <family val="2"/>
        <scheme val="minor"/>
      </rPr>
      <t xml:space="preserve">5) </t>
    </r>
    <r>
      <rPr>
        <sz val="11"/>
        <color theme="1"/>
        <rFont val="Calibri"/>
        <family val="2"/>
        <scheme val="minor"/>
      </rPr>
      <t xml:space="preserve">NAP1L3 regulated </t>
    </r>
    <r>
      <rPr>
        <b/>
        <sz val="11"/>
        <color theme="1"/>
        <rFont val="Calibri"/>
        <family val="2"/>
        <scheme val="minor"/>
      </rPr>
      <t>TGF-β</t>
    </r>
    <r>
      <rPr>
        <sz val="11"/>
        <color theme="1"/>
        <rFont val="Calibri"/>
        <family val="2"/>
        <scheme val="minor"/>
      </rPr>
      <t xml:space="preserve"> pathway. </t>
    </r>
    <r>
      <rPr>
        <b/>
        <sz val="11"/>
        <color theme="1"/>
        <rFont val="Calibri"/>
        <family val="2"/>
        <scheme val="minor"/>
      </rPr>
      <t>6)</t>
    </r>
    <r>
      <rPr>
        <sz val="11"/>
        <color theme="1"/>
        <rFont val="Calibri"/>
        <family val="2"/>
        <scheme val="minor"/>
      </rPr>
      <t xml:space="preserve"> NAP1L3 overexpression increased the phosphorylation and nuclear translocation of SMAD2 and SMAD3. </t>
    </r>
  </si>
  <si>
    <r>
      <rPr>
        <b/>
        <sz val="11"/>
        <color theme="1"/>
        <rFont val="Calibri"/>
        <family val="2"/>
        <scheme val="minor"/>
      </rPr>
      <t xml:space="preserve">1) </t>
    </r>
    <r>
      <rPr>
        <sz val="11"/>
        <color theme="1"/>
        <rFont val="Calibri"/>
        <family val="2"/>
        <scheme val="minor"/>
      </rPr>
      <t>nine genes (</t>
    </r>
    <r>
      <rPr>
        <b/>
        <sz val="11"/>
        <color theme="1"/>
        <rFont val="Calibri"/>
        <family val="2"/>
        <scheme val="minor"/>
      </rPr>
      <t>NAPA</t>
    </r>
    <r>
      <rPr>
        <sz val="11"/>
        <color theme="1"/>
        <rFont val="Calibri"/>
        <family val="2"/>
        <scheme val="minor"/>
      </rPr>
      <t xml:space="preserve">, CITED2, CABIN1, ADM, HIST1H1A, EHD1, MARK2, PTPN21, and MVD), which were consistently upregulated in two </t>
    </r>
    <r>
      <rPr>
        <b/>
        <sz val="11"/>
        <color theme="1"/>
        <rFont val="Calibri"/>
        <family val="2"/>
        <scheme val="minor"/>
      </rPr>
      <t xml:space="preserve">cisplatin-resistant </t>
    </r>
    <r>
      <rPr>
        <sz val="11"/>
        <color theme="1"/>
        <rFont val="Calibri"/>
        <family val="2"/>
        <scheme val="minor"/>
      </rPr>
      <t xml:space="preserve">HeLa cell lines. </t>
    </r>
    <r>
      <rPr>
        <b/>
        <sz val="11"/>
        <color theme="1"/>
        <rFont val="Calibri"/>
        <family val="2"/>
        <scheme val="minor"/>
      </rPr>
      <t>2)</t>
    </r>
    <r>
      <rPr>
        <sz val="11"/>
        <color theme="1"/>
        <rFont val="Calibri"/>
        <family val="2"/>
        <scheme val="minor"/>
      </rPr>
      <t xml:space="preserve"> shRNA knockdown of NAPA was the most efficient treatment able to sensitize cells to cisplatin. </t>
    </r>
    <r>
      <rPr>
        <b/>
        <sz val="11"/>
        <color theme="1"/>
        <rFont val="Calibri"/>
        <family val="2"/>
        <scheme val="minor"/>
      </rPr>
      <t xml:space="preserve">3) </t>
    </r>
    <r>
      <rPr>
        <sz val="11"/>
        <color theme="1"/>
        <rFont val="Calibri"/>
        <family val="2"/>
        <scheme val="minor"/>
      </rPr>
      <t xml:space="preserve">In a genome-wide screening for genes involved in chemo-resistance, NAPA was over-expressed in cisplatin-resistant cells. </t>
    </r>
    <r>
      <rPr>
        <b/>
        <sz val="11"/>
        <color theme="1"/>
        <rFont val="Calibri"/>
        <family val="2"/>
        <scheme val="minor"/>
      </rPr>
      <t>4)</t>
    </r>
    <r>
      <rPr>
        <sz val="11"/>
        <color theme="1"/>
        <rFont val="Calibri"/>
        <family val="2"/>
        <scheme val="minor"/>
      </rPr>
      <t xml:space="preserve"> The NAPA (protein) Napsin A was described to promote resistance to cisplatin by degradation of the tumor suppressor p53.</t>
    </r>
  </si>
  <si>
    <r>
      <rPr>
        <b/>
        <sz val="11"/>
        <color theme="1"/>
        <rFont val="Calibri"/>
        <family val="2"/>
        <scheme val="minor"/>
      </rPr>
      <t xml:space="preserve">1) </t>
    </r>
    <r>
      <rPr>
        <sz val="11"/>
        <color theme="1"/>
        <rFont val="Calibri"/>
        <family val="2"/>
        <scheme val="minor"/>
      </rPr>
      <t xml:space="preserve">NAV3 was a potential target of miR-21-3p. </t>
    </r>
    <r>
      <rPr>
        <b/>
        <sz val="11"/>
        <color theme="1"/>
        <rFont val="Calibri"/>
        <family val="2"/>
        <scheme val="minor"/>
      </rPr>
      <t xml:space="preserve">2) </t>
    </r>
    <r>
      <rPr>
        <sz val="11"/>
        <color theme="1"/>
        <rFont val="Calibri"/>
        <family val="2"/>
        <scheme val="minor"/>
      </rPr>
      <t>knockdown of NAV3 increases resistance.</t>
    </r>
    <r>
      <rPr>
        <b/>
        <sz val="11"/>
        <color theme="1"/>
        <rFont val="Calibri"/>
        <family val="2"/>
        <scheme val="minor"/>
      </rPr>
      <t xml:space="preserve"> 3) </t>
    </r>
    <r>
      <rPr>
        <sz val="11"/>
        <color theme="1"/>
        <rFont val="Calibri"/>
        <family val="2"/>
        <scheme val="minor"/>
      </rPr>
      <t xml:space="preserve">miR-21-3p is raised, while NAV3 is reduced, in ovarian tumours that are resistant to </t>
    </r>
    <r>
      <rPr>
        <b/>
        <sz val="11"/>
        <color theme="1"/>
        <rFont val="Calibri"/>
        <family val="2"/>
        <scheme val="minor"/>
      </rPr>
      <t xml:space="preserve">platinum </t>
    </r>
    <r>
      <rPr>
        <sz val="11"/>
        <color theme="1"/>
        <rFont val="Calibri"/>
        <family val="2"/>
        <scheme val="minor"/>
      </rPr>
      <t>treatment.</t>
    </r>
  </si>
  <si>
    <r>
      <rPr>
        <b/>
        <sz val="11"/>
        <color theme="1"/>
        <rFont val="Calibri"/>
        <family val="2"/>
        <scheme val="minor"/>
      </rPr>
      <t xml:space="preserve">1) </t>
    </r>
    <r>
      <rPr>
        <sz val="11"/>
        <color theme="1"/>
        <rFont val="Calibri"/>
        <family val="2"/>
        <scheme val="minor"/>
      </rPr>
      <t xml:space="preserve">Steroid receptor coactivator 3 expression was significantly associated with advanced stage and was an independent prognostic marker. </t>
    </r>
    <r>
      <rPr>
        <b/>
        <sz val="11"/>
        <color theme="1"/>
        <rFont val="Calibri"/>
        <family val="2"/>
        <scheme val="minor"/>
      </rPr>
      <t xml:space="preserve">2) </t>
    </r>
    <r>
      <rPr>
        <sz val="11"/>
        <color theme="1"/>
        <rFont val="Calibri"/>
        <family val="2"/>
        <scheme val="minor"/>
      </rPr>
      <t xml:space="preserve">High expression of SRC3 identified patients who have a significantly poorer survival with single-agent </t>
    </r>
    <r>
      <rPr>
        <b/>
        <sz val="11"/>
        <color theme="1"/>
        <rFont val="Calibri"/>
        <family val="2"/>
        <scheme val="minor"/>
      </rPr>
      <t>carboplatin</t>
    </r>
    <r>
      <rPr>
        <sz val="11"/>
        <color theme="1"/>
        <rFont val="Calibri"/>
        <family val="2"/>
        <scheme val="minor"/>
      </rPr>
      <t xml:space="preserve"> chemotherapy, while with carboplatin/paclitaxel treatment such a difference was not seen.</t>
    </r>
  </si>
  <si>
    <r>
      <rPr>
        <b/>
        <sz val="11"/>
        <color theme="1"/>
        <rFont val="Calibri"/>
        <family val="2"/>
        <scheme val="minor"/>
      </rPr>
      <t xml:space="preserve">1) </t>
    </r>
    <r>
      <rPr>
        <sz val="11"/>
        <color theme="1"/>
        <rFont val="Calibri"/>
        <family val="2"/>
        <scheme val="minor"/>
      </rPr>
      <t xml:space="preserve">Expression levels of </t>
    </r>
    <r>
      <rPr>
        <b/>
        <sz val="11"/>
        <color theme="1"/>
        <rFont val="Calibri"/>
        <family val="2"/>
        <scheme val="minor"/>
      </rPr>
      <t>GRIM19</t>
    </r>
    <r>
      <rPr>
        <sz val="11"/>
        <color theme="1"/>
        <rFont val="Calibri"/>
        <family val="2"/>
        <scheme val="minor"/>
      </rPr>
      <t xml:space="preserve"> were significantly down-regulated in recurrent </t>
    </r>
    <r>
      <rPr>
        <b/>
        <sz val="11"/>
        <color theme="1"/>
        <rFont val="Calibri"/>
        <family val="2"/>
        <scheme val="minor"/>
      </rPr>
      <t>BC</t>
    </r>
    <r>
      <rPr>
        <sz val="11"/>
        <color theme="1"/>
        <rFont val="Calibri"/>
        <family val="2"/>
        <scheme val="minor"/>
      </rPr>
      <t xml:space="preserve"> specimens, and in experimentally induced </t>
    </r>
    <r>
      <rPr>
        <b/>
        <sz val="11"/>
        <color theme="1"/>
        <rFont val="Calibri"/>
        <family val="2"/>
        <scheme val="minor"/>
      </rPr>
      <t>CDDP</t>
    </r>
    <r>
      <rPr>
        <sz val="11"/>
        <color theme="1"/>
        <rFont val="Calibri"/>
        <family val="2"/>
        <scheme val="minor"/>
      </rPr>
      <t xml:space="preserve">-resistant BC cells. </t>
    </r>
    <r>
      <rPr>
        <b/>
        <sz val="11"/>
        <color theme="1"/>
        <rFont val="Calibri"/>
        <family val="2"/>
        <scheme val="minor"/>
      </rPr>
      <t>2)</t>
    </r>
    <r>
      <rPr>
        <sz val="11"/>
        <color theme="1"/>
        <rFont val="Calibri"/>
        <family val="2"/>
        <scheme val="minor"/>
      </rPr>
      <t xml:space="preserve"> overexpression of the exogenous GRIM19 potentiated CDDP sensitivity and suppressed the survival and invasion of BC cells in the presence of CDDP challenge. </t>
    </r>
    <r>
      <rPr>
        <b/>
        <sz val="11"/>
        <color theme="1"/>
        <rFont val="Calibri"/>
        <family val="2"/>
        <scheme val="minor"/>
      </rPr>
      <t xml:space="preserve">3) </t>
    </r>
    <r>
      <rPr>
        <sz val="11"/>
        <color theme="1"/>
        <rFont val="Calibri"/>
        <family val="2"/>
        <scheme val="minor"/>
      </rPr>
      <t xml:space="preserve">the compromised CDDP chemosensitization induced by GRIM19 loss was at least partially attributed to the attenuation of </t>
    </r>
    <r>
      <rPr>
        <b/>
        <sz val="11"/>
        <color theme="1"/>
        <rFont val="Calibri"/>
        <family val="2"/>
        <scheme val="minor"/>
      </rPr>
      <t>Bcl-xL polyubiquitination</t>
    </r>
    <r>
      <rPr>
        <sz val="11"/>
        <color theme="1"/>
        <rFont val="Calibri"/>
        <family val="2"/>
        <scheme val="minor"/>
      </rPr>
      <t xml:space="preserve"> and subsequent degradation, because (1) GRIM19 colocalized with Bcl-xL in the mitochondria of BC cells and (2) GRIM19 overexpression promoted the ubiquitination of Bcl-xL, and this event could be effectively reversed by pretreatment with inhibitors of p38-MAPK and JNK pathways. </t>
    </r>
    <r>
      <rPr>
        <b/>
        <sz val="11"/>
        <color theme="1"/>
        <rFont val="Calibri"/>
        <family val="2"/>
        <scheme val="minor"/>
      </rPr>
      <t>4)</t>
    </r>
    <r>
      <rPr>
        <sz val="11"/>
        <color theme="1"/>
        <rFont val="Calibri"/>
        <family val="2"/>
        <scheme val="minor"/>
      </rPr>
      <t xml:space="preserve">inhibition of Bcl-xL rectified GRIM19 deficiency-caused CDDP resistance in BC cells. </t>
    </r>
    <r>
      <rPr>
        <b/>
        <sz val="11"/>
        <color theme="1"/>
        <rFont val="Calibri"/>
        <family val="2"/>
        <scheme val="minor"/>
      </rPr>
      <t>5)</t>
    </r>
    <r>
      <rPr>
        <sz val="11"/>
        <color theme="1"/>
        <rFont val="Calibri"/>
        <family val="2"/>
        <scheme val="minor"/>
      </rPr>
      <t xml:space="preserve"> BCL2L1 mRNA levels were negatively correlated with GRIM19 mRNA levels in CDDP-associated clinical BC tissues.</t>
    </r>
  </si>
  <si>
    <r>
      <rPr>
        <b/>
        <sz val="11"/>
        <color theme="1"/>
        <rFont val="Calibri"/>
        <family val="2"/>
        <scheme val="minor"/>
      </rPr>
      <t xml:space="preserve">1) </t>
    </r>
    <r>
      <rPr>
        <sz val="11"/>
        <color theme="1"/>
        <rFont val="Calibri"/>
        <family val="2"/>
        <scheme val="minor"/>
      </rPr>
      <t xml:space="preserve">EMT is closely associated with </t>
    </r>
    <r>
      <rPr>
        <b/>
        <sz val="11"/>
        <color theme="1"/>
        <rFont val="Calibri"/>
        <family val="2"/>
        <scheme val="minor"/>
      </rPr>
      <t>DDP</t>
    </r>
    <r>
      <rPr>
        <sz val="11"/>
        <color theme="1"/>
        <rFont val="Calibri"/>
        <family val="2"/>
        <scheme val="minor"/>
      </rPr>
      <t xml:space="preserve">-induced drug resistance in </t>
    </r>
    <r>
      <rPr>
        <b/>
        <sz val="11"/>
        <color theme="1"/>
        <rFont val="Calibri"/>
        <family val="2"/>
        <scheme val="minor"/>
      </rPr>
      <t>nasopharyngeal</t>
    </r>
    <r>
      <rPr>
        <sz val="11"/>
        <color theme="1"/>
        <rFont val="Calibri"/>
        <family val="2"/>
        <scheme val="minor"/>
      </rPr>
      <t xml:space="preserve"> carcinoma cells (NPC) cells, as DDP-resistant cells displayed morphological and molecular markers changes consistent with </t>
    </r>
    <r>
      <rPr>
        <b/>
        <sz val="11"/>
        <color theme="1"/>
        <rFont val="Calibri"/>
        <family val="2"/>
        <scheme val="minor"/>
      </rPr>
      <t>EMT</t>
    </r>
    <r>
      <rPr>
        <sz val="11"/>
        <color theme="1"/>
        <rFont val="Calibri"/>
        <family val="2"/>
        <scheme val="minor"/>
      </rPr>
      <t xml:space="preserve">. </t>
    </r>
    <r>
      <rPr>
        <b/>
        <sz val="11"/>
        <color theme="1"/>
        <rFont val="Calibri"/>
        <family val="2"/>
        <scheme val="minor"/>
      </rPr>
      <t>2)</t>
    </r>
    <r>
      <rPr>
        <sz val="11"/>
        <color theme="1"/>
        <rFont val="Calibri"/>
        <family val="2"/>
        <scheme val="minor"/>
      </rPr>
      <t xml:space="preserve"> an enhanced migration and invasion potential in DDP-resistant NPC cells. </t>
    </r>
    <r>
      <rPr>
        <b/>
        <sz val="11"/>
        <color theme="1"/>
        <rFont val="Calibri"/>
        <family val="2"/>
        <scheme val="minor"/>
      </rPr>
      <t xml:space="preserve">3) </t>
    </r>
    <r>
      <rPr>
        <sz val="11"/>
        <color theme="1"/>
        <rFont val="Calibri"/>
        <family val="2"/>
        <scheme val="minor"/>
      </rPr>
      <t>Overexpression of NEDD4 was found in DDP-resistant NPC cells;</t>
    </r>
    <r>
      <rPr>
        <b/>
        <sz val="11"/>
        <color theme="1"/>
        <rFont val="Calibri"/>
        <family val="2"/>
        <scheme val="minor"/>
      </rPr>
      <t xml:space="preserve"> </t>
    </r>
    <r>
      <rPr>
        <sz val="11"/>
        <color theme="1"/>
        <rFont val="Calibri"/>
        <family val="2"/>
        <scheme val="minor"/>
      </rPr>
      <t>upregulation of</t>
    </r>
    <r>
      <rPr>
        <b/>
        <sz val="11"/>
        <color theme="1"/>
        <rFont val="Calibri"/>
        <family val="2"/>
        <scheme val="minor"/>
      </rPr>
      <t xml:space="preserve"> NEDD4</t>
    </r>
    <r>
      <rPr>
        <sz val="11"/>
        <color theme="1"/>
        <rFont val="Calibri"/>
        <family val="2"/>
        <scheme val="minor"/>
      </rPr>
      <t xml:space="preserve"> was observed to relate to EMT in DDP-resistant cells. </t>
    </r>
    <r>
      <rPr>
        <b/>
        <sz val="11"/>
        <color theme="1"/>
        <rFont val="Calibri"/>
        <family val="2"/>
        <scheme val="minor"/>
      </rPr>
      <t xml:space="preserve">4) </t>
    </r>
    <r>
      <rPr>
        <sz val="11"/>
        <color theme="1"/>
        <rFont val="Calibri"/>
        <family val="2"/>
        <scheme val="minor"/>
      </rPr>
      <t xml:space="preserve">depletion of NEDD4 in resistant cells led to a partial reversion of EMT phenotypes to MET characteristics and DDP-sensitivity. </t>
    </r>
    <r>
      <rPr>
        <b/>
        <sz val="11"/>
        <color theme="1"/>
        <rFont val="Calibri"/>
        <family val="2"/>
        <scheme val="minor"/>
      </rPr>
      <t>5)</t>
    </r>
    <r>
      <rPr>
        <sz val="11"/>
        <color theme="1"/>
        <rFont val="Calibri"/>
        <family val="2"/>
        <scheme val="minor"/>
      </rPr>
      <t xml:space="preserve"> NEDD4 is largely involved in EMT features and chemoresistance of NPC cancer cells.</t>
    </r>
  </si>
  <si>
    <r>
      <rPr>
        <b/>
        <sz val="11"/>
        <color theme="1"/>
        <rFont val="Calibri"/>
        <family val="2"/>
        <scheme val="minor"/>
      </rPr>
      <t xml:space="preserve">1) </t>
    </r>
    <r>
      <rPr>
        <sz val="11"/>
        <color theme="1"/>
        <rFont val="Calibri"/>
        <family val="2"/>
        <scheme val="minor"/>
      </rPr>
      <t xml:space="preserve">DDB2-mediated NEDD4L downregulation endowed a significant impact on </t>
    </r>
    <r>
      <rPr>
        <b/>
        <sz val="11"/>
        <color theme="1"/>
        <rFont val="Calibri"/>
        <family val="2"/>
        <scheme val="minor"/>
      </rPr>
      <t>ovarian</t>
    </r>
    <r>
      <rPr>
        <sz val="11"/>
        <color theme="1"/>
        <rFont val="Calibri"/>
        <family val="2"/>
        <scheme val="minor"/>
      </rPr>
      <t xml:space="preserve"> cancer cell proliferation through TGF-β signal transduction. </t>
    </r>
    <r>
      <rPr>
        <b/>
        <sz val="11"/>
        <color theme="1"/>
        <rFont val="Calibri"/>
        <family val="2"/>
        <scheme val="minor"/>
      </rPr>
      <t xml:space="preserve">2) </t>
    </r>
    <r>
      <rPr>
        <sz val="11"/>
        <color theme="1"/>
        <rFont val="Calibri"/>
        <family val="2"/>
        <scheme val="minor"/>
      </rPr>
      <t xml:space="preserve">Decreased expression of Nedd4L correlates with poor prognosis in </t>
    </r>
    <r>
      <rPr>
        <b/>
        <sz val="11"/>
        <color theme="1"/>
        <rFont val="Calibri"/>
        <family val="2"/>
        <scheme val="minor"/>
      </rPr>
      <t>gastric</t>
    </r>
    <r>
      <rPr>
        <sz val="11"/>
        <color theme="1"/>
        <rFont val="Calibri"/>
        <family val="2"/>
        <scheme val="minor"/>
      </rPr>
      <t xml:space="preserve"> cancer patient. </t>
    </r>
  </si>
  <si>
    <r>
      <rPr>
        <b/>
        <sz val="11"/>
        <color theme="1"/>
        <rFont val="Calibri"/>
        <family val="2"/>
        <scheme val="minor"/>
      </rPr>
      <t>1) MLN4924</t>
    </r>
    <r>
      <rPr>
        <sz val="11"/>
        <color theme="1"/>
        <rFont val="Calibri"/>
        <family val="2"/>
        <scheme val="minor"/>
      </rPr>
      <t xml:space="preserve"> is a potent inhibitor of NEDDylation and provoked the stabilization of key </t>
    </r>
    <r>
      <rPr>
        <b/>
        <sz val="11"/>
        <color theme="1"/>
        <rFont val="Calibri"/>
        <family val="2"/>
        <scheme val="minor"/>
      </rPr>
      <t>NEDD8</t>
    </r>
    <r>
      <rPr>
        <sz val="11"/>
        <color theme="1"/>
        <rFont val="Calibri"/>
        <family val="2"/>
        <scheme val="minor"/>
      </rPr>
      <t xml:space="preserve"> substrates and regulators of cellular redox status.</t>
    </r>
    <r>
      <rPr>
        <b/>
        <sz val="11"/>
        <color theme="1"/>
        <rFont val="Calibri"/>
        <family val="2"/>
        <scheme val="minor"/>
      </rPr>
      <t xml:space="preserve"> 2) </t>
    </r>
    <r>
      <rPr>
        <sz val="11"/>
        <color theme="1"/>
        <rFont val="Calibri"/>
        <family val="2"/>
        <scheme val="minor"/>
      </rPr>
      <t xml:space="preserve">MLN4924 significantly augmented the activity of </t>
    </r>
    <r>
      <rPr>
        <b/>
        <sz val="11"/>
        <color theme="1"/>
        <rFont val="Calibri"/>
        <family val="2"/>
        <scheme val="minor"/>
      </rPr>
      <t>cisplatin</t>
    </r>
    <r>
      <rPr>
        <sz val="11"/>
        <color theme="1"/>
        <rFont val="Calibri"/>
        <family val="2"/>
        <scheme val="minor"/>
      </rPr>
      <t xml:space="preserve"> against cisplatin-resistant cells, suggesting that aberrant NEDDylation may contribute to drug resistance. </t>
    </r>
    <r>
      <rPr>
        <b/>
        <sz val="11"/>
        <color theme="1"/>
        <rFont val="Calibri"/>
        <family val="2"/>
        <scheme val="minor"/>
      </rPr>
      <t>3) MLN4924</t>
    </r>
    <r>
      <rPr>
        <sz val="11"/>
        <color theme="1"/>
        <rFont val="Calibri"/>
        <family val="2"/>
        <scheme val="minor"/>
      </rPr>
      <t xml:space="preserve"> and </t>
    </r>
    <r>
      <rPr>
        <b/>
        <sz val="11"/>
        <color theme="1"/>
        <rFont val="Calibri"/>
        <family val="2"/>
        <scheme val="minor"/>
      </rPr>
      <t>cisplatin</t>
    </r>
    <r>
      <rPr>
        <sz val="11"/>
        <color theme="1"/>
        <rFont val="Calibri"/>
        <family val="2"/>
        <scheme val="minor"/>
      </rPr>
      <t xml:space="preserve"> cooperated to induce DNA damage, oxidative stress, and increased expression of the BH3-only protein NBK/BIK. </t>
    </r>
    <r>
      <rPr>
        <b/>
        <sz val="11"/>
        <color theme="1"/>
        <rFont val="Calibri"/>
        <family val="2"/>
        <scheme val="minor"/>
      </rPr>
      <t xml:space="preserve">4) </t>
    </r>
    <r>
      <rPr>
        <sz val="11"/>
        <color theme="1"/>
        <rFont val="Calibri"/>
        <family val="2"/>
        <scheme val="minor"/>
      </rPr>
      <t xml:space="preserve">Administration of MLN4924 to mice bearing </t>
    </r>
    <r>
      <rPr>
        <b/>
        <sz val="11"/>
        <color theme="1"/>
        <rFont val="Calibri"/>
        <family val="2"/>
        <scheme val="minor"/>
      </rPr>
      <t xml:space="preserve">ovarian </t>
    </r>
    <r>
      <rPr>
        <sz val="11"/>
        <color theme="1"/>
        <rFont val="Calibri"/>
        <family val="2"/>
        <scheme val="minor"/>
      </rPr>
      <t xml:space="preserve">tumor xenografts significantly increased the efficacy of cisplatin against both cisplatin-sensitive and -resistant tumors. </t>
    </r>
    <r>
      <rPr>
        <b/>
        <sz val="11"/>
        <color theme="1"/>
        <rFont val="Calibri"/>
        <family val="2"/>
        <scheme val="minor"/>
      </rPr>
      <t>5)</t>
    </r>
    <r>
      <rPr>
        <sz val="11"/>
        <color theme="1"/>
        <rFont val="Calibri"/>
        <family val="2"/>
        <scheme val="minor"/>
      </rPr>
      <t xml:space="preserve"> 197 NPC tissues revealed an elevated NEDD8 expression as an unfavorable independent factor in overall survival and disease-free survival rates. </t>
    </r>
    <r>
      <rPr>
        <b/>
        <sz val="11"/>
        <color theme="1"/>
        <rFont val="Calibri"/>
        <family val="2"/>
        <scheme val="minor"/>
      </rPr>
      <t xml:space="preserve">6) </t>
    </r>
    <r>
      <rPr>
        <sz val="11"/>
        <color theme="1"/>
        <rFont val="Calibri"/>
        <family val="2"/>
        <scheme val="minor"/>
      </rPr>
      <t xml:space="preserve">shRNA Downregulation of NEDD8 enhanced the susceptibility of NPC cells to cisplatin and radiation. </t>
    </r>
  </si>
  <si>
    <r>
      <rPr>
        <b/>
        <sz val="11"/>
        <color theme="1"/>
        <rFont val="Calibri"/>
        <family val="2"/>
        <scheme val="minor"/>
      </rPr>
      <t>1)</t>
    </r>
    <r>
      <rPr>
        <sz val="11"/>
        <color theme="1"/>
        <rFont val="Calibri"/>
        <family val="2"/>
        <scheme val="minor"/>
      </rPr>
      <t xml:space="preserve"> After </t>
    </r>
    <r>
      <rPr>
        <b/>
        <sz val="11"/>
        <color theme="1"/>
        <rFont val="Calibri"/>
        <family val="2"/>
        <scheme val="minor"/>
      </rPr>
      <t>cisplatin</t>
    </r>
    <r>
      <rPr>
        <sz val="11"/>
        <color theme="1"/>
        <rFont val="Calibri"/>
        <family val="2"/>
        <scheme val="minor"/>
      </rPr>
      <t xml:space="preserve">-based chemotherapy, the </t>
    </r>
    <r>
      <rPr>
        <b/>
        <sz val="11"/>
        <color theme="1"/>
        <rFont val="Calibri"/>
        <family val="2"/>
        <scheme val="minor"/>
      </rPr>
      <t>Neil2</t>
    </r>
    <r>
      <rPr>
        <sz val="11"/>
        <color theme="1"/>
        <rFont val="Calibri"/>
        <family val="2"/>
        <scheme val="minor"/>
      </rPr>
      <t xml:space="preserve"> gene had the polymorphism (T/C) in rs8191670 and it is associated with the PFS of advanced NSCLC patients. </t>
    </r>
    <r>
      <rPr>
        <b/>
        <sz val="11"/>
        <color theme="1"/>
        <rFont val="Calibri"/>
        <family val="2"/>
        <scheme val="minor"/>
      </rPr>
      <t>2)</t>
    </r>
    <r>
      <rPr>
        <sz val="11"/>
        <color theme="1"/>
        <rFont val="Calibri"/>
        <family val="2"/>
        <scheme val="minor"/>
      </rPr>
      <t xml:space="preserve"> MiR-548a targets NEIL2 3'UTR to suppress its expression. Upregulation of NEIL2 expression or downregulation of miR-548a could reduce the sensitivity of NSCLC cells to</t>
    </r>
    <r>
      <rPr>
        <b/>
        <sz val="11"/>
        <color theme="1"/>
        <rFont val="Calibri"/>
        <family val="2"/>
        <scheme val="minor"/>
      </rPr>
      <t xml:space="preserve"> cisplatin</t>
    </r>
    <r>
      <rPr>
        <sz val="11"/>
        <color theme="1"/>
        <rFont val="Calibri"/>
        <family val="2"/>
        <scheme val="minor"/>
      </rPr>
      <t>.</t>
    </r>
  </si>
  <si>
    <r>
      <rPr>
        <b/>
        <sz val="11"/>
        <color theme="1"/>
        <rFont val="Calibri"/>
        <family val="2"/>
        <scheme val="minor"/>
      </rPr>
      <t xml:space="preserve">1) </t>
    </r>
    <r>
      <rPr>
        <sz val="11"/>
        <color theme="1"/>
        <rFont val="Calibri"/>
        <family val="2"/>
        <scheme val="minor"/>
      </rPr>
      <t xml:space="preserve">NEK11 mRNA was significantly downregulated in 586 cases of </t>
    </r>
    <r>
      <rPr>
        <b/>
        <sz val="11"/>
        <color theme="1"/>
        <rFont val="Calibri"/>
        <family val="2"/>
        <scheme val="minor"/>
      </rPr>
      <t>ovarian</t>
    </r>
    <r>
      <rPr>
        <sz val="11"/>
        <color theme="1"/>
        <rFont val="Calibri"/>
        <family val="2"/>
        <scheme val="minor"/>
      </rPr>
      <t xml:space="preserve"> serous cystadenocarcinomas and </t>
    </r>
    <r>
      <rPr>
        <b/>
        <sz val="11"/>
        <color theme="1"/>
        <rFont val="Calibri"/>
        <family val="2"/>
        <scheme val="minor"/>
      </rPr>
      <t>cisplatin</t>
    </r>
    <r>
      <rPr>
        <sz val="11"/>
        <color theme="1"/>
        <rFont val="Calibri"/>
        <family val="2"/>
        <scheme val="minor"/>
      </rPr>
      <t>-resistant A2780 ovarian cancer cells.</t>
    </r>
    <r>
      <rPr>
        <b/>
        <sz val="11"/>
        <color theme="1"/>
        <rFont val="Calibri"/>
        <family val="2"/>
        <scheme val="minor"/>
      </rPr>
      <t xml:space="preserve"> 2) </t>
    </r>
    <r>
      <rPr>
        <sz val="11"/>
        <color theme="1"/>
        <rFont val="Calibri"/>
        <family val="2"/>
        <scheme val="minor"/>
      </rPr>
      <t xml:space="preserve">depletion of Nek11 prevents the G2/M arrest induced by genotoxic agents and promotes p53-dependent apoptosis both in the presence and absence of DNA damage. </t>
    </r>
    <r>
      <rPr>
        <b/>
        <sz val="11"/>
        <color theme="1"/>
        <rFont val="Calibri"/>
        <family val="2"/>
        <scheme val="minor"/>
      </rPr>
      <t xml:space="preserve">3) </t>
    </r>
    <r>
      <rPr>
        <sz val="11"/>
        <color theme="1"/>
        <rFont val="Calibri"/>
        <family val="2"/>
        <scheme val="minor"/>
      </rPr>
      <t xml:space="preserve">The Nek11 kinase is a potential mediator of the DNA damage response whose expression is upregulated in early stage </t>
    </r>
    <r>
      <rPr>
        <b/>
        <sz val="11"/>
        <color theme="1"/>
        <rFont val="Calibri"/>
        <family val="2"/>
        <scheme val="minor"/>
      </rPr>
      <t>colorectal</t>
    </r>
    <r>
      <rPr>
        <sz val="11"/>
        <color theme="1"/>
        <rFont val="Calibri"/>
        <family val="2"/>
        <scheme val="minor"/>
      </rPr>
      <t xml:space="preserve"> cancers (CRCs).</t>
    </r>
  </si>
  <si>
    <r>
      <rPr>
        <b/>
        <sz val="11"/>
        <color theme="1"/>
        <rFont val="Calibri"/>
        <family val="2"/>
        <scheme val="minor"/>
      </rPr>
      <t xml:space="preserve">1) </t>
    </r>
    <r>
      <rPr>
        <sz val="11"/>
        <color theme="1"/>
        <rFont val="Calibri"/>
        <family val="2"/>
        <scheme val="minor"/>
      </rPr>
      <t xml:space="preserve">not only TG2 knockdown but also a TG2 enzymatic inhibitor (KCC009) sensitized SKOV3 cells to </t>
    </r>
    <r>
      <rPr>
        <b/>
        <sz val="11"/>
        <color theme="1"/>
        <rFont val="Calibri"/>
        <family val="2"/>
        <scheme val="minor"/>
      </rPr>
      <t>cisplatin</t>
    </r>
    <r>
      <rPr>
        <sz val="11"/>
        <color theme="1"/>
        <rFont val="Calibri"/>
        <family val="2"/>
        <scheme val="minor"/>
      </rPr>
      <t xml:space="preserve">. </t>
    </r>
    <r>
      <rPr>
        <b/>
        <sz val="11"/>
        <color theme="1"/>
        <rFont val="Calibri"/>
        <family val="2"/>
        <scheme val="minor"/>
      </rPr>
      <t>2)</t>
    </r>
    <r>
      <rPr>
        <sz val="11"/>
        <color theme="1"/>
        <rFont val="Calibri"/>
        <family val="2"/>
        <scheme val="minor"/>
      </rPr>
      <t xml:space="preserve"> </t>
    </r>
    <r>
      <rPr>
        <b/>
        <sz val="11"/>
        <color theme="1"/>
        <rFont val="Calibri"/>
        <family val="2"/>
        <scheme val="minor"/>
      </rPr>
      <t>NF-kappaB</t>
    </r>
    <r>
      <rPr>
        <sz val="11"/>
        <color theme="1"/>
        <rFont val="Calibri"/>
        <family val="2"/>
        <scheme val="minor"/>
      </rPr>
      <t xml:space="preserve"> activity is decreased and the level of the inhibitory subunit I kappaB alpha is increased in </t>
    </r>
    <r>
      <rPr>
        <b/>
        <sz val="11"/>
        <color theme="1"/>
        <rFont val="Calibri"/>
        <family val="2"/>
        <scheme val="minor"/>
      </rPr>
      <t>ovarian</t>
    </r>
    <r>
      <rPr>
        <sz val="11"/>
        <color theme="1"/>
        <rFont val="Calibri"/>
        <family val="2"/>
        <scheme val="minor"/>
      </rPr>
      <t xml:space="preserve"> cancer cells with diminished levels of TG2 or treated with KCC009. </t>
    </r>
    <r>
      <rPr>
        <b/>
        <sz val="11"/>
        <color theme="1"/>
        <rFont val="Calibri"/>
        <family val="2"/>
        <scheme val="minor"/>
      </rPr>
      <t xml:space="preserve">3) </t>
    </r>
    <r>
      <rPr>
        <sz val="11"/>
        <color theme="1"/>
        <rFont val="Calibri"/>
        <family val="2"/>
        <scheme val="minor"/>
      </rPr>
      <t xml:space="preserve">Overexpression of the constitutively active p65 subunit of NF-kappaB, but not constitutively active Akt, rescued cells with diminished TG2 expression from cisplatin-induced apoptosis. </t>
    </r>
    <r>
      <rPr>
        <b/>
        <sz val="11"/>
        <color theme="1"/>
        <rFont val="Calibri"/>
        <family val="2"/>
        <scheme val="minor"/>
      </rPr>
      <t>4)</t>
    </r>
    <r>
      <rPr>
        <sz val="11"/>
        <color theme="1"/>
        <rFont val="Calibri"/>
        <family val="2"/>
        <scheme val="minor"/>
      </rPr>
      <t xml:space="preserve"> A total of 1159 patients from 7 eligible studies comparing prognostic significance of NF-κB expression levels in </t>
    </r>
    <r>
      <rPr>
        <b/>
        <sz val="11"/>
        <color theme="1"/>
        <rFont val="Calibri"/>
        <family val="2"/>
        <scheme val="minor"/>
      </rPr>
      <t>NSCLC</t>
    </r>
    <r>
      <rPr>
        <sz val="11"/>
        <color theme="1"/>
        <rFont val="Calibri"/>
        <family val="2"/>
        <scheme val="minor"/>
      </rPr>
      <t xml:space="preserve">: higher NF-κB expression was associated with shorter overall survival (OS) of NSCLC patients (HR = 2.78, 95% CI = 1.51–5.12, P = 0.001). Moreover, NF-κB expression was closely associated with tumor stage (HR = 0.32, 95% CI = 0.18–0.57, P&lt;0.0001), lymph node metastasis (HR = 0.56, 95% CI = 0.38–0.83, P = 0.004) and 5-year OS for NSCLC patients </t>
    </r>
  </si>
  <si>
    <r>
      <rPr>
        <b/>
        <sz val="11"/>
        <color theme="1"/>
        <rFont val="Calibri"/>
        <family val="2"/>
        <scheme val="minor"/>
      </rPr>
      <t>1)</t>
    </r>
    <r>
      <rPr>
        <sz val="11"/>
        <color theme="1"/>
        <rFont val="Calibri"/>
        <family val="2"/>
        <scheme val="minor"/>
      </rPr>
      <t xml:space="preserve"> NID1 was a mesenchymal associated gene </t>
    </r>
    <r>
      <rPr>
        <b/>
        <sz val="11"/>
        <color theme="1"/>
        <rFont val="Calibri"/>
        <family val="2"/>
        <scheme val="minor"/>
      </rPr>
      <t xml:space="preserve">2) </t>
    </r>
    <r>
      <rPr>
        <sz val="11"/>
        <color theme="1"/>
        <rFont val="Calibri"/>
        <family val="2"/>
        <scheme val="minor"/>
      </rPr>
      <t xml:space="preserve">its high expression was significantly correlated with shorter overall survival of ovarian cancer patients. </t>
    </r>
    <r>
      <rPr>
        <b/>
        <sz val="11"/>
        <color theme="1"/>
        <rFont val="Calibri"/>
        <family val="2"/>
        <scheme val="minor"/>
      </rPr>
      <t xml:space="preserve">3) </t>
    </r>
    <r>
      <rPr>
        <sz val="11"/>
        <color theme="1"/>
        <rFont val="Calibri"/>
        <family val="2"/>
        <scheme val="minor"/>
      </rPr>
      <t xml:space="preserve">The ectopic expression of NID1 in OVCAR-3 cells revealed a epithelial-mesenchymal transition (EMT) phenotype accompanied by enhancement of motility, invasiveness and </t>
    </r>
    <r>
      <rPr>
        <b/>
        <sz val="11"/>
        <color theme="1"/>
        <rFont val="Calibri"/>
        <family val="2"/>
        <scheme val="minor"/>
      </rPr>
      <t>cisplatin resistance</t>
    </r>
    <r>
      <rPr>
        <sz val="11"/>
        <color theme="1"/>
        <rFont val="Calibri"/>
        <family val="2"/>
        <scheme val="minor"/>
      </rPr>
      <t xml:space="preserve">, </t>
    </r>
    <r>
      <rPr>
        <b/>
        <sz val="11"/>
        <color theme="1"/>
        <rFont val="Calibri"/>
        <family val="2"/>
        <scheme val="minor"/>
      </rPr>
      <t xml:space="preserve">4) </t>
    </r>
    <r>
      <rPr>
        <sz val="11"/>
        <color theme="1"/>
        <rFont val="Calibri"/>
        <family val="2"/>
        <scheme val="minor"/>
      </rPr>
      <t xml:space="preserve">the knockdown of NID1 was sufficient to convert HEY cells into epithelial phenotype with decreased capability of motility, invasiveness and cisplatin resistance. </t>
    </r>
    <r>
      <rPr>
        <b/>
        <sz val="11"/>
        <color theme="1"/>
        <rFont val="Calibri"/>
        <family val="2"/>
        <scheme val="minor"/>
      </rPr>
      <t xml:space="preserve">5) </t>
    </r>
    <r>
      <rPr>
        <sz val="11"/>
        <color theme="1"/>
        <rFont val="Calibri"/>
        <family val="2"/>
        <scheme val="minor"/>
      </rPr>
      <t xml:space="preserve">Mechanistic studies disclosed that NID1 activated ERK/MAPK signaling pathway to promote EMT. </t>
    </r>
  </si>
  <si>
    <r>
      <rPr>
        <b/>
        <sz val="11"/>
        <color theme="1"/>
        <rFont val="Calibri"/>
        <family val="2"/>
        <scheme val="minor"/>
      </rPr>
      <t>1) NKX2–8</t>
    </r>
    <r>
      <rPr>
        <sz val="11"/>
        <color theme="1"/>
        <rFont val="Calibri"/>
        <family val="2"/>
        <scheme val="minor"/>
      </rPr>
      <t xml:space="preserve"> deletion was correlated with the overall and relapse-free survival of </t>
    </r>
    <r>
      <rPr>
        <b/>
        <sz val="11"/>
        <color theme="1"/>
        <rFont val="Calibri"/>
        <family val="2"/>
        <scheme val="minor"/>
      </rPr>
      <t xml:space="preserve">EOC </t>
    </r>
    <r>
      <rPr>
        <sz val="11"/>
        <color theme="1"/>
        <rFont val="Calibri"/>
        <family val="2"/>
        <scheme val="minor"/>
      </rPr>
      <t xml:space="preserve">patients. </t>
    </r>
    <r>
      <rPr>
        <b/>
        <sz val="11"/>
        <color theme="1"/>
        <rFont val="Calibri"/>
        <family val="2"/>
        <scheme val="minor"/>
      </rPr>
      <t xml:space="preserve">2) </t>
    </r>
    <r>
      <rPr>
        <sz val="11"/>
        <color theme="1"/>
        <rFont val="Calibri"/>
        <family val="2"/>
        <scheme val="minor"/>
      </rPr>
      <t xml:space="preserve">NKX2–8 inhibited the </t>
    </r>
    <r>
      <rPr>
        <b/>
        <sz val="11"/>
        <color theme="1"/>
        <rFont val="Calibri"/>
        <family val="2"/>
        <scheme val="minor"/>
      </rPr>
      <t>FAO</t>
    </r>
    <r>
      <rPr>
        <sz val="11"/>
        <color theme="1"/>
        <rFont val="Calibri"/>
        <family val="2"/>
        <scheme val="minor"/>
      </rPr>
      <t xml:space="preserve"> pathway by epigenetically suppressing multiple key components of the FAO cascade, including </t>
    </r>
    <r>
      <rPr>
        <b/>
        <sz val="11"/>
        <color theme="1"/>
        <rFont val="Calibri"/>
        <family val="2"/>
        <scheme val="minor"/>
      </rPr>
      <t>CPT1A</t>
    </r>
    <r>
      <rPr>
        <sz val="11"/>
        <color theme="1"/>
        <rFont val="Calibri"/>
        <family val="2"/>
        <scheme val="minor"/>
      </rPr>
      <t xml:space="preserve"> and </t>
    </r>
    <r>
      <rPr>
        <b/>
        <sz val="11"/>
        <color theme="1"/>
        <rFont val="Calibri"/>
        <family val="2"/>
        <scheme val="minor"/>
      </rPr>
      <t>CPT2</t>
    </r>
    <r>
      <rPr>
        <sz val="11"/>
        <color theme="1"/>
        <rFont val="Calibri"/>
        <family val="2"/>
        <scheme val="minor"/>
      </rPr>
      <t xml:space="preserve">. </t>
    </r>
    <r>
      <rPr>
        <b/>
        <sz val="11"/>
        <color theme="1"/>
        <rFont val="Calibri"/>
        <family val="2"/>
        <scheme val="minor"/>
      </rPr>
      <t xml:space="preserve">3) </t>
    </r>
    <r>
      <rPr>
        <sz val="11"/>
        <color theme="1"/>
        <rFont val="Calibri"/>
        <family val="2"/>
        <scheme val="minor"/>
      </rPr>
      <t xml:space="preserve">Loss of NKX2–8 resulted in reprogramming of FA metabolism of EOC cells in an adipose microenvironment and leading to </t>
    </r>
    <r>
      <rPr>
        <b/>
        <sz val="11"/>
        <color theme="1"/>
        <rFont val="Calibri"/>
        <family val="2"/>
        <scheme val="minor"/>
      </rPr>
      <t>platinum</t>
    </r>
    <r>
      <rPr>
        <sz val="11"/>
        <color theme="1"/>
        <rFont val="Calibri"/>
        <family val="2"/>
        <scheme val="minor"/>
      </rPr>
      <t xml:space="preserve"> resistance. </t>
    </r>
    <r>
      <rPr>
        <b/>
        <sz val="11"/>
        <color theme="1"/>
        <rFont val="Calibri"/>
        <family val="2"/>
        <scheme val="minor"/>
      </rPr>
      <t>4)</t>
    </r>
    <r>
      <rPr>
        <sz val="11"/>
        <color theme="1"/>
        <rFont val="Calibri"/>
        <family val="2"/>
        <scheme val="minor"/>
      </rPr>
      <t xml:space="preserve"> Importantly, pharmacological inhibition of FAO pathway using </t>
    </r>
    <r>
      <rPr>
        <b/>
        <sz val="11"/>
        <color theme="1"/>
        <rFont val="Calibri"/>
        <family val="2"/>
        <scheme val="minor"/>
      </rPr>
      <t>Perhexiline</t>
    </r>
    <r>
      <rPr>
        <sz val="11"/>
        <color theme="1"/>
        <rFont val="Calibri"/>
        <family val="2"/>
        <scheme val="minor"/>
      </rPr>
      <t xml:space="preserve"> significantly counteracted NKX2–8 deletion-induced chemoresistance and enhanced platinum's therapeutic efficacy in EOC.</t>
    </r>
  </si>
  <si>
    <r>
      <rPr>
        <b/>
        <sz val="11"/>
        <color theme="1"/>
        <rFont val="Calibri"/>
        <family val="2"/>
        <scheme val="minor"/>
      </rPr>
      <t>1)</t>
    </r>
    <r>
      <rPr>
        <sz val="11"/>
        <color theme="1"/>
        <rFont val="Calibri"/>
        <family val="2"/>
        <scheme val="minor"/>
      </rPr>
      <t xml:space="preserve"> Basal iNOS levels were higher in OV2008 cells than in C13* cells. </t>
    </r>
    <r>
      <rPr>
        <b/>
        <sz val="11"/>
        <color theme="1"/>
        <rFont val="Calibri"/>
        <family val="2"/>
        <scheme val="minor"/>
      </rPr>
      <t>2)</t>
    </r>
    <r>
      <rPr>
        <sz val="11"/>
        <color theme="1"/>
        <rFont val="Calibri"/>
        <family val="2"/>
        <scheme val="minor"/>
      </rPr>
      <t xml:space="preserve"> Cisplatin upregulated iNOS, but dramatically reduced eNOS and </t>
    </r>
    <r>
      <rPr>
        <b/>
        <sz val="11"/>
        <color theme="1"/>
        <rFont val="Calibri"/>
        <family val="2"/>
        <scheme val="minor"/>
      </rPr>
      <t>nNOS</t>
    </r>
    <r>
      <rPr>
        <sz val="11"/>
        <color theme="1"/>
        <rFont val="Calibri"/>
        <family val="2"/>
        <scheme val="minor"/>
      </rPr>
      <t xml:space="preserve">, in OV2008 cells only. </t>
    </r>
    <r>
      <rPr>
        <b/>
        <sz val="11"/>
        <color theme="1"/>
        <rFont val="Calibri"/>
        <family val="2"/>
        <scheme val="minor"/>
      </rPr>
      <t>3)</t>
    </r>
    <r>
      <rPr>
        <sz val="11"/>
        <color theme="1"/>
        <rFont val="Calibri"/>
        <family val="2"/>
        <scheme val="minor"/>
      </rPr>
      <t xml:space="preserve"> cisplatin failed to upregulate iNOS and downregulate eNOS</t>
    </r>
    <r>
      <rPr>
        <b/>
        <sz val="11"/>
        <color theme="1"/>
        <rFont val="Calibri"/>
        <family val="2"/>
        <scheme val="minor"/>
      </rPr>
      <t xml:space="preserve">/nNOS </t>
    </r>
    <r>
      <rPr>
        <sz val="11"/>
        <color theme="1"/>
        <rFont val="Calibri"/>
        <family val="2"/>
        <scheme val="minor"/>
      </rPr>
      <t xml:space="preserve">in </t>
    </r>
    <r>
      <rPr>
        <b/>
        <sz val="11"/>
        <color theme="1"/>
        <rFont val="Calibri"/>
        <family val="2"/>
        <scheme val="minor"/>
      </rPr>
      <t>cisplatin-resistant</t>
    </r>
    <r>
      <rPr>
        <sz val="11"/>
        <color theme="1"/>
        <rFont val="Calibri"/>
        <family val="2"/>
        <scheme val="minor"/>
      </rPr>
      <t xml:space="preserve"> C13* cells. </t>
    </r>
    <r>
      <rPr>
        <b/>
        <sz val="11"/>
        <color theme="1"/>
        <rFont val="Calibri"/>
        <family val="2"/>
        <scheme val="minor"/>
      </rPr>
      <t>4)</t>
    </r>
    <r>
      <rPr>
        <sz val="11"/>
        <color theme="1"/>
        <rFont val="Calibri"/>
        <family val="2"/>
        <scheme val="minor"/>
      </rPr>
      <t xml:space="preserve"> The NO donor S-nitroso-N-acetylpenicillamine (SNAP) increased p53 protein levels and enhanced </t>
    </r>
    <r>
      <rPr>
        <b/>
        <sz val="11"/>
        <color theme="1"/>
        <rFont val="Calibri"/>
        <family val="2"/>
        <scheme val="minor"/>
      </rPr>
      <t>cisplatin-induced apoptosis</t>
    </r>
    <r>
      <rPr>
        <sz val="11"/>
        <color theme="1"/>
        <rFont val="Calibri"/>
        <family val="2"/>
        <scheme val="minor"/>
      </rPr>
      <t xml:space="preserve"> in C13* cells in a p53-dependent manner. </t>
    </r>
    <r>
      <rPr>
        <b/>
        <sz val="11"/>
        <color theme="1"/>
        <rFont val="Calibri"/>
        <family val="2"/>
        <scheme val="minor"/>
      </rPr>
      <t xml:space="preserve">5) </t>
    </r>
    <r>
      <rPr>
        <sz val="11"/>
        <color theme="1"/>
        <rFont val="Calibri"/>
        <family val="2"/>
        <scheme val="minor"/>
      </rPr>
      <t xml:space="preserve">Specific iNOS inhibitor 1400W partially blocked cisplatin-induced apoptosis in OV2008 cells. </t>
    </r>
    <r>
      <rPr>
        <b/>
        <sz val="11"/>
        <color theme="1"/>
        <rFont val="Calibri"/>
        <family val="2"/>
        <scheme val="minor"/>
      </rPr>
      <t xml:space="preserve">6) </t>
    </r>
    <r>
      <rPr>
        <sz val="11"/>
        <color theme="1"/>
        <rFont val="Calibri"/>
        <family val="2"/>
        <scheme val="minor"/>
      </rPr>
      <t xml:space="preserve">In cisplatin-resistant C13* cells, blocking all NOSs with NG-amino-L-arginine dramatically changed these cells from cisplatin-resistant to cisplatin-sensitive, greatly potentiating cisplatin-induced apoptosis.  </t>
    </r>
    <r>
      <rPr>
        <b/>
        <sz val="11"/>
        <color theme="1"/>
        <rFont val="Calibri"/>
        <family val="2"/>
        <scheme val="minor"/>
      </rPr>
      <t xml:space="preserve">7) </t>
    </r>
    <r>
      <rPr>
        <sz val="11"/>
        <color theme="1"/>
        <rFont val="Calibri"/>
        <family val="2"/>
        <scheme val="minor"/>
      </rPr>
      <t>eNOS/</t>
    </r>
    <r>
      <rPr>
        <b/>
        <sz val="11"/>
        <color theme="1"/>
        <rFont val="Calibri"/>
        <family val="2"/>
        <scheme val="minor"/>
      </rPr>
      <t>nNOS</t>
    </r>
    <r>
      <rPr>
        <sz val="11"/>
        <color theme="1"/>
        <rFont val="Calibri"/>
        <family val="2"/>
        <scheme val="minor"/>
      </rPr>
      <t xml:space="preserve"> contributes (in a p53-independent manner) to chemoresistance by suppressing CDDP-induced apoptosis in isogenic CDDP-resistant cells. </t>
    </r>
    <r>
      <rPr>
        <b/>
        <sz val="11"/>
        <color theme="1"/>
        <rFont val="Calibri"/>
        <family val="2"/>
        <scheme val="minor"/>
      </rPr>
      <t>8)</t>
    </r>
    <r>
      <rPr>
        <sz val="11"/>
        <color theme="1"/>
        <rFont val="Calibri"/>
        <family val="2"/>
        <scheme val="minor"/>
      </rPr>
      <t xml:space="preserve"> The positive expression of </t>
    </r>
    <r>
      <rPr>
        <b/>
        <sz val="11"/>
        <color theme="1"/>
        <rFont val="Calibri"/>
        <family val="2"/>
        <scheme val="minor"/>
      </rPr>
      <t>NOS1</t>
    </r>
    <r>
      <rPr>
        <sz val="11"/>
        <color theme="1"/>
        <rFont val="Calibri"/>
        <family val="2"/>
        <scheme val="minor"/>
      </rPr>
      <t xml:space="preserve"> in cancer cells is an independent negative predictor of PFS and OS in patients with stage I–IIIA </t>
    </r>
    <r>
      <rPr>
        <b/>
        <sz val="11"/>
        <color theme="1"/>
        <rFont val="Calibri"/>
        <family val="2"/>
        <scheme val="minor"/>
      </rPr>
      <t>NSCLC</t>
    </r>
    <r>
      <rPr>
        <sz val="11"/>
        <color theme="1"/>
        <rFont val="Calibri"/>
        <family val="2"/>
        <scheme val="minor"/>
      </rPr>
      <t xml:space="preserve"> after curative resection. </t>
    </r>
    <r>
      <rPr>
        <b/>
        <sz val="11"/>
        <color theme="1"/>
        <rFont val="Calibri"/>
        <family val="2"/>
        <scheme val="minor"/>
      </rPr>
      <t xml:space="preserve">9) </t>
    </r>
    <r>
      <rPr>
        <sz val="11"/>
        <color theme="1"/>
        <rFont val="Calibri"/>
        <family val="2"/>
        <scheme val="minor"/>
      </rPr>
      <t xml:space="preserve">Mitochondrial </t>
    </r>
    <r>
      <rPr>
        <b/>
        <sz val="11"/>
        <color theme="1"/>
        <rFont val="Calibri"/>
        <family val="2"/>
        <scheme val="minor"/>
      </rPr>
      <t>NOS1</t>
    </r>
    <r>
      <rPr>
        <sz val="11"/>
        <color theme="1"/>
        <rFont val="Calibri"/>
        <family val="2"/>
        <scheme val="minor"/>
      </rPr>
      <t xml:space="preserve"> suppresses apoptosis in colon cancer cells through increasing </t>
    </r>
    <r>
      <rPr>
        <b/>
        <sz val="11"/>
        <color theme="1"/>
        <rFont val="Calibri"/>
        <family val="2"/>
        <scheme val="minor"/>
      </rPr>
      <t>SIRT3</t>
    </r>
    <r>
      <rPr>
        <sz val="11"/>
        <color theme="1"/>
        <rFont val="Calibri"/>
        <family val="2"/>
        <scheme val="minor"/>
      </rPr>
      <t xml:space="preserve"> activity. </t>
    </r>
    <r>
      <rPr>
        <b/>
        <sz val="11"/>
        <color theme="1"/>
        <rFont val="Calibri"/>
        <family val="2"/>
        <scheme val="minor"/>
      </rPr>
      <t xml:space="preserve">10) </t>
    </r>
    <r>
      <rPr>
        <sz val="11"/>
        <color theme="1"/>
        <rFont val="Calibri"/>
        <family val="2"/>
        <scheme val="minor"/>
      </rPr>
      <t xml:space="preserve">overexpression of </t>
    </r>
    <r>
      <rPr>
        <b/>
        <sz val="11"/>
        <color theme="1"/>
        <rFont val="Calibri"/>
        <family val="2"/>
        <scheme val="minor"/>
      </rPr>
      <t>NOS1</t>
    </r>
    <r>
      <rPr>
        <sz val="11"/>
        <color theme="1"/>
        <rFont val="Calibri"/>
        <family val="2"/>
        <scheme val="minor"/>
      </rPr>
      <t xml:space="preserve"> could upregulate </t>
    </r>
    <r>
      <rPr>
        <b/>
        <sz val="11"/>
        <color theme="1"/>
        <rFont val="Calibri"/>
        <family val="2"/>
        <scheme val="minor"/>
      </rPr>
      <t>ABCG2</t>
    </r>
    <r>
      <rPr>
        <sz val="11"/>
        <color theme="1"/>
        <rFont val="Calibri"/>
        <family val="2"/>
        <scheme val="minor"/>
      </rPr>
      <t xml:space="preserve"> expression, and expression of </t>
    </r>
    <r>
      <rPr>
        <b/>
        <sz val="11"/>
        <color theme="1"/>
        <rFont val="Calibri"/>
        <family val="2"/>
        <scheme val="minor"/>
      </rPr>
      <t>ABCG2</t>
    </r>
    <r>
      <rPr>
        <sz val="11"/>
        <color theme="1"/>
        <rFont val="Calibri"/>
        <family val="2"/>
        <scheme val="minor"/>
      </rPr>
      <t xml:space="preserve"> was inhibited by NOS1 selective inhibitor (N-PLA). </t>
    </r>
  </si>
  <si>
    <r>
      <t xml:space="preserve">As NOS1, </t>
    </r>
    <r>
      <rPr>
        <b/>
        <sz val="11"/>
        <color theme="1"/>
        <rFont val="Calibri"/>
        <family val="2"/>
        <scheme val="minor"/>
      </rPr>
      <t>iNOS</t>
    </r>
    <r>
      <rPr>
        <sz val="11"/>
        <color theme="1"/>
        <rFont val="Calibri"/>
        <family val="2"/>
        <scheme val="minor"/>
      </rPr>
      <t xml:space="preserve"> </t>
    </r>
    <r>
      <rPr>
        <b/>
        <sz val="11"/>
        <color theme="1"/>
        <rFont val="Calibri"/>
        <family val="2"/>
        <scheme val="minor"/>
      </rPr>
      <t>contributes</t>
    </r>
    <r>
      <rPr>
        <sz val="11"/>
        <color theme="1"/>
        <rFont val="Calibri"/>
        <family val="2"/>
        <scheme val="minor"/>
      </rPr>
      <t xml:space="preserve"> to CDDP-induced apoptosis in CDDP-sensitive cells. </t>
    </r>
  </si>
  <si>
    <r>
      <rPr>
        <b/>
        <sz val="11"/>
        <color theme="1"/>
        <rFont val="Calibri"/>
        <family val="2"/>
        <scheme val="minor"/>
      </rPr>
      <t xml:space="preserve">1) </t>
    </r>
    <r>
      <rPr>
        <sz val="11"/>
        <color theme="1"/>
        <rFont val="Calibri"/>
        <family val="2"/>
        <scheme val="minor"/>
      </rPr>
      <t xml:space="preserve">As NOS1,  </t>
    </r>
    <r>
      <rPr>
        <b/>
        <sz val="11"/>
        <color theme="1"/>
        <rFont val="Calibri"/>
        <family val="2"/>
        <scheme val="minor"/>
      </rPr>
      <t>eNOS</t>
    </r>
    <r>
      <rPr>
        <sz val="11"/>
        <color theme="1"/>
        <rFont val="Calibri"/>
        <family val="2"/>
        <scheme val="minor"/>
      </rPr>
      <t xml:space="preserve">/nNOS contributes (in a p53-independent manner) to chemoresistance by suppressing </t>
    </r>
    <r>
      <rPr>
        <b/>
        <sz val="11"/>
        <color theme="1"/>
        <rFont val="Calibri"/>
        <family val="2"/>
        <scheme val="minor"/>
      </rPr>
      <t>CDDP</t>
    </r>
    <r>
      <rPr>
        <sz val="11"/>
        <color theme="1"/>
        <rFont val="Calibri"/>
        <family val="2"/>
        <scheme val="minor"/>
      </rPr>
      <t xml:space="preserve">-induced apoptosis in isogenic CDDP-resistant cells. </t>
    </r>
    <r>
      <rPr>
        <b/>
        <sz val="11"/>
        <color theme="1"/>
        <rFont val="Calibri"/>
        <family val="2"/>
        <scheme val="minor"/>
      </rPr>
      <t>2)</t>
    </r>
    <r>
      <rPr>
        <sz val="11"/>
        <color theme="1"/>
        <rFont val="Calibri"/>
        <family val="2"/>
        <scheme val="minor"/>
      </rPr>
      <t xml:space="preserve"> Specific inhibitors of NOS3 reduced the IC50 of MCF‑7/</t>
    </r>
    <r>
      <rPr>
        <b/>
        <sz val="11"/>
        <color theme="1"/>
        <rFont val="Calibri"/>
        <family val="2"/>
        <scheme val="minor"/>
      </rPr>
      <t>MDR</t>
    </r>
    <r>
      <rPr>
        <sz val="11"/>
        <color theme="1"/>
        <rFont val="Calibri"/>
        <family val="2"/>
        <scheme val="minor"/>
      </rPr>
      <t xml:space="preserve"> cells in response to various anticancer drugs, including adriamycin, </t>
    </r>
    <r>
      <rPr>
        <b/>
        <sz val="11"/>
        <color theme="1"/>
        <rFont val="Calibri"/>
        <family val="2"/>
        <scheme val="minor"/>
      </rPr>
      <t>cisplatin</t>
    </r>
    <r>
      <rPr>
        <sz val="11"/>
        <color theme="1"/>
        <rFont val="Calibri"/>
        <family val="2"/>
        <scheme val="minor"/>
      </rPr>
      <t xml:space="preserve"> and 5‑fluorouracil. </t>
    </r>
  </si>
  <si>
    <r>
      <rPr>
        <b/>
        <sz val="11"/>
        <color theme="1"/>
        <rFont val="Calibri"/>
        <family val="2"/>
        <scheme val="minor"/>
      </rPr>
      <t xml:space="preserve">1) </t>
    </r>
    <r>
      <rPr>
        <sz val="11"/>
        <color theme="1"/>
        <rFont val="Calibri"/>
        <family val="2"/>
        <scheme val="minor"/>
      </rPr>
      <t>miR-449a were significantly downregulated in the cisplatin-resistant ovarian cell lines SKOV3/DDP and A2780/DDP.</t>
    </r>
    <r>
      <rPr>
        <b/>
        <sz val="11"/>
        <color theme="1"/>
        <rFont val="Calibri"/>
        <family val="2"/>
        <scheme val="minor"/>
      </rPr>
      <t xml:space="preserve"> 2)</t>
    </r>
    <r>
      <rPr>
        <sz val="11"/>
        <color theme="1"/>
        <rFont val="Calibri"/>
        <family val="2"/>
        <scheme val="minor"/>
      </rPr>
      <t xml:space="preserve"> The overexpression of miR-449a increased cisplatin sensitivity of SKOV3/DDP and A2780/DDP cells. </t>
    </r>
    <r>
      <rPr>
        <b/>
        <sz val="11"/>
        <color theme="1"/>
        <rFont val="Calibri"/>
        <family val="2"/>
        <scheme val="minor"/>
      </rPr>
      <t xml:space="preserve">3) </t>
    </r>
    <r>
      <rPr>
        <sz val="11"/>
        <color theme="1"/>
        <rFont val="Calibri"/>
        <family val="2"/>
        <scheme val="minor"/>
      </rPr>
      <t xml:space="preserve">miR-449a functioned through suppressing NOTCH1 directly. </t>
    </r>
    <r>
      <rPr>
        <b/>
        <sz val="11"/>
        <color theme="1"/>
        <rFont val="Calibri"/>
        <family val="2"/>
        <scheme val="minor"/>
      </rPr>
      <t xml:space="preserve">4) </t>
    </r>
    <r>
      <rPr>
        <sz val="11"/>
        <color theme="1"/>
        <rFont val="Calibri"/>
        <family val="2"/>
        <scheme val="minor"/>
      </rPr>
      <t xml:space="preserve">BALB/c nude mice that were injected intraperitoneally with SKOV3/DDP cells transfected with miR-449a mimics exhibited enhanced cisplatin sensitivity in vivo. </t>
    </r>
    <r>
      <rPr>
        <b/>
        <sz val="11"/>
        <color theme="1"/>
        <rFont val="Calibri"/>
        <family val="2"/>
        <scheme val="minor"/>
      </rPr>
      <t>5)</t>
    </r>
    <r>
      <rPr>
        <sz val="11"/>
        <color theme="1"/>
        <rFont val="Calibri"/>
        <family val="2"/>
        <scheme val="minor"/>
      </rPr>
      <t xml:space="preserve"> galectin-3 maintains ovarian CSCs by activating the Notch1 intracellular domain (NICD1). </t>
    </r>
    <r>
      <rPr>
        <b/>
        <sz val="11"/>
        <color theme="1"/>
        <rFont val="Calibri"/>
        <family val="2"/>
        <scheme val="minor"/>
      </rPr>
      <t xml:space="preserve">6) </t>
    </r>
    <r>
      <rPr>
        <sz val="11"/>
        <color theme="1"/>
        <rFont val="Calibri"/>
        <family val="2"/>
        <scheme val="minor"/>
      </rPr>
      <t>As in LGALS3</t>
    </r>
    <r>
      <rPr>
        <b/>
        <sz val="11"/>
        <color theme="1"/>
        <rFont val="Calibri"/>
        <family val="2"/>
        <scheme val="minor"/>
      </rPr>
      <t>. 7)</t>
    </r>
    <r>
      <rPr>
        <sz val="11"/>
        <color theme="1"/>
        <rFont val="Calibri"/>
        <family val="2"/>
        <scheme val="minor"/>
      </rPr>
      <t xml:space="preserve"> Overexpression of galectin-3 increased tumor burden in A2780 ovarian cancer xenografted mice. </t>
    </r>
    <r>
      <rPr>
        <b/>
        <sz val="11"/>
        <color theme="1"/>
        <rFont val="Calibri"/>
        <family val="2"/>
        <scheme val="minor"/>
      </rPr>
      <t>8)</t>
    </r>
    <r>
      <rPr>
        <sz val="11"/>
        <color theme="1"/>
        <rFont val="Calibri"/>
        <family val="2"/>
        <scheme val="minor"/>
      </rPr>
      <t xml:space="preserve"> Increased expression of galectin-3 was detected in advanced stages, compared to stage 1 or 2 in ovarian cancer patients, </t>
    </r>
  </si>
  <si>
    <r>
      <rPr>
        <b/>
        <sz val="11"/>
        <color theme="1"/>
        <rFont val="Calibri"/>
        <family val="2"/>
        <scheme val="minor"/>
      </rPr>
      <t xml:space="preserve">1) </t>
    </r>
    <r>
      <rPr>
        <sz val="11"/>
        <color theme="1"/>
        <rFont val="Calibri"/>
        <family val="2"/>
        <scheme val="minor"/>
      </rPr>
      <t xml:space="preserve">59 </t>
    </r>
    <r>
      <rPr>
        <b/>
        <sz val="11"/>
        <color theme="1"/>
        <rFont val="Calibri"/>
        <family val="2"/>
        <scheme val="minor"/>
      </rPr>
      <t>urothelia</t>
    </r>
    <r>
      <rPr>
        <sz val="11"/>
        <color theme="1"/>
        <rFont val="Calibri"/>
        <family val="2"/>
        <scheme val="minor"/>
      </rPr>
      <t>l cancer patients: Notch3 was more highly expressed in human urothelial cancer tissues; Notch3 overexpression being associated with poor clinical outcome. </t>
    </r>
    <r>
      <rPr>
        <b/>
        <sz val="11"/>
        <color theme="1"/>
        <rFont val="Calibri"/>
        <family val="2"/>
        <scheme val="minor"/>
      </rPr>
      <t>2)</t>
    </r>
    <r>
      <rPr>
        <sz val="11"/>
        <color theme="1"/>
        <rFont val="Calibri"/>
        <family val="2"/>
        <scheme val="minor"/>
      </rPr>
      <t xml:space="preserve"> Notch3 knockdown rendered urothelial cancer cells more sensitive to </t>
    </r>
    <r>
      <rPr>
        <b/>
        <sz val="11"/>
        <color theme="1"/>
        <rFont val="Calibri"/>
        <family val="2"/>
        <scheme val="minor"/>
      </rPr>
      <t>cisplatin</t>
    </r>
    <r>
      <rPr>
        <sz val="11"/>
        <color theme="1"/>
        <rFont val="Calibri"/>
        <family val="2"/>
        <scheme val="minor"/>
      </rPr>
      <t>. </t>
    </r>
    <r>
      <rPr>
        <b/>
        <sz val="11"/>
        <color theme="1"/>
        <rFont val="Calibri"/>
        <family val="2"/>
        <scheme val="minor"/>
      </rPr>
      <t xml:space="preserve">3) </t>
    </r>
    <r>
      <rPr>
        <sz val="11"/>
        <color theme="1"/>
        <rFont val="Calibri"/>
        <family val="2"/>
        <scheme val="minor"/>
      </rPr>
      <t xml:space="preserve">Notch3 overexpression correlated with shorter progression-free/overall survival in patients with advanced stage (stage III, IV) ovarian carcinoma treated with </t>
    </r>
    <r>
      <rPr>
        <b/>
        <sz val="11"/>
        <color theme="1"/>
        <rFont val="Calibri"/>
        <family val="2"/>
        <scheme val="minor"/>
      </rPr>
      <t>platinum</t>
    </r>
    <r>
      <rPr>
        <sz val="11"/>
        <color theme="1"/>
        <rFont val="Calibri"/>
        <family val="2"/>
        <scheme val="minor"/>
      </rPr>
      <t xml:space="preserve"> and taxane. </t>
    </r>
  </si>
  <si>
    <r>
      <rPr>
        <b/>
        <sz val="11"/>
        <color theme="1"/>
        <rFont val="Calibri"/>
        <family val="2"/>
        <scheme val="minor"/>
      </rPr>
      <t xml:space="preserve">1) </t>
    </r>
    <r>
      <rPr>
        <sz val="11"/>
        <color theme="1"/>
        <rFont val="Calibri"/>
        <family val="2"/>
        <scheme val="minor"/>
      </rPr>
      <t>the development of</t>
    </r>
    <r>
      <rPr>
        <b/>
        <sz val="11"/>
        <color theme="1"/>
        <rFont val="Calibri"/>
        <family val="2"/>
        <scheme val="minor"/>
      </rPr>
      <t xml:space="preserve"> CDDP</t>
    </r>
    <r>
      <rPr>
        <sz val="11"/>
        <color theme="1"/>
        <rFont val="Calibri"/>
        <family val="2"/>
        <scheme val="minor"/>
      </rPr>
      <t xml:space="preserve"> resistance was accompanied by enhanced expression of the genes encoding the key antioxidant enzymes (SOD2, CAT, GPX1, and HO-1) and transcription factor Nrf2, as well as reduced expression of the gene encoding </t>
    </r>
    <r>
      <rPr>
        <b/>
        <sz val="11"/>
        <color theme="1"/>
        <rFont val="Calibri"/>
        <family val="2"/>
        <scheme val="minor"/>
      </rPr>
      <t>NOX5</t>
    </r>
    <r>
      <rPr>
        <sz val="11"/>
        <color theme="1"/>
        <rFont val="Calibri"/>
        <family val="2"/>
        <scheme val="minor"/>
      </rPr>
      <t xml:space="preserve"> isoform of NADPH oxidase in </t>
    </r>
    <r>
      <rPr>
        <b/>
        <sz val="11"/>
        <color theme="1"/>
        <rFont val="Calibri"/>
        <family val="2"/>
        <scheme val="minor"/>
      </rPr>
      <t>OC</t>
    </r>
    <r>
      <rPr>
        <sz val="11"/>
        <color theme="1"/>
        <rFont val="Calibri"/>
        <family val="2"/>
        <scheme val="minor"/>
      </rPr>
      <t xml:space="preserve"> SKOV-3 cells. </t>
    </r>
    <r>
      <rPr>
        <b/>
        <sz val="11"/>
        <color theme="1"/>
        <rFont val="Calibri"/>
        <family val="2"/>
        <scheme val="minor"/>
      </rPr>
      <t>2)</t>
    </r>
    <r>
      <rPr>
        <sz val="11"/>
        <color theme="1"/>
        <rFont val="Calibri"/>
        <family val="2"/>
        <scheme val="minor"/>
      </rPr>
      <t xml:space="preserve"> The current study established a cisplatin-resistant human </t>
    </r>
    <r>
      <rPr>
        <b/>
        <sz val="11"/>
        <color theme="1"/>
        <rFont val="Calibri"/>
        <family val="2"/>
        <scheme val="minor"/>
      </rPr>
      <t>epithelial</t>
    </r>
    <r>
      <rPr>
        <sz val="11"/>
        <color theme="1"/>
        <rFont val="Calibri"/>
        <family val="2"/>
        <scheme val="minor"/>
      </rPr>
      <t xml:space="preserve"> cancer cell line. Notably, differential upregulation of NADPH oxidase 5 (NOX5) was identified in this resistant cell line. </t>
    </r>
    <r>
      <rPr>
        <b/>
        <sz val="11"/>
        <color theme="1"/>
        <rFont val="Calibri"/>
        <family val="2"/>
        <scheme val="minor"/>
      </rPr>
      <t>3) cisplatin</t>
    </r>
    <r>
      <rPr>
        <sz val="11"/>
        <color theme="1"/>
        <rFont val="Calibri"/>
        <family val="2"/>
        <scheme val="minor"/>
      </rPr>
      <t xml:space="preserve"> treatment induced cancer cells to express </t>
    </r>
    <r>
      <rPr>
        <b/>
        <sz val="11"/>
        <color theme="1"/>
        <rFont val="Calibri"/>
        <family val="2"/>
        <scheme val="minor"/>
      </rPr>
      <t>NOX5. 4)</t>
    </r>
    <r>
      <rPr>
        <sz val="11"/>
        <color theme="1"/>
        <rFont val="Calibri"/>
        <family val="2"/>
        <scheme val="minor"/>
      </rPr>
      <t xml:space="preserve"> cells that overexpressed </t>
    </r>
    <r>
      <rPr>
        <b/>
        <sz val="11"/>
        <color theme="1"/>
        <rFont val="Calibri"/>
        <family val="2"/>
        <scheme val="minor"/>
      </rPr>
      <t>NOX5</t>
    </r>
    <r>
      <rPr>
        <sz val="11"/>
        <color theme="1"/>
        <rFont val="Calibri"/>
        <family val="2"/>
        <scheme val="minor"/>
      </rPr>
      <t xml:space="preserve"> exhibited greater resistance to cisplatin via the activation of </t>
    </r>
    <r>
      <rPr>
        <b/>
        <sz val="11"/>
        <color theme="1"/>
        <rFont val="Calibri"/>
        <family val="2"/>
        <scheme val="minor"/>
      </rPr>
      <t>Akt</t>
    </r>
    <r>
      <rPr>
        <sz val="11"/>
        <color theme="1"/>
        <rFont val="Calibri"/>
        <family val="2"/>
        <scheme val="minor"/>
      </rPr>
      <t xml:space="preserve">. </t>
    </r>
    <r>
      <rPr>
        <b/>
        <sz val="11"/>
        <color theme="1"/>
        <rFont val="Calibri"/>
        <family val="2"/>
        <scheme val="minor"/>
      </rPr>
      <t xml:space="preserve">5) </t>
    </r>
    <r>
      <rPr>
        <sz val="11"/>
        <color theme="1"/>
        <rFont val="Calibri"/>
        <family val="2"/>
        <scheme val="minor"/>
      </rPr>
      <t xml:space="preserve">Treatment with curcumin may suppress NOX5 expression in cancer cells and enhance sensitivity to cisplatin treatment. </t>
    </r>
    <r>
      <rPr>
        <b/>
        <sz val="11"/>
        <color theme="1"/>
        <rFont val="Calibri"/>
        <family val="2"/>
        <scheme val="minor"/>
      </rPr>
      <t>6)</t>
    </r>
    <r>
      <rPr>
        <sz val="11"/>
        <color theme="1"/>
        <rFont val="Calibri"/>
        <family val="2"/>
        <scheme val="minor"/>
      </rPr>
      <t xml:space="preserve"> In a xenograft model, a combined regimen of cisplatin with low-dose curcumin significantly reduced malignant tumor growth.</t>
    </r>
  </si>
  <si>
    <r>
      <rPr>
        <b/>
        <sz val="11"/>
        <color theme="1"/>
        <rFont val="Calibri"/>
        <family val="2"/>
        <scheme val="minor"/>
      </rPr>
      <t xml:space="preserve">1) </t>
    </r>
    <r>
      <rPr>
        <sz val="11"/>
        <color theme="1"/>
        <rFont val="Calibri"/>
        <family val="2"/>
        <scheme val="minor"/>
      </rPr>
      <t xml:space="preserve">APE1/Ref-1 and NPM1 showed a significant correlation in ovarian serous cancer. </t>
    </r>
    <r>
      <rPr>
        <b/>
        <sz val="11"/>
        <color theme="1"/>
        <rFont val="Calibri"/>
        <family val="2"/>
        <scheme val="minor"/>
      </rPr>
      <t xml:space="preserve">2) </t>
    </r>
    <r>
      <rPr>
        <sz val="11"/>
        <color theme="1"/>
        <rFont val="Calibri"/>
        <family val="2"/>
        <scheme val="minor"/>
      </rPr>
      <t xml:space="preserve">Patients with a poorer outcome showed a significant overexpression of nuclear NPM1 protein. </t>
    </r>
    <r>
      <rPr>
        <b/>
        <sz val="11"/>
        <color theme="1"/>
        <rFont val="Calibri"/>
        <family val="2"/>
        <scheme val="minor"/>
      </rPr>
      <t xml:space="preserve">3) </t>
    </r>
    <r>
      <rPr>
        <sz val="11"/>
        <color theme="1"/>
        <rFont val="Calibri"/>
        <family val="2"/>
        <scheme val="minor"/>
      </rPr>
      <t xml:space="preserve">A Cox proportional hazards multivariate regression model revealed NPM1 expression to be independently significant for overall survival in high-grade ovarian serous cancers after correcting for stage, age, cytoreduction completeness, and </t>
    </r>
    <r>
      <rPr>
        <b/>
        <sz val="11"/>
        <color theme="1"/>
        <rFont val="Calibri"/>
        <family val="2"/>
        <scheme val="minor"/>
      </rPr>
      <t>platinum</t>
    </r>
    <r>
      <rPr>
        <sz val="11"/>
        <color theme="1"/>
        <rFont val="Calibri"/>
        <family val="2"/>
        <scheme val="minor"/>
      </rPr>
      <t xml:space="preserve"> resistance.</t>
    </r>
  </si>
  <si>
    <r>
      <rPr>
        <b/>
        <sz val="11"/>
        <color theme="1"/>
        <rFont val="Calibri"/>
        <family val="2"/>
        <scheme val="minor"/>
      </rPr>
      <t xml:space="preserve">1) </t>
    </r>
    <r>
      <rPr>
        <sz val="11"/>
        <color theme="1"/>
        <rFont val="Calibri"/>
        <family val="2"/>
        <scheme val="minor"/>
      </rPr>
      <t>NQO1 is a highly inducible (by NRF2) cytoprotective gene that regulates reactive oxygen species (ROS) generation; a cytoprotective two-electron-specific reductase that highly expresses in various cancer cells.</t>
    </r>
    <r>
      <rPr>
        <b/>
        <sz val="11"/>
        <color theme="1"/>
        <rFont val="Calibri"/>
        <family val="2"/>
        <scheme val="minor"/>
      </rPr>
      <t xml:space="preserve"> 2) </t>
    </r>
    <r>
      <rPr>
        <sz val="11"/>
        <color theme="1"/>
        <rFont val="Calibri"/>
        <family val="2"/>
        <scheme val="minor"/>
      </rPr>
      <t xml:space="preserve">Dunnione protects against experimental </t>
    </r>
    <r>
      <rPr>
        <b/>
        <sz val="11"/>
        <color theme="1"/>
        <rFont val="Calibri"/>
        <family val="2"/>
        <scheme val="minor"/>
      </rPr>
      <t>cisplatin</t>
    </r>
    <r>
      <rPr>
        <sz val="11"/>
        <color theme="1"/>
        <rFont val="Calibri"/>
        <family val="2"/>
        <scheme val="minor"/>
      </rPr>
      <t xml:space="preserve">-induced nephrotoxicity by increasing </t>
    </r>
    <r>
      <rPr>
        <b/>
        <sz val="11"/>
        <color theme="1"/>
        <rFont val="Calibri"/>
        <family val="2"/>
        <scheme val="minor"/>
      </rPr>
      <t>NQO1</t>
    </r>
    <r>
      <rPr>
        <sz val="11"/>
        <color theme="1"/>
        <rFont val="Calibri"/>
        <family val="2"/>
        <scheme val="minor"/>
      </rPr>
      <t xml:space="preserve"> and NAD+ levels. </t>
    </r>
    <r>
      <rPr>
        <b/>
        <sz val="11"/>
        <color theme="1"/>
        <rFont val="Calibri"/>
        <family val="2"/>
        <scheme val="minor"/>
      </rPr>
      <t>3)</t>
    </r>
    <r>
      <rPr>
        <sz val="11"/>
        <color theme="1"/>
        <rFont val="Calibri"/>
        <family val="2"/>
        <scheme val="minor"/>
      </rPr>
      <t xml:space="preserve"> NQO1 protects cells against renal failure induced by cisplatin, and that this effect is mediated by decreased NOX activity via cellular NADPH/NADP modulation. </t>
    </r>
    <r>
      <rPr>
        <b/>
        <sz val="11"/>
        <color theme="1"/>
        <rFont val="Calibri"/>
        <family val="2"/>
        <scheme val="minor"/>
      </rPr>
      <t xml:space="preserve">4) </t>
    </r>
    <r>
      <rPr>
        <sz val="11"/>
        <color theme="1"/>
        <rFont val="Calibri"/>
        <family val="2"/>
        <scheme val="minor"/>
      </rPr>
      <t xml:space="preserve">SNPs in TPMT and NQO1 were significantly associated with progression-free survival in 104 ovarian cancer patients receiving cisplatin-cyclophosphamide chemotherapy. </t>
    </r>
  </si>
  <si>
    <r>
      <rPr>
        <b/>
        <sz val="11"/>
        <color theme="1"/>
        <rFont val="Calibri"/>
        <family val="2"/>
        <scheme val="minor"/>
      </rPr>
      <t>1)</t>
    </r>
    <r>
      <rPr>
        <sz val="11"/>
        <color theme="1"/>
        <rFont val="Calibri"/>
        <family val="2"/>
        <scheme val="minor"/>
      </rPr>
      <t xml:space="preserve"> PXR </t>
    </r>
    <r>
      <rPr>
        <b/>
        <sz val="11"/>
        <color theme="1"/>
        <rFont val="Calibri"/>
        <family val="2"/>
        <scheme val="minor"/>
      </rPr>
      <t>agonists</t>
    </r>
    <r>
      <rPr>
        <sz val="11"/>
        <color theme="1"/>
        <rFont val="Calibri"/>
        <family val="2"/>
        <scheme val="minor"/>
      </rPr>
      <t xml:space="preserve">, phthalate and pregnenolone had significant positive effects on MDR1 expression and PXR-mediated transcription though the MDR1 promoter were significantly increased in the presence of paclitaxel or cisplatin. </t>
    </r>
    <r>
      <rPr>
        <b/>
        <sz val="11"/>
        <color theme="1"/>
        <rFont val="Calibri"/>
        <family val="2"/>
        <scheme val="minor"/>
      </rPr>
      <t>2)</t>
    </r>
    <r>
      <rPr>
        <sz val="11"/>
        <color theme="1"/>
        <rFont val="Calibri"/>
        <family val="2"/>
        <scheme val="minor"/>
      </rPr>
      <t xml:space="preserve"> Downregulation of PXR suppressed the augmented MDR1 expression and PXR-mediated transcription by PXR ligands, and significantly enhanced cell growth inhibition and apoptosis in the presence of paclitaxel or cisplatin. </t>
    </r>
    <r>
      <rPr>
        <b/>
        <sz val="11"/>
        <color theme="1"/>
        <rFont val="Calibri"/>
        <family val="2"/>
        <scheme val="minor"/>
      </rPr>
      <t>3)</t>
    </r>
    <r>
      <rPr>
        <sz val="11"/>
        <color theme="1"/>
        <rFont val="Calibri"/>
        <family val="2"/>
        <scheme val="minor"/>
      </rPr>
      <t xml:space="preserve"> ketoconazole, a PXR </t>
    </r>
    <r>
      <rPr>
        <b/>
        <sz val="11"/>
        <color theme="1"/>
        <rFont val="Calibri"/>
        <family val="2"/>
        <scheme val="minor"/>
      </rPr>
      <t>antagonist,</t>
    </r>
    <r>
      <rPr>
        <sz val="11"/>
        <color theme="1"/>
        <rFont val="Calibri"/>
        <family val="2"/>
        <scheme val="minor"/>
      </rPr>
      <t xml:space="preserve"> suppressed the augmented MDR1 expression and PXR-mediated transactivation by paclitaxel and cisplatin, and enhanced cell growth inhibition and apoptosis in their presence. </t>
    </r>
  </si>
  <si>
    <r>
      <rPr>
        <b/>
        <sz val="11"/>
        <color theme="1"/>
        <rFont val="Calibri"/>
        <family val="2"/>
        <scheme val="minor"/>
      </rPr>
      <t>1) TR3</t>
    </r>
    <r>
      <rPr>
        <sz val="11"/>
        <color theme="1"/>
        <rFont val="Calibri"/>
        <family val="2"/>
        <scheme val="minor"/>
      </rPr>
      <t xml:space="preserve"> protein expression was elevated in stage I tumors, but downregulated in a significant subset of metastatic tumors. </t>
    </r>
    <r>
      <rPr>
        <b/>
        <sz val="11"/>
        <color theme="1"/>
        <rFont val="Calibri"/>
        <family val="2"/>
        <scheme val="minor"/>
      </rPr>
      <t>2) TR3</t>
    </r>
    <r>
      <rPr>
        <sz val="11"/>
        <color theme="1"/>
        <rFont val="Calibri"/>
        <family val="2"/>
        <scheme val="minor"/>
      </rPr>
      <t xml:space="preserve"> expression was significantly lower in </t>
    </r>
    <r>
      <rPr>
        <b/>
        <sz val="11"/>
        <color theme="1"/>
        <rFont val="Calibri"/>
        <family val="2"/>
        <scheme val="minor"/>
      </rPr>
      <t>platinum</t>
    </r>
    <r>
      <rPr>
        <sz val="11"/>
        <color theme="1"/>
        <rFont val="Calibri"/>
        <family val="2"/>
        <scheme val="minor"/>
      </rPr>
      <t xml:space="preserve">-resistant tumors in patients with metastatic disease, </t>
    </r>
    <r>
      <rPr>
        <b/>
        <sz val="11"/>
        <color theme="1"/>
        <rFont val="Calibri"/>
        <family val="2"/>
        <scheme val="minor"/>
      </rPr>
      <t xml:space="preserve">3) </t>
    </r>
    <r>
      <rPr>
        <sz val="11"/>
        <color theme="1"/>
        <rFont val="Calibri"/>
        <family val="2"/>
        <scheme val="minor"/>
      </rPr>
      <t xml:space="preserve">low </t>
    </r>
    <r>
      <rPr>
        <b/>
        <sz val="11"/>
        <color theme="1"/>
        <rFont val="Calibri"/>
        <family val="2"/>
        <scheme val="minor"/>
      </rPr>
      <t>TR3</t>
    </r>
    <r>
      <rPr>
        <sz val="11"/>
        <color theme="1"/>
        <rFont val="Calibri"/>
        <family val="2"/>
        <scheme val="minor"/>
      </rPr>
      <t xml:space="preserve"> staining was associated with poorer overall and progression-free survival. </t>
    </r>
    <r>
      <rPr>
        <b/>
        <sz val="11"/>
        <color theme="1"/>
        <rFont val="Calibri"/>
        <family val="2"/>
        <scheme val="minor"/>
      </rPr>
      <t xml:space="preserve">4) </t>
    </r>
    <r>
      <rPr>
        <sz val="11"/>
        <color theme="1"/>
        <rFont val="Calibri"/>
        <family val="2"/>
        <scheme val="minor"/>
      </rPr>
      <t xml:space="preserve">Nucleus-to-cytoplasm translocation of </t>
    </r>
    <r>
      <rPr>
        <b/>
        <sz val="11"/>
        <color theme="1"/>
        <rFont val="Calibri"/>
        <family val="2"/>
        <scheme val="minor"/>
      </rPr>
      <t>TR3</t>
    </r>
    <r>
      <rPr>
        <sz val="11"/>
        <color theme="1"/>
        <rFont val="Calibri"/>
        <family val="2"/>
        <scheme val="minor"/>
      </rPr>
      <t xml:space="preserve"> was observed in </t>
    </r>
    <r>
      <rPr>
        <b/>
        <sz val="11"/>
        <color theme="1"/>
        <rFont val="Calibri"/>
        <family val="2"/>
        <scheme val="minor"/>
      </rPr>
      <t xml:space="preserve">cisplatin-sensitive </t>
    </r>
    <r>
      <rPr>
        <sz val="11"/>
        <color theme="1"/>
        <rFont val="Calibri"/>
        <family val="2"/>
        <scheme val="minor"/>
      </rPr>
      <t xml:space="preserve">(OVCAR8, OVCAR3, and A2780PAR) but not </t>
    </r>
    <r>
      <rPr>
        <b/>
        <sz val="11"/>
        <color theme="1"/>
        <rFont val="Calibri"/>
        <family val="2"/>
        <scheme val="minor"/>
      </rPr>
      <t xml:space="preserve">cisplatin-resistant </t>
    </r>
    <r>
      <rPr>
        <sz val="11"/>
        <color theme="1"/>
        <rFont val="Calibri"/>
        <family val="2"/>
        <scheme val="minor"/>
      </rPr>
      <t xml:space="preserve">(NCI/ADR-RES and A2780CP20) ovarian cancer cells. </t>
    </r>
    <r>
      <rPr>
        <b/>
        <sz val="11"/>
        <color theme="1"/>
        <rFont val="Calibri"/>
        <family val="2"/>
        <scheme val="minor"/>
      </rPr>
      <t xml:space="preserve">5) </t>
    </r>
    <r>
      <rPr>
        <sz val="11"/>
        <color theme="1"/>
        <rFont val="Calibri"/>
        <family val="2"/>
        <scheme val="minor"/>
      </rPr>
      <t xml:space="preserve">clear overlap between </t>
    </r>
    <r>
      <rPr>
        <b/>
        <sz val="11"/>
        <color theme="1"/>
        <rFont val="Calibri"/>
        <family val="2"/>
        <scheme val="minor"/>
      </rPr>
      <t>TR3</t>
    </r>
    <r>
      <rPr>
        <sz val="11"/>
        <color theme="1"/>
        <rFont val="Calibri"/>
        <family val="2"/>
        <scheme val="minor"/>
      </rPr>
      <t xml:space="preserve"> and mitochondrial Hsp60 in cisplatin-treated cells, which was associated with cytochrome c release</t>
    </r>
    <r>
      <rPr>
        <b/>
        <sz val="11"/>
        <color theme="1"/>
        <rFont val="Calibri"/>
        <family val="2"/>
        <scheme val="minor"/>
      </rPr>
      <t xml:space="preserve">. 6) </t>
    </r>
    <r>
      <rPr>
        <sz val="11"/>
        <color theme="1"/>
        <rFont val="Calibri"/>
        <family val="2"/>
        <scheme val="minor"/>
      </rPr>
      <t xml:space="preserve">stable shRNA- or transient siRNA-mediated </t>
    </r>
    <r>
      <rPr>
        <b/>
        <sz val="11"/>
        <color theme="1"/>
        <rFont val="Calibri"/>
        <family val="2"/>
        <scheme val="minor"/>
      </rPr>
      <t>TR3</t>
    </r>
    <r>
      <rPr>
        <sz val="11"/>
        <color theme="1"/>
        <rFont val="Calibri"/>
        <family val="2"/>
        <scheme val="minor"/>
      </rPr>
      <t xml:space="preserve"> downregulation displayed substantial </t>
    </r>
    <r>
      <rPr>
        <b/>
        <sz val="11"/>
        <color theme="1"/>
        <rFont val="Calibri"/>
        <family val="2"/>
        <scheme val="minor"/>
      </rPr>
      <t>reduction in cisplatin effects</t>
    </r>
    <r>
      <rPr>
        <sz val="11"/>
        <color theme="1"/>
        <rFont val="Calibri"/>
        <family val="2"/>
        <scheme val="minor"/>
      </rPr>
      <t xml:space="preserve"> on apoptotic markers and cell growth in vitro and in vivo. </t>
    </r>
    <r>
      <rPr>
        <b/>
        <sz val="11"/>
        <color theme="1"/>
        <rFont val="Calibri"/>
        <family val="2"/>
        <scheme val="minor"/>
      </rPr>
      <t xml:space="preserve">7) </t>
    </r>
    <r>
      <rPr>
        <sz val="11"/>
        <color theme="1"/>
        <rFont val="Calibri"/>
        <family val="2"/>
        <scheme val="minor"/>
      </rPr>
      <t xml:space="preserve">the </t>
    </r>
    <r>
      <rPr>
        <b/>
        <sz val="11"/>
        <color theme="1"/>
        <rFont val="Calibri"/>
        <family val="2"/>
        <scheme val="minor"/>
      </rPr>
      <t>cisplatin</t>
    </r>
    <r>
      <rPr>
        <sz val="11"/>
        <color theme="1"/>
        <rFont val="Calibri"/>
        <family val="2"/>
        <scheme val="minor"/>
      </rPr>
      <t xml:space="preserve">-induced cytoplasmic TR3 translocation required for apoptosis induction was regulated by </t>
    </r>
    <r>
      <rPr>
        <b/>
        <sz val="11"/>
        <color theme="1"/>
        <rFont val="Calibri"/>
        <family val="2"/>
        <scheme val="minor"/>
      </rPr>
      <t>JNK</t>
    </r>
    <r>
      <rPr>
        <sz val="11"/>
        <color theme="1"/>
        <rFont val="Calibri"/>
        <family val="2"/>
        <scheme val="minor"/>
      </rPr>
      <t xml:space="preserve"> activation and inhibition of </t>
    </r>
    <r>
      <rPr>
        <b/>
        <sz val="11"/>
        <color theme="1"/>
        <rFont val="Calibri"/>
        <family val="2"/>
        <scheme val="minor"/>
      </rPr>
      <t>Akt</t>
    </r>
    <r>
      <rPr>
        <sz val="11"/>
        <color theme="1"/>
        <rFont val="Calibri"/>
        <family val="2"/>
        <scheme val="minor"/>
      </rPr>
      <t xml:space="preserve">. </t>
    </r>
    <r>
      <rPr>
        <b/>
        <sz val="11"/>
        <color theme="1"/>
        <rFont val="Calibri"/>
        <family val="2"/>
        <scheme val="minor"/>
      </rPr>
      <t xml:space="preserve">8) </t>
    </r>
    <r>
      <rPr>
        <sz val="11"/>
        <color theme="1"/>
        <rFont val="Calibri"/>
        <family val="2"/>
        <scheme val="minor"/>
      </rPr>
      <t xml:space="preserve">cisplatin resistance was partially overcome by ectopic TR3 overexpression and by treatment with the JNK activator anisomycin and Akt pathway inhibitor, wortmannin. </t>
    </r>
  </si>
  <si>
    <r>
      <rPr>
        <b/>
        <sz val="11"/>
        <color theme="1"/>
        <rFont val="Calibri"/>
        <family val="2"/>
        <scheme val="minor"/>
      </rPr>
      <t xml:space="preserve">1) </t>
    </r>
    <r>
      <rPr>
        <sz val="11"/>
        <color theme="1"/>
        <rFont val="Calibri"/>
        <family val="2"/>
        <scheme val="minor"/>
      </rPr>
      <t xml:space="preserve">miR-26a was downregulated in cisplatin-resistant SGC-7901/DDP cells compared with SGC-7901 cells. </t>
    </r>
    <r>
      <rPr>
        <b/>
        <sz val="11"/>
        <color theme="1"/>
        <rFont val="Calibri"/>
        <family val="2"/>
        <scheme val="minor"/>
      </rPr>
      <t>2)</t>
    </r>
    <r>
      <rPr>
        <sz val="11"/>
        <color theme="1"/>
        <rFont val="Calibri"/>
        <family val="2"/>
        <scheme val="minor"/>
      </rPr>
      <t xml:space="preserve"> miR-26a could improve the sensitivity of GC cells to cisplatin. </t>
    </r>
    <r>
      <rPr>
        <b/>
        <sz val="11"/>
        <color theme="1"/>
        <rFont val="Calibri"/>
        <family val="2"/>
        <scheme val="minor"/>
      </rPr>
      <t>3)</t>
    </r>
    <r>
      <rPr>
        <sz val="11"/>
        <color theme="1"/>
        <rFont val="Calibri"/>
        <family val="2"/>
        <scheme val="minor"/>
      </rPr>
      <t xml:space="preserve"> miR-26a has target sites in the 3'-UTR of NRAS and E2F2 and reduces the expression levels of NRAS and E2F2. </t>
    </r>
    <r>
      <rPr>
        <b/>
        <sz val="11"/>
        <color theme="1"/>
        <rFont val="Calibri"/>
        <family val="2"/>
        <scheme val="minor"/>
      </rPr>
      <t>4)</t>
    </r>
    <r>
      <rPr>
        <sz val="11"/>
        <color theme="1"/>
        <rFont val="Calibri"/>
        <family val="2"/>
        <scheme val="minor"/>
      </rPr>
      <t xml:space="preserve"> knockdown of </t>
    </r>
    <r>
      <rPr>
        <b/>
        <sz val="11"/>
        <color theme="1"/>
        <rFont val="Calibri"/>
        <family val="2"/>
        <scheme val="minor"/>
      </rPr>
      <t>NRAS</t>
    </r>
    <r>
      <rPr>
        <sz val="11"/>
        <color theme="1"/>
        <rFont val="Calibri"/>
        <family val="2"/>
        <scheme val="minor"/>
      </rPr>
      <t xml:space="preserve"> or E2F2 sensitize GC cells to cisplatin.</t>
    </r>
    <r>
      <rPr>
        <b/>
        <sz val="11"/>
        <color theme="1"/>
        <rFont val="Calibri"/>
        <family val="2"/>
        <scheme val="minor"/>
      </rPr>
      <t xml:space="preserve"> 5)</t>
    </r>
    <r>
      <rPr>
        <sz val="11"/>
        <color theme="1"/>
        <rFont val="Calibri"/>
        <family val="2"/>
        <scheme val="minor"/>
      </rPr>
      <t xml:space="preserve"> MicroRNA-29a has been observed to be downregulated in human lung cancer tissues. </t>
    </r>
    <r>
      <rPr>
        <b/>
        <sz val="11"/>
        <color theme="1"/>
        <rFont val="Calibri"/>
        <family val="2"/>
        <scheme val="minor"/>
      </rPr>
      <t>6)</t>
    </r>
    <r>
      <rPr>
        <sz val="11"/>
        <color theme="1"/>
        <rFont val="Calibri"/>
        <family val="2"/>
        <scheme val="minor"/>
      </rPr>
      <t xml:space="preserve"> In human clinical specimens, </t>
    </r>
    <r>
      <rPr>
        <b/>
        <sz val="11"/>
        <color theme="1"/>
        <rFont val="Calibri"/>
        <family val="2"/>
        <scheme val="minor"/>
      </rPr>
      <t>NRAS</t>
    </r>
    <r>
      <rPr>
        <sz val="11"/>
        <color theme="1"/>
        <rFont val="Calibri"/>
        <family val="2"/>
        <scheme val="minor"/>
      </rPr>
      <t xml:space="preserve"> proto-oncogene was highly expressed in human lung cancer tissues compared to normal tissues. </t>
    </r>
  </si>
  <si>
    <r>
      <rPr>
        <b/>
        <sz val="11"/>
        <color theme="1"/>
        <rFont val="Calibri"/>
        <family val="2"/>
        <scheme val="minor"/>
      </rPr>
      <t>1) VEGF–NRP2</t>
    </r>
    <r>
      <rPr>
        <sz val="11"/>
        <color theme="1"/>
        <rFont val="Calibri"/>
        <family val="2"/>
        <scheme val="minor"/>
      </rPr>
      <t xml:space="preserve"> promote homologous recombination (</t>
    </r>
    <r>
      <rPr>
        <b/>
        <sz val="11"/>
        <color theme="1"/>
        <rFont val="Calibri"/>
        <family val="2"/>
        <scheme val="minor"/>
      </rPr>
      <t>HR</t>
    </r>
    <r>
      <rPr>
        <sz val="11"/>
        <color theme="1"/>
        <rFont val="Calibri"/>
        <family val="2"/>
        <scheme val="minor"/>
      </rPr>
      <t xml:space="preserve">) in </t>
    </r>
    <r>
      <rPr>
        <b/>
        <sz val="11"/>
        <color theme="1"/>
        <rFont val="Calibri"/>
        <family val="2"/>
        <scheme val="minor"/>
      </rPr>
      <t>BRCA1</t>
    </r>
    <r>
      <rPr>
        <sz val="11"/>
        <color theme="1"/>
        <rFont val="Calibri"/>
        <family val="2"/>
        <scheme val="minor"/>
      </rPr>
      <t xml:space="preserve"> wild-type TNBC cells by contributing to the expression and function of </t>
    </r>
    <r>
      <rPr>
        <b/>
        <sz val="11"/>
        <color theme="1"/>
        <rFont val="Calibri"/>
        <family val="2"/>
        <scheme val="minor"/>
      </rPr>
      <t>Rad51</t>
    </r>
    <r>
      <rPr>
        <sz val="11"/>
        <color theme="1"/>
        <rFont val="Calibri"/>
        <family val="2"/>
        <scheme val="minor"/>
      </rPr>
      <t xml:space="preserve">. </t>
    </r>
    <r>
      <rPr>
        <b/>
        <sz val="11"/>
        <color theme="1"/>
        <rFont val="Calibri"/>
        <family val="2"/>
        <scheme val="minor"/>
      </rPr>
      <t>2) VEGF–NRP2</t>
    </r>
    <r>
      <rPr>
        <sz val="11"/>
        <color theme="1"/>
        <rFont val="Calibri"/>
        <family val="2"/>
        <scheme val="minor"/>
      </rPr>
      <t xml:space="preserve"> stimulates</t>
    </r>
    <r>
      <rPr>
        <b/>
        <sz val="11"/>
        <color theme="1"/>
        <rFont val="Calibri"/>
        <family val="2"/>
        <scheme val="minor"/>
      </rPr>
      <t xml:space="preserve"> YAP/TAZ</t>
    </r>
    <r>
      <rPr>
        <sz val="11"/>
        <color theme="1"/>
        <rFont val="Calibri"/>
        <family val="2"/>
        <scheme val="minor"/>
      </rPr>
      <t xml:space="preserve">-dependent Rad51 expression and that Rad51 is a direct YAP/TAZ–TEAD transcriptional target. </t>
    </r>
    <r>
      <rPr>
        <b/>
        <sz val="11"/>
        <color theme="1"/>
        <rFont val="Calibri"/>
        <family val="2"/>
        <scheme val="minor"/>
      </rPr>
      <t>3)</t>
    </r>
    <r>
      <rPr>
        <sz val="11"/>
        <color theme="1"/>
        <rFont val="Calibri"/>
        <family val="2"/>
        <scheme val="minor"/>
      </rPr>
      <t xml:space="preserve"> VEGF–NRP2–YAP/TAZ signaling contributes to the resistance of TNBC cells to </t>
    </r>
    <r>
      <rPr>
        <b/>
        <sz val="11"/>
        <color theme="1"/>
        <rFont val="Calibri"/>
        <family val="2"/>
        <scheme val="minor"/>
      </rPr>
      <t>cisplatin.</t>
    </r>
    <r>
      <rPr>
        <sz val="11"/>
        <color theme="1"/>
        <rFont val="Calibri"/>
        <family val="2"/>
        <scheme val="minor"/>
      </rPr>
      <t xml:space="preserve"> </t>
    </r>
    <r>
      <rPr>
        <b/>
        <sz val="11"/>
        <color theme="1"/>
        <rFont val="Calibri"/>
        <family val="2"/>
        <scheme val="minor"/>
      </rPr>
      <t xml:space="preserve">4) </t>
    </r>
    <r>
      <rPr>
        <sz val="11"/>
        <color theme="1"/>
        <rFont val="Calibri"/>
        <family val="2"/>
        <scheme val="minor"/>
      </rPr>
      <t>Rad51 rescues the defects in DNA repair upon inhibition of either VEGF–NRP2 or YAP/TAZ. </t>
    </r>
    <r>
      <rPr>
        <b/>
        <sz val="11"/>
        <color theme="1"/>
        <rFont val="Calibri"/>
        <family val="2"/>
        <scheme val="minor"/>
      </rPr>
      <t>5)</t>
    </r>
    <r>
      <rPr>
        <sz val="11"/>
        <color theme="1"/>
        <rFont val="Calibri"/>
        <family val="2"/>
        <scheme val="minor"/>
      </rPr>
      <t xml:space="preserve"> Neuropilin-2 (</t>
    </r>
    <r>
      <rPr>
        <b/>
        <sz val="11"/>
        <color theme="1"/>
        <rFont val="Calibri"/>
        <family val="2"/>
        <scheme val="minor"/>
      </rPr>
      <t>NRP2</t>
    </r>
    <r>
      <rPr>
        <sz val="11"/>
        <color theme="1"/>
        <rFont val="Calibri"/>
        <family val="2"/>
        <scheme val="minor"/>
      </rPr>
      <t xml:space="preserve">) is a prognostic indicator for reduced survival in </t>
    </r>
    <r>
      <rPr>
        <b/>
        <sz val="11"/>
        <color theme="1"/>
        <rFont val="Calibri"/>
        <family val="2"/>
        <scheme val="minor"/>
      </rPr>
      <t>bladder</t>
    </r>
    <r>
      <rPr>
        <sz val="11"/>
        <color theme="1"/>
        <rFont val="Calibri"/>
        <family val="2"/>
        <scheme val="minor"/>
      </rPr>
      <t xml:space="preserve"> cancer (BCa) patients. </t>
    </r>
  </si>
  <si>
    <r>
      <rPr>
        <b/>
        <sz val="11"/>
        <color theme="1"/>
        <rFont val="Calibri"/>
        <family val="2"/>
        <scheme val="minor"/>
      </rPr>
      <t>1) NT5E</t>
    </r>
    <r>
      <rPr>
        <sz val="11"/>
        <color theme="1"/>
        <rFont val="Calibri"/>
        <family val="2"/>
        <scheme val="minor"/>
      </rPr>
      <t xml:space="preserve"> mRNA levels were observed to be elevated in cells upon in vitro and in vivo acquisition of </t>
    </r>
    <r>
      <rPr>
        <b/>
        <sz val="11"/>
        <color theme="1"/>
        <rFont val="Calibri"/>
        <family val="2"/>
        <scheme val="minor"/>
      </rPr>
      <t>platinum</t>
    </r>
    <r>
      <rPr>
        <sz val="11"/>
        <color theme="1"/>
        <rFont val="Calibri"/>
        <family val="2"/>
        <scheme val="minor"/>
      </rPr>
      <t xml:space="preserve"> resistance in ovarian cancer cells, </t>
    </r>
    <r>
      <rPr>
        <b/>
        <sz val="11"/>
        <color theme="1"/>
        <rFont val="Calibri"/>
        <family val="2"/>
        <scheme val="minor"/>
      </rPr>
      <t xml:space="preserve">2) </t>
    </r>
    <r>
      <rPr>
        <sz val="11"/>
        <color theme="1"/>
        <rFont val="Calibri"/>
        <family val="2"/>
        <scheme val="minor"/>
      </rPr>
      <t xml:space="preserve">specific targeting of NT5E increased tumor cell sensitivity to platinum. </t>
    </r>
    <r>
      <rPr>
        <b/>
        <sz val="11"/>
        <color theme="1"/>
        <rFont val="Calibri"/>
        <family val="2"/>
        <scheme val="minor"/>
      </rPr>
      <t xml:space="preserve">3) </t>
    </r>
    <r>
      <rPr>
        <sz val="11"/>
        <color theme="1"/>
        <rFont val="Calibri"/>
        <family val="2"/>
        <scheme val="minor"/>
      </rPr>
      <t xml:space="preserve">tumor NT5E levels were prognostic for outcomes in ovarian cancer </t>
    </r>
    <r>
      <rPr>
        <b/>
        <sz val="11"/>
        <color theme="1"/>
        <rFont val="Calibri"/>
        <family val="2"/>
        <scheme val="minor"/>
      </rPr>
      <t>4)</t>
    </r>
    <r>
      <rPr>
        <sz val="11"/>
        <color theme="1"/>
        <rFont val="Calibri"/>
        <family val="2"/>
        <scheme val="minor"/>
      </rPr>
      <t xml:space="preserve"> were elevated after treatment with platinum. </t>
    </r>
  </si>
  <si>
    <r>
      <rPr>
        <b/>
        <sz val="11"/>
        <color theme="1"/>
        <rFont val="Calibri"/>
        <family val="2"/>
        <scheme val="minor"/>
      </rPr>
      <t xml:space="preserve">1) </t>
    </r>
    <r>
      <rPr>
        <sz val="11"/>
        <color theme="1"/>
        <rFont val="Calibri"/>
        <family val="2"/>
        <scheme val="minor"/>
      </rPr>
      <t xml:space="preserve">Compared to </t>
    </r>
    <r>
      <rPr>
        <b/>
        <sz val="11"/>
        <color theme="1"/>
        <rFont val="Calibri"/>
        <family val="2"/>
        <scheme val="minor"/>
      </rPr>
      <t xml:space="preserve">platinum-resistant </t>
    </r>
    <r>
      <rPr>
        <sz val="11"/>
        <color theme="1"/>
        <rFont val="Calibri"/>
        <family val="2"/>
        <scheme val="minor"/>
      </rPr>
      <t xml:space="preserve">population, amplification of </t>
    </r>
    <r>
      <rPr>
        <b/>
        <sz val="11"/>
        <color theme="1"/>
        <rFont val="Calibri"/>
        <family val="2"/>
        <scheme val="minor"/>
      </rPr>
      <t>NTRK3</t>
    </r>
    <r>
      <rPr>
        <sz val="11"/>
        <color theme="1"/>
        <rFont val="Calibri"/>
        <family val="2"/>
        <scheme val="minor"/>
      </rPr>
      <t xml:space="preserve"> was more common in the </t>
    </r>
    <r>
      <rPr>
        <b/>
        <sz val="11"/>
        <color theme="1"/>
        <rFont val="Calibri"/>
        <family val="2"/>
        <scheme val="minor"/>
      </rPr>
      <t>platinum-sensitive</t>
    </r>
    <r>
      <rPr>
        <sz val="11"/>
        <color theme="1"/>
        <rFont val="Calibri"/>
        <family val="2"/>
        <scheme val="minor"/>
      </rPr>
      <t xml:space="preserve"> population. </t>
    </r>
    <r>
      <rPr>
        <b/>
        <sz val="11"/>
        <color theme="1"/>
        <rFont val="Calibri"/>
        <family val="2"/>
        <scheme val="minor"/>
      </rPr>
      <t>2) CNVs</t>
    </r>
    <r>
      <rPr>
        <sz val="11"/>
        <color theme="1"/>
        <rFont val="Calibri"/>
        <family val="2"/>
        <scheme val="minor"/>
      </rPr>
      <t xml:space="preserve"> of </t>
    </r>
    <r>
      <rPr>
        <b/>
        <sz val="11"/>
        <color theme="1"/>
        <rFont val="Calibri"/>
        <family val="2"/>
        <scheme val="minor"/>
      </rPr>
      <t>NTRK3</t>
    </r>
    <r>
      <rPr>
        <sz val="11"/>
        <color theme="1"/>
        <rFont val="Calibri"/>
        <family val="2"/>
        <scheme val="minor"/>
      </rPr>
      <t xml:space="preserve"> were associated with </t>
    </r>
    <r>
      <rPr>
        <b/>
        <sz val="11"/>
        <color theme="1"/>
        <rFont val="Calibri"/>
        <family val="2"/>
        <scheme val="minor"/>
      </rPr>
      <t>platinum</t>
    </r>
    <r>
      <rPr>
        <sz val="11"/>
        <color theme="1"/>
        <rFont val="Calibri"/>
        <family val="2"/>
        <scheme val="minor"/>
      </rPr>
      <t xml:space="preserve">-sensitive and platinum-resistant recurrences. Amplification of NTRK3 perfectly predicted platinum-sensitive relapse of </t>
    </r>
    <r>
      <rPr>
        <b/>
        <sz val="11"/>
        <color theme="1"/>
        <rFont val="Calibri"/>
        <family val="2"/>
        <scheme val="minor"/>
      </rPr>
      <t>ovarian</t>
    </r>
    <r>
      <rPr>
        <sz val="11"/>
        <color theme="1"/>
        <rFont val="Calibri"/>
        <family val="2"/>
        <scheme val="minor"/>
      </rPr>
      <t xml:space="preserve"> cancer. </t>
    </r>
  </si>
  <si>
    <r>
      <rPr>
        <b/>
        <sz val="11"/>
        <color theme="1"/>
        <rFont val="Calibri"/>
        <family val="2"/>
        <scheme val="minor"/>
      </rPr>
      <t>1)</t>
    </r>
    <r>
      <rPr>
        <sz val="11"/>
        <color theme="1"/>
        <rFont val="Calibri"/>
        <family val="2"/>
        <scheme val="minor"/>
      </rPr>
      <t xml:space="preserve"> NTSR1 antagonist, SR48692 enhanced the response to </t>
    </r>
    <r>
      <rPr>
        <b/>
        <sz val="11"/>
        <color theme="1"/>
        <rFont val="Calibri"/>
        <family val="2"/>
        <scheme val="minor"/>
      </rPr>
      <t>carboplatin</t>
    </r>
    <r>
      <rPr>
        <sz val="11"/>
        <color theme="1"/>
        <rFont val="Calibri"/>
        <family val="2"/>
        <scheme val="minor"/>
      </rPr>
      <t xml:space="preserve"> in </t>
    </r>
    <r>
      <rPr>
        <b/>
        <sz val="11"/>
        <color theme="1"/>
        <rFont val="Calibri"/>
        <family val="2"/>
        <scheme val="minor"/>
      </rPr>
      <t>ovarian</t>
    </r>
    <r>
      <rPr>
        <sz val="11"/>
        <color theme="1"/>
        <rFont val="Calibri"/>
        <family val="2"/>
        <scheme val="minor"/>
      </rPr>
      <t xml:space="preserve"> cancer cells and experimental tumors - a major improvement of platinum-induced DNA damage and cell death, as well as a decrease in tumor growth.</t>
    </r>
    <r>
      <rPr>
        <b/>
        <sz val="11"/>
        <color theme="1"/>
        <rFont val="Calibri"/>
        <family val="2"/>
        <scheme val="minor"/>
      </rPr>
      <t xml:space="preserve"> 2) </t>
    </r>
    <r>
      <rPr>
        <sz val="11"/>
        <color theme="1"/>
        <rFont val="Calibri"/>
        <family val="2"/>
        <scheme val="minor"/>
      </rPr>
      <t xml:space="preserve">The relationship of these results to clinical studies was made by the detection of NTS and NTSR1 in 72% and 74% of ovarian cancer, respectively. </t>
    </r>
    <r>
      <rPr>
        <b/>
        <sz val="11"/>
        <color theme="1"/>
        <rFont val="Calibri"/>
        <family val="2"/>
        <scheme val="minor"/>
      </rPr>
      <t xml:space="preserve">3) </t>
    </r>
    <r>
      <rPr>
        <sz val="11"/>
        <color theme="1"/>
        <rFont val="Calibri"/>
        <family val="2"/>
        <scheme val="minor"/>
      </rPr>
      <t xml:space="preserve">in a large series of high-grade </t>
    </r>
    <r>
      <rPr>
        <b/>
        <sz val="11"/>
        <color theme="1"/>
        <rFont val="Calibri"/>
        <family val="2"/>
        <scheme val="minor"/>
      </rPr>
      <t>ovarian</t>
    </r>
    <r>
      <rPr>
        <sz val="11"/>
        <color theme="1"/>
        <rFont val="Calibri"/>
        <family val="2"/>
        <scheme val="minor"/>
      </rPr>
      <t xml:space="preserve"> cancer, NTSR1 mRNA was shown to correlate with higher stages and </t>
    </r>
    <r>
      <rPr>
        <b/>
        <sz val="11"/>
        <color theme="1"/>
        <rFont val="Calibri"/>
        <family val="2"/>
        <scheme val="minor"/>
      </rPr>
      <t>platinum resistance</t>
    </r>
    <r>
      <rPr>
        <sz val="11"/>
        <color theme="1"/>
        <rFont val="Calibri"/>
        <family val="2"/>
        <scheme val="minor"/>
      </rPr>
      <t>.</t>
    </r>
  </si>
  <si>
    <r>
      <rPr>
        <b/>
        <sz val="11"/>
        <color theme="1"/>
        <rFont val="Calibri"/>
        <family val="2"/>
        <scheme val="minor"/>
      </rPr>
      <t>1)</t>
    </r>
    <r>
      <rPr>
        <sz val="11"/>
        <color theme="1"/>
        <rFont val="Calibri"/>
        <family val="2"/>
        <scheme val="minor"/>
      </rPr>
      <t xml:space="preserve"> partial knockdown of nucleoporin p62 (NUP62) by siRNA confers </t>
    </r>
    <r>
      <rPr>
        <b/>
        <sz val="11"/>
        <color theme="1"/>
        <rFont val="Calibri"/>
        <family val="2"/>
        <scheme val="minor"/>
      </rPr>
      <t>cisplatin</t>
    </r>
    <r>
      <rPr>
        <sz val="11"/>
        <color theme="1"/>
        <rFont val="Calibri"/>
        <family val="2"/>
        <scheme val="minor"/>
      </rPr>
      <t xml:space="preserve"> resistance to cultured high-grade </t>
    </r>
    <r>
      <rPr>
        <b/>
        <sz val="11"/>
        <color theme="1"/>
        <rFont val="Calibri"/>
        <family val="2"/>
        <scheme val="minor"/>
      </rPr>
      <t>ovarian</t>
    </r>
    <r>
      <rPr>
        <sz val="11"/>
        <color theme="1"/>
        <rFont val="Calibri"/>
        <family val="2"/>
        <scheme val="minor"/>
      </rPr>
      <t xml:space="preserve"> carcinoma cells. </t>
    </r>
    <r>
      <rPr>
        <b/>
        <sz val="11"/>
        <color theme="1"/>
        <rFont val="Calibri"/>
        <family val="2"/>
        <scheme val="minor"/>
      </rPr>
      <t xml:space="preserve">2) </t>
    </r>
    <r>
      <rPr>
        <sz val="11"/>
        <color theme="1"/>
        <rFont val="Calibri"/>
        <family val="2"/>
        <scheme val="minor"/>
      </rPr>
      <t>Treatment with NUP62 siRNA and cisplatin leaves resistant cells in a state of dormancy;</t>
    </r>
    <r>
      <rPr>
        <b/>
        <sz val="11"/>
        <color theme="1"/>
        <rFont val="Calibri"/>
        <family val="2"/>
        <scheme val="minor"/>
      </rPr>
      <t xml:space="preserve"> 3) </t>
    </r>
    <r>
      <rPr>
        <sz val="11"/>
        <color theme="1"/>
        <rFont val="Calibri"/>
        <family val="2"/>
        <scheme val="minor"/>
      </rPr>
      <t xml:space="preserve">some dormant cells can be induced to proliferate by transient induction of NUP62 expression from an ectopic expression construct. </t>
    </r>
  </si>
  <si>
    <r>
      <rPr>
        <b/>
        <sz val="11"/>
        <color theme="1"/>
        <rFont val="Calibri"/>
        <family val="2"/>
        <scheme val="minor"/>
      </rPr>
      <t xml:space="preserve">1) </t>
    </r>
    <r>
      <rPr>
        <sz val="11"/>
        <color theme="1"/>
        <rFont val="Calibri"/>
        <family val="2"/>
        <scheme val="minor"/>
      </rPr>
      <t>Orai1 represents the major molecular component of endogenous store-operated Ca(2+) entry (</t>
    </r>
    <r>
      <rPr>
        <b/>
        <sz val="11"/>
        <color theme="1"/>
        <rFont val="Calibri"/>
        <family val="2"/>
        <scheme val="minor"/>
      </rPr>
      <t>SOCE</t>
    </r>
    <r>
      <rPr>
        <sz val="11"/>
        <color theme="1"/>
        <rFont val="Calibri"/>
        <family val="2"/>
        <scheme val="minor"/>
      </rPr>
      <t xml:space="preserve">) in human prostate cancer (PCa) cells, and constitutes the principal source of Ca(2+) influx used by the cell to trigger apoptosis. </t>
    </r>
    <r>
      <rPr>
        <b/>
        <sz val="11"/>
        <color theme="1"/>
        <rFont val="Calibri"/>
        <family val="2"/>
        <scheme val="minor"/>
      </rPr>
      <t xml:space="preserve">2) </t>
    </r>
    <r>
      <rPr>
        <sz val="11"/>
        <color theme="1"/>
        <rFont val="Calibri"/>
        <family val="2"/>
        <scheme val="minor"/>
      </rPr>
      <t xml:space="preserve">The downregulation of Orai1, and consequently SOCE, protects the cells from diverse apoptosis-inducing pathways, such as those induced by thapsigargin (Tg), tumor necrosis factor α, and </t>
    </r>
    <r>
      <rPr>
        <b/>
        <sz val="11"/>
        <color theme="1"/>
        <rFont val="Calibri"/>
        <family val="2"/>
        <scheme val="minor"/>
      </rPr>
      <t>cisplatin/oxaliplatin</t>
    </r>
    <r>
      <rPr>
        <sz val="11"/>
        <color theme="1"/>
        <rFont val="Calibri"/>
        <family val="2"/>
        <scheme val="minor"/>
      </rPr>
      <t xml:space="preserve">. </t>
    </r>
    <r>
      <rPr>
        <b/>
        <sz val="11"/>
        <color theme="1"/>
        <rFont val="Calibri"/>
        <family val="2"/>
        <scheme val="minor"/>
      </rPr>
      <t>3)</t>
    </r>
    <r>
      <rPr>
        <sz val="11"/>
        <color theme="1"/>
        <rFont val="Calibri"/>
        <family val="2"/>
        <scheme val="minor"/>
      </rPr>
      <t xml:space="preserve"> the apoptosis resistance of androgen-independent PCa cells is associated with the downregulation of Orai1 expression as well as SOCE. </t>
    </r>
    <r>
      <rPr>
        <b/>
        <sz val="11"/>
        <color theme="1"/>
        <rFont val="Calibri"/>
        <family val="2"/>
        <scheme val="minor"/>
      </rPr>
      <t xml:space="preserve">4) </t>
    </r>
    <r>
      <rPr>
        <sz val="11"/>
        <color theme="1"/>
        <rFont val="Calibri"/>
        <family val="2"/>
        <scheme val="minor"/>
      </rPr>
      <t xml:space="preserve">Orai1 rescue, following Orai1 transfection of steroid-deprived cells, re-established the store-operated channel current and restored the normal rate of apoptosis. </t>
    </r>
  </si>
  <si>
    <r>
      <rPr>
        <b/>
        <sz val="11"/>
        <color theme="1"/>
        <rFont val="Calibri"/>
        <family val="2"/>
        <scheme val="minor"/>
      </rPr>
      <t>1) PAK1</t>
    </r>
    <r>
      <rPr>
        <sz val="11"/>
        <color theme="1"/>
        <rFont val="Calibri"/>
        <family val="2"/>
        <scheme val="minor"/>
      </rPr>
      <t xml:space="preserve"> confers </t>
    </r>
    <r>
      <rPr>
        <b/>
        <sz val="11"/>
        <color theme="1"/>
        <rFont val="Calibri"/>
        <family val="2"/>
        <scheme val="minor"/>
      </rPr>
      <t>cisplatin</t>
    </r>
    <r>
      <rPr>
        <sz val="11"/>
        <color theme="1"/>
        <rFont val="Calibri"/>
        <family val="2"/>
        <scheme val="minor"/>
      </rPr>
      <t xml:space="preserve"> resistance by increasing </t>
    </r>
    <r>
      <rPr>
        <b/>
        <sz val="11"/>
        <color theme="1"/>
        <rFont val="Calibri"/>
        <family val="2"/>
        <scheme val="minor"/>
      </rPr>
      <t>β-catenin</t>
    </r>
    <r>
      <rPr>
        <sz val="11"/>
        <color theme="1"/>
        <rFont val="Calibri"/>
        <family val="2"/>
        <scheme val="minor"/>
      </rPr>
      <t xml:space="preserve"> expression through ERK/GSK3β signaling. </t>
    </r>
    <r>
      <rPr>
        <b/>
        <sz val="11"/>
        <color theme="1"/>
        <rFont val="Calibri"/>
        <family val="2"/>
        <scheme val="minor"/>
      </rPr>
      <t xml:space="preserve">2) </t>
    </r>
    <r>
      <rPr>
        <sz val="11"/>
        <color theme="1"/>
        <rFont val="Calibri"/>
        <family val="2"/>
        <scheme val="minor"/>
      </rPr>
      <t xml:space="preserve">The increased β-catenin expression promotes sphere cell formation and expression of stemness markers and this β-catenin-induced stemness is responsible for PAK1-mediated cisplatin resistance. </t>
    </r>
    <r>
      <rPr>
        <b/>
        <sz val="11"/>
        <color theme="1"/>
        <rFont val="Calibri"/>
        <family val="2"/>
        <scheme val="minor"/>
      </rPr>
      <t>3)</t>
    </r>
    <r>
      <rPr>
        <sz val="11"/>
        <color theme="1"/>
        <rFont val="Calibri"/>
        <family val="2"/>
        <scheme val="minor"/>
      </rPr>
      <t xml:space="preserve"> We enrolled 87 </t>
    </r>
    <r>
      <rPr>
        <b/>
        <sz val="11"/>
        <color theme="1"/>
        <rFont val="Calibri"/>
        <family val="2"/>
        <scheme val="minor"/>
      </rPr>
      <t>NSCLC</t>
    </r>
    <r>
      <rPr>
        <sz val="11"/>
        <color theme="1"/>
        <rFont val="Calibri"/>
        <family val="2"/>
        <scheme val="minor"/>
      </rPr>
      <t xml:space="preserve"> patients who had received cisplatin-based chemotherapy to confirm the association between </t>
    </r>
    <r>
      <rPr>
        <b/>
        <sz val="11"/>
        <color theme="1"/>
        <rFont val="Calibri"/>
        <family val="2"/>
        <scheme val="minor"/>
      </rPr>
      <t>PAK1</t>
    </r>
    <r>
      <rPr>
        <sz val="11"/>
        <color theme="1"/>
        <rFont val="Calibri"/>
        <family val="2"/>
        <scheme val="minor"/>
      </rPr>
      <t xml:space="preserve"> expression and response to chemotherapy and outcomes. </t>
    </r>
    <r>
      <rPr>
        <b/>
        <sz val="11"/>
        <color theme="1"/>
        <rFont val="Calibri"/>
        <family val="2"/>
        <scheme val="minor"/>
      </rPr>
      <t>4) PAK1</t>
    </r>
    <r>
      <rPr>
        <sz val="11"/>
        <color theme="1"/>
        <rFont val="Calibri"/>
        <family val="2"/>
        <scheme val="minor"/>
      </rPr>
      <t xml:space="preserve"> expression, evaluated by immunohistochemistry, was positively correlated with </t>
    </r>
    <r>
      <rPr>
        <b/>
        <sz val="11"/>
        <color theme="1"/>
        <rFont val="Calibri"/>
        <family val="2"/>
        <scheme val="minor"/>
      </rPr>
      <t>pERK</t>
    </r>
    <r>
      <rPr>
        <sz val="11"/>
        <color theme="1"/>
        <rFont val="Calibri"/>
        <family val="2"/>
        <scheme val="minor"/>
      </rPr>
      <t xml:space="preserve"> and </t>
    </r>
    <r>
      <rPr>
        <b/>
        <sz val="11"/>
        <color theme="1"/>
        <rFont val="Calibri"/>
        <family val="2"/>
        <scheme val="minor"/>
      </rPr>
      <t>β-catenin</t>
    </r>
    <r>
      <rPr>
        <sz val="11"/>
        <color theme="1"/>
        <rFont val="Calibri"/>
        <family val="2"/>
        <scheme val="minor"/>
      </rPr>
      <t xml:space="preserve"> expression in</t>
    </r>
    <r>
      <rPr>
        <b/>
        <sz val="11"/>
        <color theme="1"/>
        <rFont val="Calibri"/>
        <family val="2"/>
        <scheme val="minor"/>
      </rPr>
      <t xml:space="preserve"> lung </t>
    </r>
    <r>
      <rPr>
        <sz val="11"/>
        <color theme="1"/>
        <rFont val="Calibri"/>
        <family val="2"/>
        <scheme val="minor"/>
      </rPr>
      <t xml:space="preserve">tumors. </t>
    </r>
    <r>
      <rPr>
        <b/>
        <sz val="11"/>
        <color theme="1"/>
        <rFont val="Calibri"/>
        <family val="2"/>
        <scheme val="minor"/>
      </rPr>
      <t>5)</t>
    </r>
    <r>
      <rPr>
        <sz val="11"/>
        <color theme="1"/>
        <rFont val="Calibri"/>
        <family val="2"/>
        <scheme val="minor"/>
      </rPr>
      <t xml:space="preserve"> Patients with high-PAK1, high-pERK, and high-nuclear β-catenin tumors more frequently showed an unfavorable response to </t>
    </r>
    <r>
      <rPr>
        <b/>
        <sz val="11"/>
        <color theme="1"/>
        <rFont val="Calibri"/>
        <family val="2"/>
        <scheme val="minor"/>
      </rPr>
      <t>cisplatin</t>
    </r>
    <r>
      <rPr>
        <sz val="11"/>
        <color theme="1"/>
        <rFont val="Calibri"/>
        <family val="2"/>
        <scheme val="minor"/>
      </rPr>
      <t xml:space="preserve">-based chemotherapy when compared to their counterparts. Kaplan-Meier and Cox regression analysis also indicated a poorer overall survival (OS) and relapse free survival (RFS) in patients with high-PAK1, high-pERK, and high-nuclear β-catenin tumors. </t>
    </r>
  </si>
  <si>
    <r>
      <rPr>
        <b/>
        <sz val="11"/>
        <color theme="1"/>
        <rFont val="Calibri"/>
        <family val="2"/>
        <scheme val="minor"/>
      </rPr>
      <t xml:space="preserve">1) </t>
    </r>
    <r>
      <rPr>
        <sz val="11"/>
        <color theme="1"/>
        <rFont val="Calibri"/>
        <family val="2"/>
        <scheme val="minor"/>
      </rPr>
      <t xml:space="preserve">PAK5 markedly inhibited </t>
    </r>
    <r>
      <rPr>
        <b/>
        <sz val="11"/>
        <color theme="1"/>
        <rFont val="Calibri"/>
        <family val="2"/>
        <scheme val="minor"/>
      </rPr>
      <t>cisplatin</t>
    </r>
    <r>
      <rPr>
        <sz val="11"/>
        <color theme="1"/>
        <rFont val="Calibri"/>
        <family val="2"/>
        <scheme val="minor"/>
      </rPr>
      <t xml:space="preserve">-induced apoptosis and promoted cell proliferation in </t>
    </r>
    <r>
      <rPr>
        <b/>
        <sz val="11"/>
        <color theme="1"/>
        <rFont val="Calibri"/>
        <family val="2"/>
        <scheme val="minor"/>
      </rPr>
      <t>hepatocellular</t>
    </r>
    <r>
      <rPr>
        <sz val="11"/>
        <color theme="1"/>
        <rFont val="Calibri"/>
        <family val="2"/>
        <scheme val="minor"/>
      </rPr>
      <t xml:space="preserve"> carcinoma cells. </t>
    </r>
    <r>
      <rPr>
        <b/>
        <sz val="11"/>
        <color theme="1"/>
        <rFont val="Calibri"/>
        <family val="2"/>
        <scheme val="minor"/>
      </rPr>
      <t xml:space="preserve">2) </t>
    </r>
    <r>
      <rPr>
        <sz val="11"/>
        <color theme="1"/>
        <rFont val="Calibri"/>
        <family val="2"/>
        <scheme val="minor"/>
      </rPr>
      <t xml:space="preserve">overexpression of PAK5 contributed to cell cycle regulation. </t>
    </r>
    <r>
      <rPr>
        <b/>
        <sz val="11"/>
        <color theme="1"/>
        <rFont val="Calibri"/>
        <family val="2"/>
        <scheme val="minor"/>
      </rPr>
      <t xml:space="preserve">2) </t>
    </r>
    <r>
      <rPr>
        <sz val="11"/>
        <color theme="1"/>
        <rFont val="Calibri"/>
        <family val="2"/>
        <scheme val="minor"/>
      </rPr>
      <t xml:space="preserve">PAK5 expression was increased with EOC progression through the adenoma to carcinoma sequence, with the highest expression level in invasive and metastatic EOCs. </t>
    </r>
    <r>
      <rPr>
        <b/>
        <sz val="11"/>
        <color theme="1"/>
        <rFont val="Calibri"/>
        <family val="2"/>
        <scheme val="minor"/>
      </rPr>
      <t xml:space="preserve">3) </t>
    </r>
    <r>
      <rPr>
        <sz val="11"/>
        <color theme="1"/>
        <rFont val="Calibri"/>
        <family val="2"/>
        <scheme val="minor"/>
      </rPr>
      <t xml:space="preserve">the expression level of PAK5 was also found to increase in accordance with the development of EOC Federation International of Gynecology and Obstetrics stages (P = 0.038) and differentiation grades (P = 0.008). </t>
    </r>
    <r>
      <rPr>
        <b/>
        <sz val="11"/>
        <color theme="1"/>
        <rFont val="Calibri"/>
        <family val="2"/>
        <scheme val="minor"/>
      </rPr>
      <t>4)</t>
    </r>
    <r>
      <rPr>
        <sz val="11"/>
        <color theme="1"/>
        <rFont val="Calibri"/>
        <family val="2"/>
        <scheme val="minor"/>
      </rPr>
      <t xml:space="preserve"> those patients who recurred within 6 months after accepting tumor reductive surgery and the following </t>
    </r>
    <r>
      <rPr>
        <b/>
        <sz val="11"/>
        <color theme="1"/>
        <rFont val="Calibri"/>
        <family val="2"/>
        <scheme val="minor"/>
      </rPr>
      <t>carboplatin + paclitaxel</t>
    </r>
    <r>
      <rPr>
        <sz val="11"/>
        <color theme="1"/>
        <rFont val="Calibri"/>
        <family val="2"/>
        <scheme val="minor"/>
      </rPr>
      <t xml:space="preserve"> chemotherapy had the highest PAK5 expression (P = 0.015).</t>
    </r>
    <r>
      <rPr>
        <b/>
        <sz val="11"/>
        <color theme="1"/>
        <rFont val="Calibri"/>
        <family val="2"/>
        <scheme val="minor"/>
      </rPr>
      <t xml:space="preserve"> 5)</t>
    </r>
    <r>
      <rPr>
        <sz val="11"/>
        <color theme="1"/>
        <rFont val="Calibri"/>
        <family val="2"/>
        <scheme val="minor"/>
      </rPr>
      <t xml:space="preserve">  the protein expression levels in PAK5 and Ezrin in SOSP-9607/CDDP were significantly higher than those in SOSP-9607 (P&lt;0.01). </t>
    </r>
    <r>
      <rPr>
        <b/>
        <sz val="11"/>
        <color theme="1"/>
        <rFont val="Calibri"/>
        <family val="2"/>
        <scheme val="minor"/>
      </rPr>
      <t xml:space="preserve">6) </t>
    </r>
    <r>
      <rPr>
        <sz val="11"/>
        <color theme="1"/>
        <rFont val="Calibri"/>
        <family val="2"/>
        <scheme val="minor"/>
      </rPr>
      <t xml:space="preserve">IHC showed that the expression quantities of PAK5 and Ezrin in osteosarcoma tissues were significantly higher than those in para-tumor tissues (P&lt;0.01). </t>
    </r>
    <r>
      <rPr>
        <b/>
        <sz val="11"/>
        <color theme="1"/>
        <rFont val="Calibri"/>
        <family val="2"/>
        <scheme val="minor"/>
      </rPr>
      <t xml:space="preserve">7) </t>
    </r>
    <r>
      <rPr>
        <sz val="11"/>
        <color theme="1"/>
        <rFont val="Calibri"/>
        <family val="2"/>
        <scheme val="minor"/>
      </rPr>
      <t xml:space="preserve">Pearson's correlation analysis showed that expression of PAK5 and Ezrin was positively correlated (r=0.197, P=0.023). </t>
    </r>
    <r>
      <rPr>
        <b/>
        <sz val="11"/>
        <color theme="1"/>
        <rFont val="Calibri"/>
        <family val="2"/>
        <scheme val="minor"/>
      </rPr>
      <t xml:space="preserve">8) </t>
    </r>
    <r>
      <rPr>
        <sz val="11"/>
        <color theme="1"/>
        <rFont val="Calibri"/>
        <family val="2"/>
        <scheme val="minor"/>
      </rPr>
      <t xml:space="preserve">The </t>
    </r>
    <r>
      <rPr>
        <b/>
        <sz val="11"/>
        <color theme="1"/>
        <rFont val="Calibri"/>
        <family val="2"/>
        <scheme val="minor"/>
      </rPr>
      <t>osteosarcoma</t>
    </r>
    <r>
      <rPr>
        <sz val="11"/>
        <color theme="1"/>
        <rFont val="Calibri"/>
        <family val="2"/>
        <scheme val="minor"/>
      </rPr>
      <t xml:space="preserve"> </t>
    </r>
    <r>
      <rPr>
        <b/>
        <sz val="11"/>
        <color theme="1"/>
        <rFont val="Calibri"/>
        <family val="2"/>
        <scheme val="minor"/>
      </rPr>
      <t>resistance</t>
    </r>
    <r>
      <rPr>
        <sz val="11"/>
        <color theme="1"/>
        <rFont val="Calibri"/>
        <family val="2"/>
        <scheme val="minor"/>
      </rPr>
      <t xml:space="preserve"> is closely related to the expression levels of PAK5 and Ezrin genes. . </t>
    </r>
  </si>
  <si>
    <r>
      <rPr>
        <b/>
        <sz val="11"/>
        <color theme="1"/>
        <rFont val="Calibri"/>
        <family val="2"/>
        <scheme val="minor"/>
      </rPr>
      <t xml:space="preserve">1) </t>
    </r>
    <r>
      <rPr>
        <sz val="11"/>
        <color theme="1"/>
        <rFont val="Calibri"/>
        <family val="2"/>
        <scheme val="minor"/>
      </rPr>
      <t xml:space="preserve"> a positive correlation between low PAPSS1 expression and increased </t>
    </r>
    <r>
      <rPr>
        <b/>
        <sz val="11"/>
        <color theme="1"/>
        <rFont val="Calibri"/>
        <family val="2"/>
        <scheme val="minor"/>
      </rPr>
      <t>cisplatin</t>
    </r>
    <r>
      <rPr>
        <sz val="11"/>
        <color theme="1"/>
        <rFont val="Calibri"/>
        <family val="2"/>
        <scheme val="minor"/>
      </rPr>
      <t xml:space="preserve"> sensitivity in</t>
    </r>
    <r>
      <rPr>
        <b/>
        <sz val="11"/>
        <color theme="1"/>
        <rFont val="Calibri"/>
        <family val="2"/>
        <scheme val="minor"/>
      </rPr>
      <t xml:space="preserve"> lung</t>
    </r>
    <r>
      <rPr>
        <sz val="11"/>
        <color theme="1"/>
        <rFont val="Calibri"/>
        <family val="2"/>
        <scheme val="minor"/>
      </rPr>
      <t xml:space="preserve"> adenocarcinoma. </t>
    </r>
    <r>
      <rPr>
        <b/>
        <sz val="11"/>
        <color theme="1"/>
        <rFont val="Calibri"/>
        <family val="2"/>
        <scheme val="minor"/>
      </rPr>
      <t>2)</t>
    </r>
    <r>
      <rPr>
        <sz val="11"/>
        <color theme="1"/>
        <rFont val="Calibri"/>
        <family val="2"/>
        <scheme val="minor"/>
      </rPr>
      <t xml:space="preserve"> In vitro, the potentiation effect was greatest when A549 cells were serum-starved under hypoxic conditions. </t>
    </r>
    <r>
      <rPr>
        <b/>
        <sz val="11"/>
        <color theme="1"/>
        <rFont val="Calibri"/>
        <family val="2"/>
        <scheme val="minor"/>
      </rPr>
      <t>3)</t>
    </r>
    <r>
      <rPr>
        <sz val="11"/>
        <color theme="1"/>
        <rFont val="Calibri"/>
        <family val="2"/>
        <scheme val="minor"/>
      </rPr>
      <t xml:space="preserve"> When treated with low-dose cisplatin, PAPSS1-deficient A549 spheroids showed a 58% reduction in size compared with control cells. </t>
    </r>
    <r>
      <rPr>
        <b/>
        <sz val="11"/>
        <color theme="1"/>
        <rFont val="Calibri"/>
        <family val="2"/>
        <scheme val="minor"/>
      </rPr>
      <t>4)</t>
    </r>
    <r>
      <rPr>
        <sz val="11"/>
        <color theme="1"/>
        <rFont val="Calibri"/>
        <family val="2"/>
        <scheme val="minor"/>
      </rPr>
      <t xml:space="preserve"> In vivo, PAPSS1 suppression and low-dose cisplatin treatment inhibited proliferation of lung tumor cells in zebrafish xenografts and significantly delayed development of subcutaneous tumors in mice. </t>
    </r>
    <r>
      <rPr>
        <b/>
        <sz val="11"/>
        <color theme="1"/>
        <rFont val="Calibri"/>
        <family val="2"/>
        <scheme val="minor"/>
      </rPr>
      <t xml:space="preserve">5) </t>
    </r>
    <r>
      <rPr>
        <sz val="11"/>
        <color theme="1"/>
        <rFont val="Calibri"/>
        <family val="2"/>
        <scheme val="minor"/>
      </rPr>
      <t>Clinical data suggest that NSCLC and ovarian cancer patients with low PAPSS1 expression survive longer following platinum-based chemotherapy.</t>
    </r>
  </si>
  <si>
    <r>
      <rPr>
        <b/>
        <sz val="11"/>
        <color theme="1"/>
        <rFont val="Calibri"/>
        <family val="2"/>
        <scheme val="minor"/>
      </rPr>
      <t xml:space="preserve">1) </t>
    </r>
    <r>
      <rPr>
        <sz val="11"/>
        <color theme="1"/>
        <rFont val="Calibri"/>
        <family val="2"/>
        <scheme val="minor"/>
      </rPr>
      <t xml:space="preserve">RAD23B was able to directly associate with </t>
    </r>
    <r>
      <rPr>
        <b/>
        <sz val="11"/>
        <color theme="1"/>
        <rFont val="Calibri"/>
        <family val="2"/>
        <scheme val="minor"/>
      </rPr>
      <t>PAQR3</t>
    </r>
    <r>
      <rPr>
        <sz val="11"/>
        <color theme="1"/>
        <rFont val="Calibri"/>
        <family val="2"/>
        <scheme val="minor"/>
      </rPr>
      <t xml:space="preserve">, a newly-discovered </t>
    </r>
    <r>
      <rPr>
        <b/>
        <sz val="11"/>
        <color theme="1"/>
        <rFont val="Calibri"/>
        <family val="2"/>
        <scheme val="minor"/>
      </rPr>
      <t>tumor suppressor</t>
    </r>
    <r>
      <rPr>
        <sz val="11"/>
        <color theme="1"/>
        <rFont val="Calibri"/>
        <family val="2"/>
        <scheme val="minor"/>
      </rPr>
      <t xml:space="preserve"> implicated in many types of human cancers. </t>
    </r>
    <r>
      <rPr>
        <b/>
        <sz val="11"/>
        <color theme="1"/>
        <rFont val="Calibri"/>
        <family val="2"/>
        <scheme val="minor"/>
      </rPr>
      <t xml:space="preserve">2) </t>
    </r>
    <r>
      <rPr>
        <sz val="11"/>
        <color theme="1"/>
        <rFont val="Calibri"/>
        <family val="2"/>
        <scheme val="minor"/>
      </rPr>
      <t xml:space="preserve">PAQR3 reduced the protein level of XPC, together with accelerated degradation and enhanced polyubiquitination of XPC. </t>
    </r>
    <r>
      <rPr>
        <b/>
        <sz val="11"/>
        <color theme="1"/>
        <rFont val="Calibri"/>
        <family val="2"/>
        <scheme val="minor"/>
      </rPr>
      <t xml:space="preserve">3) </t>
    </r>
    <r>
      <rPr>
        <sz val="11"/>
        <color theme="1"/>
        <rFont val="Calibri"/>
        <family val="2"/>
        <scheme val="minor"/>
      </rPr>
      <t xml:space="preserve">PAQR3 reduces nucleic distribution of RAD23B by tethering it to the Golgi apparatus, thus diminishing the amount of RAD23B proteins available to interact with XPC in the nucleus. </t>
    </r>
    <r>
      <rPr>
        <b/>
        <sz val="11"/>
        <color theme="1"/>
        <rFont val="Calibri"/>
        <family val="2"/>
        <scheme val="minor"/>
      </rPr>
      <t xml:space="preserve">4) </t>
    </r>
    <r>
      <rPr>
        <sz val="11"/>
        <color theme="1"/>
        <rFont val="Calibri"/>
        <family val="2"/>
        <scheme val="minor"/>
      </rPr>
      <t xml:space="preserve">The viability of </t>
    </r>
    <r>
      <rPr>
        <b/>
        <sz val="11"/>
        <color theme="1"/>
        <rFont val="Calibri"/>
        <family val="2"/>
        <scheme val="minor"/>
      </rPr>
      <t>gastric</t>
    </r>
    <r>
      <rPr>
        <sz val="11"/>
        <color theme="1"/>
        <rFont val="Calibri"/>
        <family val="2"/>
        <scheme val="minor"/>
      </rPr>
      <t xml:space="preserve"> cancer cells upon treatment with chemotherapy drugs including etoposide, </t>
    </r>
    <r>
      <rPr>
        <b/>
        <sz val="11"/>
        <color theme="1"/>
        <rFont val="Calibri"/>
        <family val="2"/>
        <scheme val="minor"/>
      </rPr>
      <t>cisplatin</t>
    </r>
    <r>
      <rPr>
        <sz val="11"/>
        <color theme="1"/>
        <rFont val="Calibri"/>
        <family val="2"/>
        <scheme val="minor"/>
      </rPr>
      <t xml:space="preserve"> and doxorubicin was reduced by PAQR3 overexpression, but enhanced by PAQR3 knockdown. </t>
    </r>
    <r>
      <rPr>
        <b/>
        <sz val="11"/>
        <color theme="1"/>
        <rFont val="Calibri"/>
        <family val="2"/>
        <scheme val="minor"/>
      </rPr>
      <t xml:space="preserve">5) </t>
    </r>
    <r>
      <rPr>
        <sz val="11"/>
        <color theme="1"/>
        <rFont val="Calibri"/>
        <family val="2"/>
        <scheme val="minor"/>
      </rPr>
      <t>The degree of DNA damage induced by these drugs, as measured by immunoblotting with γ-H2AX, was elevated by PAQR3 overexpression and lessened by PAQR3 knockdown.</t>
    </r>
  </si>
  <si>
    <r>
      <rPr>
        <b/>
        <sz val="11"/>
        <color theme="1"/>
        <rFont val="Calibri"/>
        <family val="2"/>
        <scheme val="minor"/>
      </rPr>
      <t>1)</t>
    </r>
    <r>
      <rPr>
        <sz val="11"/>
        <color theme="1"/>
        <rFont val="Calibri"/>
        <family val="2"/>
        <scheme val="minor"/>
      </rPr>
      <t xml:space="preserve"> Combined treatment with </t>
    </r>
    <r>
      <rPr>
        <b/>
        <sz val="11"/>
        <color theme="1"/>
        <rFont val="Calibri"/>
        <family val="2"/>
        <scheme val="minor"/>
      </rPr>
      <t>PARG</t>
    </r>
    <r>
      <rPr>
        <sz val="11"/>
        <color theme="1"/>
        <rFont val="Calibri"/>
        <family val="2"/>
        <scheme val="minor"/>
      </rPr>
      <t xml:space="preserve"> inhibitor TA and cisplatin was found to induce apoptosis and increase DNA damage in the cisplatin-resistant (SKOV-3 CDDP/R) and cisplatin-sensitive (SKOV-3) human ovarian carcinoma cell lines. </t>
    </r>
    <r>
      <rPr>
        <b/>
        <sz val="11"/>
        <color theme="1"/>
        <rFont val="Calibri"/>
        <family val="2"/>
        <scheme val="minor"/>
      </rPr>
      <t xml:space="preserve">2) </t>
    </r>
    <r>
      <rPr>
        <sz val="11"/>
        <color theme="1"/>
        <rFont val="Calibri"/>
        <family val="2"/>
        <scheme val="minor"/>
      </rPr>
      <t xml:space="preserve">TA  increase the accumulation of poly(ADP-ribose) (pADPr), following the release of apoptosis-inducing factor, and the activation of caspase-3. </t>
    </r>
  </si>
  <si>
    <r>
      <rPr>
        <b/>
        <sz val="11"/>
        <color theme="1"/>
        <rFont val="Calibri"/>
        <family val="2"/>
        <scheme val="minor"/>
      </rPr>
      <t>1)</t>
    </r>
    <r>
      <rPr>
        <sz val="11"/>
        <color theme="1"/>
        <rFont val="Calibri"/>
        <family val="2"/>
        <scheme val="minor"/>
      </rPr>
      <t xml:space="preserve"> siRNA-mediated DJ-1 suppression dramatically impaired proliferation, viability, and migration of the employed </t>
    </r>
    <r>
      <rPr>
        <b/>
        <sz val="11"/>
        <color theme="1"/>
        <rFont val="Calibri"/>
        <family val="2"/>
        <scheme val="minor"/>
      </rPr>
      <t>ovarian</t>
    </r>
    <r>
      <rPr>
        <sz val="11"/>
        <color theme="1"/>
        <rFont val="Calibri"/>
        <family val="2"/>
        <scheme val="minor"/>
      </rPr>
      <t xml:space="preserve"> cancer cells.</t>
    </r>
    <r>
      <rPr>
        <b/>
        <sz val="11"/>
        <color theme="1"/>
        <rFont val="Calibri"/>
        <family val="2"/>
        <scheme val="minor"/>
      </rPr>
      <t xml:space="preserve"> 2)</t>
    </r>
    <r>
      <rPr>
        <sz val="11"/>
        <color theme="1"/>
        <rFont val="Calibri"/>
        <family val="2"/>
        <scheme val="minor"/>
      </rPr>
      <t xml:space="preserve"> the combinatorial approach led to the most pronounced therapeutic response in all the studied cell lines, outperforming both siRNA-mediated DJ-1 knockdown and cisplatin treatment alone. </t>
    </r>
    <r>
      <rPr>
        <b/>
        <sz val="11"/>
        <color theme="1"/>
        <rFont val="Calibri"/>
        <family val="2"/>
        <scheme val="minor"/>
      </rPr>
      <t>3)</t>
    </r>
    <r>
      <rPr>
        <sz val="11"/>
        <color theme="1"/>
        <rFont val="Calibri"/>
        <family val="2"/>
        <scheme val="minor"/>
      </rPr>
      <t xml:space="preserve"> DJ-1 depletion decreases the activity of the Akt pathway; </t>
    </r>
    <r>
      <rPr>
        <b/>
        <sz val="11"/>
        <color theme="1"/>
        <rFont val="Calibri"/>
        <family val="2"/>
        <scheme val="minor"/>
      </rPr>
      <t xml:space="preserve">4) </t>
    </r>
    <r>
      <rPr>
        <sz val="11"/>
        <color theme="1"/>
        <rFont val="Calibri"/>
        <family val="2"/>
        <scheme val="minor"/>
      </rPr>
      <t xml:space="preserve">enhances the activity of p53 tumor suppressor protein. </t>
    </r>
    <r>
      <rPr>
        <b/>
        <sz val="11"/>
        <color theme="1"/>
        <rFont val="Calibri"/>
        <family val="2"/>
        <scheme val="minor"/>
      </rPr>
      <t>5)</t>
    </r>
    <r>
      <rPr>
        <sz val="11"/>
        <color theme="1"/>
        <rFont val="Calibri"/>
        <family val="2"/>
        <scheme val="minor"/>
      </rPr>
      <t xml:space="preserve"> weakens the cellular defense mechanisms against inherited oxidative stress. </t>
    </r>
    <r>
      <rPr>
        <b/>
        <sz val="11"/>
        <color theme="1"/>
        <rFont val="Calibri"/>
        <family val="2"/>
        <scheme val="minor"/>
      </rPr>
      <t>6)</t>
    </r>
    <r>
      <rPr>
        <sz val="11"/>
        <color theme="1"/>
        <rFont val="Calibri"/>
        <family val="2"/>
        <scheme val="minor"/>
      </rPr>
      <t xml:space="preserve"> The serum level of DJ-1 was higher in pancreatic cancer patients than healthy controls, and it has the relationship with tumor differentiation in pancreatic cancer. </t>
    </r>
    <r>
      <rPr>
        <b/>
        <sz val="11"/>
        <color theme="1"/>
        <rFont val="Calibri"/>
        <family val="2"/>
        <scheme val="minor"/>
      </rPr>
      <t xml:space="preserve">7) </t>
    </r>
    <r>
      <rPr>
        <sz val="11"/>
        <color theme="1"/>
        <rFont val="Calibri"/>
        <family val="2"/>
        <scheme val="minor"/>
      </rPr>
      <t xml:space="preserve">Down-regulation of DJ-1 enhanced gemcitabine-induced apoptosis in three pancreatic cancer cell lines. </t>
    </r>
    <r>
      <rPr>
        <b/>
        <sz val="11"/>
        <color theme="1"/>
        <rFont val="Calibri"/>
        <family val="2"/>
        <scheme val="minor"/>
      </rPr>
      <t>8)</t>
    </r>
    <r>
      <rPr>
        <sz val="11"/>
        <color theme="1"/>
        <rFont val="Calibri"/>
        <family val="2"/>
        <scheme val="minor"/>
      </rPr>
      <t xml:space="preserve"> over-expression of DJ-1 desensitized the MIA PaCa-2 to the induction of apoptosis by gemcitabine. high </t>
    </r>
    <r>
      <rPr>
        <b/>
        <sz val="11"/>
        <color theme="1"/>
        <rFont val="Calibri"/>
        <family val="2"/>
        <scheme val="minor"/>
      </rPr>
      <t xml:space="preserve">9) </t>
    </r>
    <r>
      <rPr>
        <sz val="11"/>
        <color theme="1"/>
        <rFont val="Calibri"/>
        <family val="2"/>
        <scheme val="minor"/>
      </rPr>
      <t xml:space="preserve">expression level of DJ-1 was associated with </t>
    </r>
    <r>
      <rPr>
        <b/>
        <sz val="11"/>
        <color theme="1"/>
        <rFont val="Calibri"/>
        <family val="2"/>
        <scheme val="minor"/>
      </rPr>
      <t>cisplatin</t>
    </r>
    <r>
      <rPr>
        <sz val="11"/>
        <color theme="1"/>
        <rFont val="Calibri"/>
        <family val="2"/>
        <scheme val="minor"/>
      </rPr>
      <t xml:space="preserve"> resistance and a predictor for poor prognosis in 67 locally advanced </t>
    </r>
    <r>
      <rPr>
        <b/>
        <sz val="11"/>
        <color theme="1"/>
        <rFont val="Calibri"/>
        <family val="2"/>
        <scheme val="minor"/>
      </rPr>
      <t>NSCLC</t>
    </r>
    <r>
      <rPr>
        <sz val="11"/>
        <color theme="1"/>
        <rFont val="Calibri"/>
        <family val="2"/>
        <scheme val="minor"/>
      </rPr>
      <t xml:space="preserve"> patients.</t>
    </r>
  </si>
  <si>
    <r>
      <rPr>
        <b/>
        <sz val="11"/>
        <color theme="1"/>
        <rFont val="Calibri"/>
        <family val="2"/>
        <scheme val="minor"/>
      </rPr>
      <t xml:space="preserve">1) </t>
    </r>
    <r>
      <rPr>
        <sz val="11"/>
        <color theme="1"/>
        <rFont val="Calibri"/>
        <family val="2"/>
        <scheme val="minor"/>
      </rPr>
      <t xml:space="preserve">miR-216b was significantly downregulated in </t>
    </r>
    <r>
      <rPr>
        <b/>
        <sz val="11"/>
        <color theme="1"/>
        <rFont val="Calibri"/>
        <family val="2"/>
        <scheme val="minor"/>
      </rPr>
      <t>cisplatin</t>
    </r>
    <r>
      <rPr>
        <sz val="11"/>
        <color theme="1"/>
        <rFont val="Calibri"/>
        <family val="2"/>
        <scheme val="minor"/>
      </rPr>
      <t xml:space="preserve">-resistant </t>
    </r>
    <r>
      <rPr>
        <b/>
        <sz val="11"/>
        <color theme="1"/>
        <rFont val="Calibri"/>
        <family val="2"/>
        <scheme val="minor"/>
      </rPr>
      <t>ovarian</t>
    </r>
    <r>
      <rPr>
        <sz val="11"/>
        <color theme="1"/>
        <rFont val="Calibri"/>
        <family val="2"/>
        <scheme val="minor"/>
      </rPr>
      <t xml:space="preserve"> cancer cells. </t>
    </r>
    <r>
      <rPr>
        <b/>
        <sz val="11"/>
        <color theme="1"/>
        <rFont val="Calibri"/>
        <family val="2"/>
        <scheme val="minor"/>
      </rPr>
      <t>2)</t>
    </r>
    <r>
      <rPr>
        <sz val="11"/>
        <color theme="1"/>
        <rFont val="Calibri"/>
        <family val="2"/>
        <scheme val="minor"/>
      </rPr>
      <t xml:space="preserve"> miR-216b reduced cisplatin-resistant cell viability and promoted apoptosis. </t>
    </r>
    <r>
      <rPr>
        <b/>
        <sz val="11"/>
        <color theme="1"/>
        <rFont val="Calibri"/>
        <family val="2"/>
        <scheme val="minor"/>
      </rPr>
      <t>3)</t>
    </r>
    <r>
      <rPr>
        <sz val="11"/>
        <color theme="1"/>
        <rFont val="Calibri"/>
        <family val="2"/>
        <scheme val="minor"/>
      </rPr>
      <t xml:space="preserve"> mRNA level of poly(ADP-ribose) polymerase</t>
    </r>
    <r>
      <rPr>
        <b/>
        <sz val="11"/>
        <color theme="1"/>
        <rFont val="Calibri"/>
        <family val="2"/>
        <scheme val="minor"/>
      </rPr>
      <t xml:space="preserve"> (PARP)-1 </t>
    </r>
    <r>
      <rPr>
        <sz val="11"/>
        <color theme="1"/>
        <rFont val="Calibri"/>
        <family val="2"/>
        <scheme val="minor"/>
      </rPr>
      <t xml:space="preserve">was significantly regulated by miR-216b. </t>
    </r>
    <r>
      <rPr>
        <b/>
        <sz val="11"/>
        <color theme="1"/>
        <rFont val="Calibri"/>
        <family val="2"/>
        <scheme val="minor"/>
      </rPr>
      <t xml:space="preserve">4) </t>
    </r>
    <r>
      <rPr>
        <sz val="11"/>
        <color theme="1"/>
        <rFont val="Calibri"/>
        <family val="2"/>
        <scheme val="minor"/>
      </rPr>
      <t xml:space="preserve">improved cisplatin sensitivity induced by miR-216b was markedly reversed by PARP1 overexpression. </t>
    </r>
    <r>
      <rPr>
        <b/>
        <sz val="11"/>
        <color theme="1"/>
        <rFont val="Calibri"/>
        <family val="2"/>
        <scheme val="minor"/>
      </rPr>
      <t xml:space="preserve">5) </t>
    </r>
    <r>
      <rPr>
        <sz val="11"/>
        <color theme="1"/>
        <rFont val="Calibri"/>
        <family val="2"/>
        <scheme val="minor"/>
      </rPr>
      <t xml:space="preserve">Tumor formation assay in nude mice further provided an evidence on the suppressive role of miR-216b in tumor growth. </t>
    </r>
    <r>
      <rPr>
        <b/>
        <sz val="11"/>
        <color theme="1"/>
        <rFont val="Calibri"/>
        <family val="2"/>
        <scheme val="minor"/>
      </rPr>
      <t>6)</t>
    </r>
    <r>
      <rPr>
        <sz val="11"/>
        <color theme="1"/>
        <rFont val="Calibri"/>
        <family val="2"/>
        <scheme val="minor"/>
      </rPr>
      <t xml:space="preserve"> MKP-1 overexpression stimulates PARP-1 and poly(ADP-ribose) (PAR) protein expression and cisplatin resistance while its downregulation suppresses PARP-1 and PAR protein expression and cisplatin resistance. </t>
    </r>
    <r>
      <rPr>
        <b/>
        <sz val="11"/>
        <color theme="1"/>
        <rFont val="Calibri"/>
        <family val="2"/>
        <scheme val="minor"/>
      </rPr>
      <t xml:space="preserve">7) </t>
    </r>
    <r>
      <rPr>
        <sz val="11"/>
        <color theme="1"/>
        <rFont val="Calibri"/>
        <family val="2"/>
        <scheme val="minor"/>
      </rPr>
      <t xml:space="preserve">acquired cisplatin-resistant ovarian cancer cells expressed high levels of MKP-1 and PARP-1 proteins, and that silencing MKP-1 or PARP-1 increased cisplatin sensitivity in resistant cells. </t>
    </r>
  </si>
  <si>
    <r>
      <rPr>
        <b/>
        <sz val="11"/>
        <color theme="1"/>
        <rFont val="Calibri"/>
        <family val="2"/>
        <scheme val="minor"/>
      </rPr>
      <t xml:space="preserve">1) </t>
    </r>
    <r>
      <rPr>
        <sz val="11"/>
        <color theme="1"/>
        <rFont val="Calibri"/>
        <family val="2"/>
        <scheme val="minor"/>
      </rPr>
      <t xml:space="preserve">PAX2 expression confers resistance to cisplatin-induced apoptosis in normal kidney cells and fetal kidney explants. </t>
    </r>
    <r>
      <rPr>
        <b/>
        <sz val="11"/>
        <color theme="1"/>
        <rFont val="Calibri"/>
        <family val="2"/>
        <scheme val="minor"/>
      </rPr>
      <t>2)</t>
    </r>
    <r>
      <rPr>
        <sz val="11"/>
        <color theme="1"/>
        <rFont val="Calibri"/>
        <family val="2"/>
        <scheme val="minor"/>
      </rPr>
      <t xml:space="preserve"> Pax2 knockdown sensitized RCC cells to cisplatin-induced apoptosis, killing 50-60% of cisplatin-resistant ACHN and CAKI-1 cells. </t>
    </r>
    <r>
      <rPr>
        <b/>
        <sz val="11"/>
        <color theme="1"/>
        <rFont val="Calibri"/>
        <family val="2"/>
        <scheme val="minor"/>
      </rPr>
      <t>3)</t>
    </r>
    <r>
      <rPr>
        <sz val="11"/>
        <color theme="1"/>
        <rFont val="Calibri"/>
        <family val="2"/>
        <scheme val="minor"/>
      </rPr>
      <t xml:space="preserve"> ACHN cells stably transfected with shRNAs targeted against the PAX2 homeodomain are 3-6-fold more susceptible to cisplatin-induced caspase-3 activation than control ACHN cells line. </t>
    </r>
    <r>
      <rPr>
        <b/>
        <sz val="11"/>
        <color theme="1"/>
        <rFont val="Calibri"/>
        <family val="2"/>
        <scheme val="minor"/>
      </rPr>
      <t xml:space="preserve">4) </t>
    </r>
    <r>
      <rPr>
        <sz val="11"/>
        <color theme="1"/>
        <rFont val="Calibri"/>
        <family val="2"/>
        <scheme val="minor"/>
      </rPr>
      <t xml:space="preserve">growth of subcutaneous ACHN/shPAX2 xenografts in nude mice is significantly more responsive to cisplatin therapy than control ACHN cell tumors. </t>
    </r>
  </si>
  <si>
    <r>
      <rPr>
        <b/>
        <sz val="11"/>
        <color theme="1"/>
        <rFont val="Calibri"/>
        <family val="2"/>
        <scheme val="minor"/>
      </rPr>
      <t>1)</t>
    </r>
    <r>
      <rPr>
        <sz val="11"/>
        <color theme="1"/>
        <rFont val="Calibri"/>
        <family val="2"/>
        <scheme val="minor"/>
      </rPr>
      <t xml:space="preserve"> knocking out the </t>
    </r>
    <r>
      <rPr>
        <b/>
        <sz val="11"/>
        <color theme="1"/>
        <rFont val="Calibri"/>
        <family val="2"/>
        <scheme val="minor"/>
      </rPr>
      <t>PTIP</t>
    </r>
    <r>
      <rPr>
        <sz val="11"/>
        <color theme="1"/>
        <rFont val="Calibri"/>
        <family val="2"/>
        <scheme val="minor"/>
      </rPr>
      <t xml:space="preserve"> gene from the BRCA2-mutated tumors in cells as well as in mice and treated them with the drugs </t>
    </r>
    <r>
      <rPr>
        <b/>
        <sz val="11"/>
        <color theme="1"/>
        <rFont val="Calibri"/>
        <family val="2"/>
        <scheme val="minor"/>
      </rPr>
      <t>cisplatin</t>
    </r>
    <r>
      <rPr>
        <sz val="11"/>
        <color theme="1"/>
        <rFont val="Calibri"/>
        <family val="2"/>
        <scheme val="minor"/>
      </rPr>
      <t xml:space="preserve"> and PARPi; Loss of the PTIP protein protected the cells from the drugs by stabilizing replication forks. </t>
    </r>
  </si>
  <si>
    <r>
      <rPr>
        <b/>
        <sz val="11"/>
        <color theme="1"/>
        <rFont val="Calibri"/>
        <family val="2"/>
        <scheme val="minor"/>
      </rPr>
      <t>1) H</t>
    </r>
    <r>
      <rPr>
        <sz val="11"/>
        <color theme="1"/>
        <rFont val="Calibri"/>
        <family val="2"/>
        <scheme val="minor"/>
      </rPr>
      <t xml:space="preserve">igh levels of PBX1 expression correlated with shorter survival in post-chemotherapy ovarian cancer patients. </t>
    </r>
    <r>
      <rPr>
        <b/>
        <sz val="11"/>
        <color theme="1"/>
        <rFont val="Calibri"/>
        <family val="2"/>
        <scheme val="minor"/>
      </rPr>
      <t>2)</t>
    </r>
    <r>
      <rPr>
        <sz val="11"/>
        <color theme="1"/>
        <rFont val="Calibri"/>
        <family val="2"/>
        <scheme val="minor"/>
      </rPr>
      <t xml:space="preserve"> In tumor cells with low endogenous levels of PBX1, its enforced expression promoted cancer stem cell-like phenotypes, including most notably an increase in resistance to </t>
    </r>
    <r>
      <rPr>
        <b/>
        <sz val="11"/>
        <color theme="1"/>
        <rFont val="Calibri"/>
        <family val="2"/>
        <scheme val="minor"/>
      </rPr>
      <t>platinum</t>
    </r>
    <r>
      <rPr>
        <sz val="11"/>
        <color theme="1"/>
        <rFont val="Calibri"/>
        <family val="2"/>
        <scheme val="minor"/>
      </rPr>
      <t xml:space="preserve">-based therapy. </t>
    </r>
    <r>
      <rPr>
        <b/>
        <sz val="11"/>
        <color theme="1"/>
        <rFont val="Calibri"/>
        <family val="2"/>
        <scheme val="minor"/>
      </rPr>
      <t xml:space="preserve">3) </t>
    </r>
    <r>
      <rPr>
        <sz val="11"/>
        <color theme="1"/>
        <rFont val="Calibri"/>
        <family val="2"/>
        <scheme val="minor"/>
      </rPr>
      <t xml:space="preserve">silencing PBX1 in </t>
    </r>
    <r>
      <rPr>
        <b/>
        <sz val="11"/>
        <color theme="1"/>
        <rFont val="Calibri"/>
        <family val="2"/>
        <scheme val="minor"/>
      </rPr>
      <t>platinum</t>
    </r>
    <r>
      <rPr>
        <sz val="11"/>
        <color theme="1"/>
        <rFont val="Calibri"/>
        <family val="2"/>
        <scheme val="minor"/>
      </rPr>
      <t xml:space="preserve">-resistant cells that overexpressed PBX1 sensitized them to platinum treatment and reduced their stem-like properties. </t>
    </r>
    <r>
      <rPr>
        <b/>
        <sz val="11"/>
        <color theme="1"/>
        <rFont val="Calibri"/>
        <family val="2"/>
        <scheme val="minor"/>
      </rPr>
      <t>4)</t>
    </r>
    <r>
      <rPr>
        <sz val="11"/>
        <color theme="1"/>
        <rFont val="Calibri"/>
        <family val="2"/>
        <scheme val="minor"/>
      </rPr>
      <t xml:space="preserve"> PBX1 binds directly to promoters of genes involved in stem cell maintenance and the response to tissue injury.</t>
    </r>
    <r>
      <rPr>
        <b/>
        <sz val="11"/>
        <color theme="1"/>
        <rFont val="Calibri"/>
        <family val="2"/>
        <scheme val="minor"/>
      </rPr>
      <t xml:space="preserve"> 5) </t>
    </r>
    <r>
      <rPr>
        <sz val="11"/>
        <color theme="1"/>
        <rFont val="Calibri"/>
        <family val="2"/>
        <scheme val="minor"/>
      </rPr>
      <t xml:space="preserve">the PBX1 binding motif at STAT3 promoter acted to positively regulate STAT3 transcription. </t>
    </r>
    <r>
      <rPr>
        <b/>
        <sz val="11"/>
        <color theme="1"/>
        <rFont val="Calibri"/>
        <family val="2"/>
        <scheme val="minor"/>
      </rPr>
      <t xml:space="preserve">6) </t>
    </r>
    <r>
      <rPr>
        <sz val="11"/>
        <color theme="1"/>
        <rFont val="Calibri"/>
        <family val="2"/>
        <scheme val="minor"/>
      </rPr>
      <t xml:space="preserve">a STAT3/JAK2 inhibitor could potently sensitize platinum-resistant cells to carboplatin and suppress their growth in vivo </t>
    </r>
  </si>
  <si>
    <r>
      <rPr>
        <b/>
        <sz val="11"/>
        <color theme="1"/>
        <rFont val="Calibri"/>
        <family val="2"/>
        <scheme val="minor"/>
      </rPr>
      <t xml:space="preserve">1) </t>
    </r>
    <r>
      <rPr>
        <sz val="11"/>
        <color theme="1"/>
        <rFont val="Calibri"/>
        <family val="2"/>
        <scheme val="minor"/>
      </rPr>
      <t xml:space="preserve">HPIP is highly expressed in high-grade primary ovarian tumors. </t>
    </r>
    <r>
      <rPr>
        <b/>
        <sz val="11"/>
        <color theme="1"/>
        <rFont val="Calibri"/>
        <family val="2"/>
        <scheme val="minor"/>
      </rPr>
      <t xml:space="preserve">2) </t>
    </r>
    <r>
      <rPr>
        <sz val="11"/>
        <color theme="1"/>
        <rFont val="Calibri"/>
        <family val="2"/>
        <scheme val="minor"/>
      </rPr>
      <t xml:space="preserve">HPIP promotes the migration, invasion and EMT in OAW42 cells and induces EMT in these cells via activation of the PI3K/AKT pathway. </t>
    </r>
    <r>
      <rPr>
        <b/>
        <sz val="11"/>
        <color theme="1"/>
        <rFont val="Calibri"/>
        <family val="2"/>
        <scheme val="minor"/>
      </rPr>
      <t>3)</t>
    </r>
    <r>
      <rPr>
        <sz val="11"/>
        <color theme="1"/>
        <rFont val="Calibri"/>
        <family val="2"/>
        <scheme val="minor"/>
      </rPr>
      <t xml:space="preserve"> The latter was found to lead to stabilization of the Snail protein and to repression of E-cadherin expression through inactivation of GSK-3β. </t>
    </r>
    <r>
      <rPr>
        <b/>
        <sz val="11"/>
        <color theme="1"/>
        <rFont val="Calibri"/>
        <family val="2"/>
        <scheme val="minor"/>
      </rPr>
      <t xml:space="preserve">4) </t>
    </r>
    <r>
      <rPr>
        <sz val="11"/>
        <color theme="1"/>
        <rFont val="Calibri"/>
        <family val="2"/>
        <scheme val="minor"/>
      </rPr>
      <t xml:space="preserve">HPIP expression confers </t>
    </r>
    <r>
      <rPr>
        <b/>
        <sz val="11"/>
        <color theme="1"/>
        <rFont val="Calibri"/>
        <family val="2"/>
        <scheme val="minor"/>
      </rPr>
      <t>cisplatin</t>
    </r>
    <r>
      <rPr>
        <sz val="11"/>
        <color theme="1"/>
        <rFont val="Calibri"/>
        <family val="2"/>
        <scheme val="minor"/>
      </rPr>
      <t xml:space="preserve"> resistance to SKOV3 cells after prolonged exposure </t>
    </r>
    <r>
      <rPr>
        <b/>
        <sz val="11"/>
        <color theme="1"/>
        <rFont val="Calibri"/>
        <family val="2"/>
        <scheme val="minor"/>
      </rPr>
      <t xml:space="preserve">5) </t>
    </r>
    <r>
      <rPr>
        <sz val="11"/>
        <color theme="1"/>
        <rFont val="Calibri"/>
        <family val="2"/>
        <scheme val="minor"/>
      </rPr>
      <t>knockdown decreases the viability of these cells and increases apoptosis following cisplatin treatment.</t>
    </r>
  </si>
  <si>
    <r>
      <rPr>
        <b/>
        <sz val="11"/>
        <color theme="1"/>
        <rFont val="Calibri"/>
        <family val="2"/>
        <scheme val="minor"/>
      </rPr>
      <t>1) </t>
    </r>
    <r>
      <rPr>
        <sz val="11"/>
        <color theme="1"/>
        <rFont val="Calibri"/>
        <family val="2"/>
        <scheme val="minor"/>
      </rPr>
      <t>P15PAF (KIAA0101) was significantly upregulated in high-grade serous ovarian cancer (</t>
    </r>
    <r>
      <rPr>
        <b/>
        <sz val="11"/>
        <color theme="1"/>
        <rFont val="Calibri"/>
        <family val="2"/>
        <scheme val="minor"/>
      </rPr>
      <t>HGSOC</t>
    </r>
    <r>
      <rPr>
        <sz val="11"/>
        <color theme="1"/>
        <rFont val="Calibri"/>
        <family val="2"/>
        <scheme val="minor"/>
      </rPr>
      <t xml:space="preserve">) and that high KIAA0101 expression was associated with poor prognosis. </t>
    </r>
    <r>
      <rPr>
        <b/>
        <sz val="11"/>
        <color theme="1"/>
        <rFont val="Calibri"/>
        <family val="2"/>
        <scheme val="minor"/>
      </rPr>
      <t xml:space="preserve">2) </t>
    </r>
    <r>
      <rPr>
        <sz val="11"/>
        <color theme="1"/>
        <rFont val="Calibri"/>
        <family val="2"/>
        <scheme val="minor"/>
      </rPr>
      <t xml:space="preserve">FOXM1 transcriptionally activated KIAA0101 to drive proliferation and metastasis of ovarian cancer cells. </t>
    </r>
    <r>
      <rPr>
        <b/>
        <sz val="11"/>
        <color theme="1"/>
        <rFont val="Calibri"/>
        <family val="2"/>
        <scheme val="minor"/>
      </rPr>
      <t xml:space="preserve">3) </t>
    </r>
    <r>
      <rPr>
        <sz val="11"/>
        <color theme="1"/>
        <rFont val="Calibri"/>
        <family val="2"/>
        <scheme val="minor"/>
      </rPr>
      <t>KIAA0101 activated the PI3K/AKT/mTOR signaling pathway to inhibit </t>
    </r>
    <r>
      <rPr>
        <b/>
        <sz val="11"/>
        <color theme="1"/>
        <rFont val="Calibri"/>
        <family val="2"/>
        <scheme val="minor"/>
      </rPr>
      <t>cisplatin</t>
    </r>
    <r>
      <rPr>
        <sz val="11"/>
        <color theme="1"/>
        <rFont val="Calibri"/>
        <family val="2"/>
        <scheme val="minor"/>
      </rPr>
      <t xml:space="preserve">-induced apoptosis and autophagy in ovarian cancer cells resulting in cisplatin resistance. </t>
    </r>
  </si>
  <si>
    <r>
      <rPr>
        <b/>
        <sz val="11"/>
        <color theme="1"/>
        <rFont val="Calibri"/>
        <family val="2"/>
        <scheme val="minor"/>
      </rPr>
      <t>1) PCNA</t>
    </r>
    <r>
      <rPr>
        <sz val="11"/>
        <color theme="1"/>
        <rFont val="Calibri"/>
        <family val="2"/>
        <scheme val="minor"/>
      </rPr>
      <t xml:space="preserve"> inhibitor PCNA-I1 induced DNA damage and apoptosis in both LNCaP and PC-3 cells and enhanced DNA damage and apoptosis triggered by cisplatin. </t>
    </r>
    <r>
      <rPr>
        <b/>
        <sz val="11"/>
        <color theme="1"/>
        <rFont val="Calibri"/>
        <family val="2"/>
        <scheme val="minor"/>
      </rPr>
      <t>2) T2AA</t>
    </r>
    <r>
      <rPr>
        <sz val="11"/>
        <color theme="1"/>
        <rFont val="Calibri"/>
        <family val="2"/>
        <scheme val="minor"/>
      </rPr>
      <t xml:space="preserve"> hinders interactions of pol η and REV1 with </t>
    </r>
    <r>
      <rPr>
        <b/>
        <sz val="11"/>
        <color theme="1"/>
        <rFont val="Calibri"/>
        <family val="2"/>
        <scheme val="minor"/>
      </rPr>
      <t>monoubiquitinated</t>
    </r>
    <r>
      <rPr>
        <sz val="11"/>
        <color theme="1"/>
        <rFont val="Calibri"/>
        <family val="2"/>
        <scheme val="minor"/>
      </rPr>
      <t xml:space="preserve"> </t>
    </r>
    <r>
      <rPr>
        <b/>
        <sz val="11"/>
        <color theme="1"/>
        <rFont val="Calibri"/>
        <family val="2"/>
        <scheme val="minor"/>
      </rPr>
      <t>PCNA</t>
    </r>
    <r>
      <rPr>
        <sz val="11"/>
        <color theme="1"/>
        <rFont val="Calibri"/>
        <family val="2"/>
        <scheme val="minor"/>
      </rPr>
      <t xml:space="preserve">. </t>
    </r>
    <r>
      <rPr>
        <b/>
        <sz val="11"/>
        <color theme="1"/>
        <rFont val="Calibri"/>
        <family val="2"/>
        <scheme val="minor"/>
      </rPr>
      <t xml:space="preserve">3) </t>
    </r>
    <r>
      <rPr>
        <sz val="11"/>
        <color theme="1"/>
        <rFont val="Calibri"/>
        <family val="2"/>
        <scheme val="minor"/>
      </rPr>
      <t xml:space="preserve">ICLs are repaired by mechanisms using translesion DNA synthesis that is regulated by monoubiquitinated PCNA. T2AA significantly delayed reactivation of a reporter plasmid containing an ICL. </t>
    </r>
    <r>
      <rPr>
        <b/>
        <sz val="11"/>
        <color theme="1"/>
        <rFont val="Calibri"/>
        <family val="2"/>
        <scheme val="minor"/>
      </rPr>
      <t xml:space="preserve">4) </t>
    </r>
    <r>
      <rPr>
        <sz val="11"/>
        <color theme="1"/>
        <rFont val="Calibri"/>
        <family val="2"/>
        <scheme val="minor"/>
      </rPr>
      <t xml:space="preserve">T2AA significantly enhanced formation of DNA double strand breaks (DSBs) by </t>
    </r>
    <r>
      <rPr>
        <b/>
        <sz val="11"/>
        <color theme="1"/>
        <rFont val="Calibri"/>
        <family val="2"/>
        <scheme val="minor"/>
      </rPr>
      <t>cisplatin</t>
    </r>
    <r>
      <rPr>
        <sz val="11"/>
        <color theme="1"/>
        <rFont val="Calibri"/>
        <family val="2"/>
        <scheme val="minor"/>
      </rPr>
      <t xml:space="preserve">. </t>
    </r>
    <r>
      <rPr>
        <b/>
        <sz val="11"/>
        <color theme="1"/>
        <rFont val="Calibri"/>
        <family val="2"/>
        <scheme val="minor"/>
      </rPr>
      <t>5)</t>
    </r>
    <r>
      <rPr>
        <sz val="11"/>
        <color theme="1"/>
        <rFont val="Calibri"/>
        <family val="2"/>
        <scheme val="minor"/>
      </rPr>
      <t xml:space="preserve"> When cells were treated by cisplatin and T2AA, their clonogenic survival was significantly less than that of those treated by cisplatin only. </t>
    </r>
    <r>
      <rPr>
        <b/>
        <sz val="11"/>
        <color theme="1"/>
        <rFont val="Calibri"/>
        <family val="2"/>
        <scheme val="minor"/>
      </rPr>
      <t xml:space="preserve">5) </t>
    </r>
    <r>
      <rPr>
        <sz val="11"/>
        <color theme="1"/>
        <rFont val="Calibri"/>
        <family val="2"/>
        <scheme val="minor"/>
      </rPr>
      <t xml:space="preserve">DTT-defective </t>
    </r>
    <r>
      <rPr>
        <b/>
        <sz val="11"/>
        <color theme="1"/>
        <rFont val="Calibri"/>
        <family val="2"/>
        <scheme val="minor"/>
      </rPr>
      <t>Pcna</t>
    </r>
    <r>
      <rPr>
        <sz val="11"/>
        <color theme="1"/>
        <rFont val="Calibri"/>
        <family val="2"/>
        <scheme val="minor"/>
      </rPr>
      <t xml:space="preserve">K164R lymphomas and breast cancers were compared to their DDT-proficient controls hypersensitive to the chemotherapeutic drug cisplatin (CsPt), both in vitro and in vivo. </t>
    </r>
    <r>
      <rPr>
        <b/>
        <sz val="11"/>
        <color theme="1"/>
        <rFont val="Calibri"/>
        <family val="2"/>
        <scheme val="minor"/>
      </rPr>
      <t xml:space="preserve">6) </t>
    </r>
    <r>
      <rPr>
        <sz val="11"/>
        <color theme="1"/>
        <rFont val="Calibri"/>
        <family val="2"/>
        <scheme val="minor"/>
      </rPr>
      <t xml:space="preserve">Poor response to chemotherapy was significantly correlated with P-glycoprotein expression (P &lt; 0.005) and low PCNA labeling (P &lt; 0. 05), </t>
    </r>
  </si>
  <si>
    <r>
      <rPr>
        <b/>
        <sz val="11"/>
        <color theme="1"/>
        <rFont val="Calibri"/>
        <family val="2"/>
        <scheme val="minor"/>
      </rPr>
      <t xml:space="preserve">1) </t>
    </r>
    <r>
      <rPr>
        <sz val="11"/>
        <color theme="1"/>
        <rFont val="Calibri"/>
        <family val="2"/>
        <scheme val="minor"/>
      </rPr>
      <t xml:space="preserve">Overexpression of </t>
    </r>
    <r>
      <rPr>
        <b/>
        <sz val="11"/>
        <color theme="1"/>
        <rFont val="Calibri"/>
        <family val="2"/>
        <scheme val="minor"/>
      </rPr>
      <t>PDCD4</t>
    </r>
    <r>
      <rPr>
        <sz val="11"/>
        <color theme="1"/>
        <rFont val="Calibri"/>
        <family val="2"/>
        <scheme val="minor"/>
      </rPr>
      <t xml:space="preserve"> enhanced chemosensitivity in SKOV3 and CAOV3 cells with low levels of </t>
    </r>
    <r>
      <rPr>
        <b/>
        <sz val="11"/>
        <color theme="1"/>
        <rFont val="Calibri"/>
        <family val="2"/>
        <scheme val="minor"/>
      </rPr>
      <t>PDCD4</t>
    </r>
    <r>
      <rPr>
        <sz val="11"/>
        <color theme="1"/>
        <rFont val="Calibri"/>
        <family val="2"/>
        <scheme val="minor"/>
      </rPr>
      <t xml:space="preserve">, </t>
    </r>
    <r>
      <rPr>
        <b/>
        <sz val="11"/>
        <color theme="1"/>
        <rFont val="Calibri"/>
        <family val="2"/>
        <scheme val="minor"/>
      </rPr>
      <t xml:space="preserve">2) </t>
    </r>
    <r>
      <rPr>
        <sz val="11"/>
        <color theme="1"/>
        <rFont val="Calibri"/>
        <family val="2"/>
        <scheme val="minor"/>
      </rPr>
      <t xml:space="preserve">knockdown of </t>
    </r>
    <r>
      <rPr>
        <b/>
        <sz val="11"/>
        <color theme="1"/>
        <rFont val="Calibri"/>
        <family val="2"/>
        <scheme val="minor"/>
      </rPr>
      <t>PDCD4</t>
    </r>
    <r>
      <rPr>
        <sz val="11"/>
        <color theme="1"/>
        <rFont val="Calibri"/>
        <family val="2"/>
        <scheme val="minor"/>
      </rPr>
      <t xml:space="preserve"> reduced chemosensitivity in OVCAR3 cells with high levels of PDCD4. </t>
    </r>
    <r>
      <rPr>
        <b/>
        <sz val="11"/>
        <color theme="1"/>
        <rFont val="Calibri"/>
        <family val="2"/>
        <scheme val="minor"/>
      </rPr>
      <t xml:space="preserve">3) </t>
    </r>
    <r>
      <rPr>
        <sz val="11"/>
        <color theme="1"/>
        <rFont val="Calibri"/>
        <family val="2"/>
        <scheme val="minor"/>
      </rPr>
      <t xml:space="preserve">the combination of enforced </t>
    </r>
    <r>
      <rPr>
        <b/>
        <sz val="11"/>
        <color theme="1"/>
        <rFont val="Calibri"/>
        <family val="2"/>
        <scheme val="minor"/>
      </rPr>
      <t>PDCD4</t>
    </r>
    <r>
      <rPr>
        <sz val="11"/>
        <color theme="1"/>
        <rFont val="Calibri"/>
        <family val="2"/>
        <scheme val="minor"/>
      </rPr>
      <t xml:space="preserve"> expression with </t>
    </r>
    <r>
      <rPr>
        <b/>
        <sz val="11"/>
        <color theme="1"/>
        <rFont val="Calibri"/>
        <family val="2"/>
        <scheme val="minor"/>
      </rPr>
      <t>cisplatin</t>
    </r>
    <r>
      <rPr>
        <sz val="11"/>
        <color theme="1"/>
        <rFont val="Calibri"/>
        <family val="2"/>
        <scheme val="minor"/>
      </rPr>
      <t xml:space="preserve"> treatment significantly suppressed</t>
    </r>
    <r>
      <rPr>
        <b/>
        <sz val="11"/>
        <color theme="1"/>
        <rFont val="Calibri"/>
        <family val="2"/>
        <scheme val="minor"/>
      </rPr>
      <t xml:space="preserve"> ovarian</t>
    </r>
    <r>
      <rPr>
        <sz val="11"/>
        <color theme="1"/>
        <rFont val="Calibri"/>
        <family val="2"/>
        <scheme val="minor"/>
      </rPr>
      <t xml:space="preserve"> tumor growth in a xenograft animal model. </t>
    </r>
    <r>
      <rPr>
        <b/>
        <sz val="11"/>
        <color theme="1"/>
        <rFont val="Calibri"/>
        <family val="2"/>
        <scheme val="minor"/>
      </rPr>
      <t>4)</t>
    </r>
    <r>
      <rPr>
        <sz val="11"/>
        <color theme="1"/>
        <rFont val="Calibri"/>
        <family val="2"/>
        <scheme val="minor"/>
      </rPr>
      <t xml:space="preserve"> The </t>
    </r>
    <r>
      <rPr>
        <b/>
        <sz val="11"/>
        <color theme="1"/>
        <rFont val="Calibri"/>
        <family val="2"/>
        <scheme val="minor"/>
      </rPr>
      <t>PDCD4</t>
    </r>
    <r>
      <rPr>
        <sz val="11"/>
        <color theme="1"/>
        <rFont val="Calibri"/>
        <family val="2"/>
        <scheme val="minor"/>
      </rPr>
      <t xml:space="preserve"> effect appears to be specific for </t>
    </r>
    <r>
      <rPr>
        <b/>
        <sz val="11"/>
        <color theme="1"/>
        <rFont val="Calibri"/>
        <family val="2"/>
        <scheme val="minor"/>
      </rPr>
      <t>cisplatin</t>
    </r>
    <r>
      <rPr>
        <sz val="11"/>
        <color theme="1"/>
        <rFont val="Calibri"/>
        <family val="2"/>
        <scheme val="minor"/>
      </rPr>
      <t xml:space="preserve"> and </t>
    </r>
    <r>
      <rPr>
        <b/>
        <sz val="11"/>
        <color theme="1"/>
        <rFont val="Calibri"/>
        <family val="2"/>
        <scheme val="minor"/>
      </rPr>
      <t>carboplatin</t>
    </r>
    <r>
      <rPr>
        <sz val="11"/>
        <color theme="1"/>
        <rFont val="Calibri"/>
        <family val="2"/>
        <scheme val="minor"/>
      </rPr>
      <t xml:space="preserve">, not affecting cyclophosphamide, etoposide, or paclitaxel. </t>
    </r>
    <r>
      <rPr>
        <b/>
        <sz val="11"/>
        <color theme="1"/>
        <rFont val="Calibri"/>
        <family val="2"/>
        <scheme val="minor"/>
      </rPr>
      <t>5)</t>
    </r>
    <r>
      <rPr>
        <sz val="11"/>
        <color theme="1"/>
        <rFont val="Calibri"/>
        <family val="2"/>
        <scheme val="minor"/>
      </rPr>
      <t xml:space="preserve"> </t>
    </r>
    <r>
      <rPr>
        <b/>
        <sz val="11"/>
        <color theme="1"/>
        <rFont val="Calibri"/>
        <family val="2"/>
        <scheme val="minor"/>
      </rPr>
      <t xml:space="preserve">PDCD4 </t>
    </r>
    <r>
      <rPr>
        <sz val="11"/>
        <color theme="1"/>
        <rFont val="Calibri"/>
        <family val="2"/>
        <scheme val="minor"/>
      </rPr>
      <t xml:space="preserve">significantly increased cisplatin-induced cleavage of caspase-3 and caspase-8 in vitro and in vivo. </t>
    </r>
    <r>
      <rPr>
        <b/>
        <sz val="11"/>
        <color theme="1"/>
        <rFont val="Calibri"/>
        <family val="2"/>
        <scheme val="minor"/>
      </rPr>
      <t>6)</t>
    </r>
    <r>
      <rPr>
        <sz val="11"/>
        <color theme="1"/>
        <rFont val="Calibri"/>
        <family val="2"/>
        <scheme val="minor"/>
      </rPr>
      <t xml:space="preserve"> A specific caspase-8 inhibitor, Z-ITED-FMK, attenuated cisplatin-induced apoptosis in </t>
    </r>
    <r>
      <rPr>
        <b/>
        <sz val="11"/>
        <color theme="1"/>
        <rFont val="Calibri"/>
        <family val="2"/>
        <scheme val="minor"/>
      </rPr>
      <t>PDCD4</t>
    </r>
    <r>
      <rPr>
        <sz val="11"/>
        <color theme="1"/>
        <rFont val="Calibri"/>
        <family val="2"/>
        <scheme val="minor"/>
      </rPr>
      <t xml:space="preserve">-overexpressing ovarian cancer cells. </t>
    </r>
  </si>
  <si>
    <r>
      <rPr>
        <b/>
        <sz val="11"/>
        <color theme="1"/>
        <rFont val="Calibri"/>
        <family val="2"/>
        <scheme val="minor"/>
      </rPr>
      <t xml:space="preserve">1) </t>
    </r>
    <r>
      <rPr>
        <sz val="11"/>
        <color theme="1"/>
        <rFont val="Calibri"/>
        <family val="2"/>
        <scheme val="minor"/>
      </rPr>
      <t xml:space="preserve">High PDGF-D expression is positively correlated with International Federation of Gynecology and Obstetrics stage (P &lt; 0.001), histologic grade (P &lt; 0.001), lymph node metastasis (P = 0.022), and poor prognosis (P &lt; 0.001). </t>
    </r>
    <r>
      <rPr>
        <b/>
        <sz val="11"/>
        <color theme="1"/>
        <rFont val="Calibri"/>
        <family val="2"/>
        <scheme val="minor"/>
      </rPr>
      <t>2)</t>
    </r>
    <r>
      <rPr>
        <sz val="11"/>
        <color theme="1"/>
        <rFont val="Calibri"/>
        <family val="2"/>
        <scheme val="minor"/>
      </rPr>
      <t xml:space="preserve"> Platelet-derived growth factor D in </t>
    </r>
    <r>
      <rPr>
        <b/>
        <sz val="11"/>
        <color theme="1"/>
        <rFont val="Calibri"/>
        <family val="2"/>
        <scheme val="minor"/>
      </rPr>
      <t>platinum</t>
    </r>
    <r>
      <rPr>
        <sz val="11"/>
        <color theme="1"/>
        <rFont val="Calibri"/>
        <family val="2"/>
        <scheme val="minor"/>
      </rPr>
      <t>-resistant cases is overexpressed compared with that in platinum-sensitive cases (P &lt; 0.001). Obstetrics stage (P = 0.029) and PDGF-D overexpression (P &lt; 0.001) are independently correlated with platinum resistance.</t>
    </r>
  </si>
  <si>
    <r>
      <rPr>
        <b/>
        <sz val="11"/>
        <color theme="1"/>
        <rFont val="Calibri"/>
        <family val="2"/>
        <scheme val="minor"/>
      </rPr>
      <t>1) PDGFRB</t>
    </r>
    <r>
      <rPr>
        <sz val="11"/>
        <color theme="1"/>
        <rFont val="Calibri"/>
        <family val="2"/>
        <scheme val="minor"/>
      </rPr>
      <t xml:space="preserve"> inhibitor ST1571 sensitize </t>
    </r>
    <r>
      <rPr>
        <b/>
        <sz val="11"/>
        <color theme="1"/>
        <rFont val="Calibri"/>
        <family val="2"/>
        <scheme val="minor"/>
      </rPr>
      <t>cisplatin</t>
    </r>
    <r>
      <rPr>
        <sz val="11"/>
        <color theme="1"/>
        <rFont val="Calibri"/>
        <family val="2"/>
        <scheme val="minor"/>
      </rPr>
      <t xml:space="preserve">-resistant U87/Pt cells toward cisplatin. STI571 specifically inhibited PDGF-BB-, but not PDGF-AA- or stem cell factor-mediated signaling. </t>
    </r>
    <r>
      <rPr>
        <b/>
        <sz val="11"/>
        <color theme="1"/>
        <rFont val="Calibri"/>
        <family val="2"/>
        <scheme val="minor"/>
      </rPr>
      <t xml:space="preserve">2) </t>
    </r>
    <r>
      <rPr>
        <sz val="11"/>
        <color theme="1"/>
        <rFont val="Calibri"/>
        <family val="2"/>
        <scheme val="minor"/>
      </rPr>
      <t xml:space="preserve">In serum-containing medium, STI571 decreased phospho-Akt in U87/Pt cells, but not in U87, while activating extracellular signal-regulated kinase (Erk) in both. </t>
    </r>
    <r>
      <rPr>
        <b/>
        <sz val="11"/>
        <color theme="1"/>
        <rFont val="Calibri"/>
        <family val="2"/>
        <scheme val="minor"/>
      </rPr>
      <t>3)</t>
    </r>
    <r>
      <rPr>
        <sz val="11"/>
        <color theme="1"/>
        <rFont val="Calibri"/>
        <family val="2"/>
        <scheme val="minor"/>
      </rPr>
      <t xml:space="preserve"> STI571 antiproliferative effects were partially reverted by constitutively active Akt. </t>
    </r>
    <r>
      <rPr>
        <b/>
        <sz val="11"/>
        <color theme="1"/>
        <rFont val="Calibri"/>
        <family val="2"/>
        <scheme val="minor"/>
      </rPr>
      <t xml:space="preserve">4) </t>
    </r>
    <r>
      <rPr>
        <sz val="11"/>
        <color theme="1"/>
        <rFont val="Calibri"/>
        <family val="2"/>
        <scheme val="minor"/>
      </rPr>
      <t xml:space="preserve">Cotreatment with inhibitors of phosphatidylinositol 3'-kinase (PI3K) or mitogen-activated protein kinase kinase (MEK) resulted in enhanced growth inhibition in glioma cells. </t>
    </r>
    <r>
      <rPr>
        <b/>
        <sz val="11"/>
        <color theme="1"/>
        <rFont val="Calibri"/>
        <family val="2"/>
        <scheme val="minor"/>
      </rPr>
      <t>5)</t>
    </r>
    <r>
      <rPr>
        <sz val="11"/>
        <color theme="1"/>
        <rFont val="Calibri"/>
        <family val="2"/>
        <scheme val="minor"/>
      </rPr>
      <t xml:space="preserve"> combination of CP-673451 and cisplatin produced a synergistic anticancer effect and substantial ROS production in vitro. </t>
    </r>
  </si>
  <si>
    <r>
      <rPr>
        <b/>
        <sz val="11"/>
        <color theme="1"/>
        <rFont val="Calibri"/>
        <family val="2"/>
        <scheme val="minor"/>
      </rPr>
      <t xml:space="preserve">1) </t>
    </r>
    <r>
      <rPr>
        <sz val="11"/>
        <color theme="1"/>
        <rFont val="Calibri"/>
        <family val="2"/>
        <scheme val="minor"/>
      </rPr>
      <t xml:space="preserve">expression levels of P4HB and PDIA3 were upregulated in </t>
    </r>
    <r>
      <rPr>
        <b/>
        <sz val="11"/>
        <color theme="1"/>
        <rFont val="Calibri"/>
        <family val="2"/>
        <scheme val="minor"/>
      </rPr>
      <t>glioma</t>
    </r>
    <r>
      <rPr>
        <sz val="11"/>
        <color theme="1"/>
        <rFont val="Calibri"/>
        <family val="2"/>
        <scheme val="minor"/>
      </rPr>
      <t xml:space="preserve"> datasets. their increased expression was then validated in 99 glioma specimens compared with 11 non-tumor tissues. </t>
    </r>
    <r>
      <rPr>
        <b/>
        <sz val="11"/>
        <color theme="1"/>
        <rFont val="Calibri"/>
        <family val="2"/>
        <scheme val="minor"/>
      </rPr>
      <t xml:space="preserve">2) </t>
    </r>
    <r>
      <rPr>
        <sz val="11"/>
        <color theme="1"/>
        <rFont val="Calibri"/>
        <family val="2"/>
        <scheme val="minor"/>
      </rPr>
      <t xml:space="preserve">High expression of P4HB and PDIA3 was significantly correlated with high Ki-67 and a high frequency of the TP53 mutation. </t>
    </r>
    <r>
      <rPr>
        <b/>
        <sz val="11"/>
        <color theme="1"/>
        <rFont val="Calibri"/>
        <family val="2"/>
        <scheme val="minor"/>
      </rPr>
      <t>3)</t>
    </r>
    <r>
      <rPr>
        <sz val="11"/>
        <color theme="1"/>
        <rFont val="Calibri"/>
        <family val="2"/>
        <scheme val="minor"/>
      </rPr>
      <t xml:space="preserve"> Kaplan-Meier survival curve and Cox regression analyses showed that glioma patients with high P4HB and PDIA3 expression had a poor survival outcome. </t>
    </r>
    <r>
      <rPr>
        <b/>
        <sz val="11"/>
        <color theme="1"/>
        <rFont val="Calibri"/>
        <family val="2"/>
        <scheme val="minor"/>
      </rPr>
      <t>4)</t>
    </r>
    <r>
      <rPr>
        <sz val="11"/>
        <color theme="1"/>
        <rFont val="Calibri"/>
        <family val="2"/>
        <scheme val="minor"/>
      </rPr>
      <t xml:space="preserve"> knockdown of PDIA3 suppressed cell proliferation, induced cell apoptosis, and decreased the migration of glioma cells. </t>
    </r>
    <r>
      <rPr>
        <b/>
        <sz val="11"/>
        <color theme="1"/>
        <rFont val="Calibri"/>
        <family val="2"/>
        <scheme val="minor"/>
      </rPr>
      <t xml:space="preserve">5) </t>
    </r>
    <r>
      <rPr>
        <sz val="11"/>
        <color theme="1"/>
        <rFont val="Calibri"/>
        <family val="2"/>
        <scheme val="minor"/>
      </rPr>
      <t xml:space="preserve">downregulation of P4HB and PDIA3 may contribute to improve the survival of patients who receive </t>
    </r>
    <r>
      <rPr>
        <b/>
        <sz val="11"/>
        <color theme="1"/>
        <rFont val="Calibri"/>
        <family val="2"/>
        <scheme val="minor"/>
      </rPr>
      <t>chemotherapy</t>
    </r>
    <r>
      <rPr>
        <sz val="11"/>
        <color theme="1"/>
        <rFont val="Calibri"/>
        <family val="2"/>
        <scheme val="minor"/>
      </rPr>
      <t xml:space="preserve"> and radiotherapy. </t>
    </r>
  </si>
  <si>
    <r>
      <rPr>
        <b/>
        <sz val="11"/>
        <color theme="1"/>
        <rFont val="Calibri"/>
        <family val="2"/>
        <scheme val="minor"/>
      </rPr>
      <t>1) Pyruvate dehydrogenase kinase 1 (PDK1)</t>
    </r>
    <r>
      <rPr>
        <sz val="11"/>
        <color theme="1"/>
        <rFont val="Calibri"/>
        <family val="2"/>
        <scheme val="minor"/>
      </rPr>
      <t xml:space="preserve"> was upregulated in </t>
    </r>
    <r>
      <rPr>
        <b/>
        <sz val="11"/>
        <color theme="1"/>
        <rFont val="Calibri"/>
        <family val="2"/>
        <scheme val="minor"/>
      </rPr>
      <t>cisplatin</t>
    </r>
    <r>
      <rPr>
        <sz val="11"/>
        <color theme="1"/>
        <rFont val="Calibri"/>
        <family val="2"/>
        <scheme val="minor"/>
      </rPr>
      <t xml:space="preserve">-resistant </t>
    </r>
    <r>
      <rPr>
        <b/>
        <sz val="11"/>
        <color theme="1"/>
        <rFont val="Calibri"/>
        <family val="2"/>
        <scheme val="minor"/>
      </rPr>
      <t>ovarian</t>
    </r>
    <r>
      <rPr>
        <sz val="11"/>
        <color theme="1"/>
        <rFont val="Calibri"/>
        <family val="2"/>
        <scheme val="minor"/>
      </rPr>
      <t xml:space="preserve"> cancer cells. </t>
    </r>
    <r>
      <rPr>
        <b/>
        <sz val="11"/>
        <color theme="1"/>
        <rFont val="Calibri"/>
        <family val="2"/>
        <scheme val="minor"/>
      </rPr>
      <t>2) PDK1</t>
    </r>
    <r>
      <rPr>
        <sz val="11"/>
        <color theme="1"/>
        <rFont val="Calibri"/>
        <family val="2"/>
        <scheme val="minor"/>
      </rPr>
      <t xml:space="preserve"> knockdown in resistant cells led to increased sensitivity to </t>
    </r>
    <r>
      <rPr>
        <b/>
        <sz val="11"/>
        <color theme="1"/>
        <rFont val="Calibri"/>
        <family val="2"/>
        <scheme val="minor"/>
      </rPr>
      <t>cisplatin</t>
    </r>
    <r>
      <rPr>
        <sz val="11"/>
        <color theme="1"/>
        <rFont val="Calibri"/>
        <family val="2"/>
        <scheme val="minor"/>
      </rPr>
      <t xml:space="preserve">-induced cell death and apoptosis. </t>
    </r>
    <r>
      <rPr>
        <b/>
        <sz val="11"/>
        <color theme="1"/>
        <rFont val="Calibri"/>
        <family val="2"/>
        <scheme val="minor"/>
      </rPr>
      <t>3)</t>
    </r>
    <r>
      <rPr>
        <sz val="11"/>
        <color theme="1"/>
        <rFont val="Calibri"/>
        <family val="2"/>
        <scheme val="minor"/>
      </rPr>
      <t xml:space="preserve"> </t>
    </r>
    <r>
      <rPr>
        <b/>
        <sz val="11"/>
        <color theme="1"/>
        <rFont val="Calibri"/>
        <family val="2"/>
        <scheme val="minor"/>
      </rPr>
      <t xml:space="preserve">PDK1 </t>
    </r>
    <r>
      <rPr>
        <sz val="11"/>
        <color theme="1"/>
        <rFont val="Calibri"/>
        <family val="2"/>
        <scheme val="minor"/>
      </rPr>
      <t xml:space="preserve">downregulation also reversed the EMT and cell motility in </t>
    </r>
    <r>
      <rPr>
        <b/>
        <sz val="11"/>
        <color theme="1"/>
        <rFont val="Calibri"/>
        <family val="2"/>
        <scheme val="minor"/>
      </rPr>
      <t>cisplatin</t>
    </r>
    <r>
      <rPr>
        <sz val="11"/>
        <color theme="1"/>
        <rFont val="Calibri"/>
        <family val="2"/>
        <scheme val="minor"/>
      </rPr>
      <t xml:space="preserve">-resistant cells. </t>
    </r>
    <r>
      <rPr>
        <b/>
        <sz val="11"/>
        <color theme="1"/>
        <rFont val="Calibri"/>
        <family val="2"/>
        <scheme val="minor"/>
      </rPr>
      <t>4)</t>
    </r>
    <r>
      <rPr>
        <sz val="11"/>
        <color theme="1"/>
        <rFont val="Calibri"/>
        <family val="2"/>
        <scheme val="minor"/>
      </rPr>
      <t xml:space="preserve"> In a mouse xenograft model, tumors derived from PDK1-silenced </t>
    </r>
    <r>
      <rPr>
        <b/>
        <sz val="11"/>
        <color theme="1"/>
        <rFont val="Calibri"/>
        <family val="2"/>
        <scheme val="minor"/>
      </rPr>
      <t xml:space="preserve">ovarian </t>
    </r>
    <r>
      <rPr>
        <sz val="11"/>
        <color theme="1"/>
        <rFont val="Calibri"/>
        <family val="2"/>
        <scheme val="minor"/>
      </rPr>
      <t xml:space="preserve">cancer cells exhibited decreased tumor growth and EMT compared with control after the cisplatin treatment. </t>
    </r>
    <r>
      <rPr>
        <b/>
        <sz val="11"/>
        <color theme="1"/>
        <rFont val="Calibri"/>
        <family val="2"/>
        <scheme val="minor"/>
      </rPr>
      <t>5) PDK1</t>
    </r>
    <r>
      <rPr>
        <sz val="11"/>
        <color theme="1"/>
        <rFont val="Calibri"/>
        <family val="2"/>
        <scheme val="minor"/>
      </rPr>
      <t xml:space="preserve"> overexpression led to increased phosphorylation of </t>
    </r>
    <r>
      <rPr>
        <b/>
        <sz val="11"/>
        <color theme="1"/>
        <rFont val="Calibri"/>
        <family val="2"/>
        <scheme val="minor"/>
      </rPr>
      <t>EGFR</t>
    </r>
    <r>
      <rPr>
        <sz val="11"/>
        <color theme="1"/>
        <rFont val="Calibri"/>
        <family val="2"/>
        <scheme val="minor"/>
      </rPr>
      <t xml:space="preserve">, </t>
    </r>
    <r>
      <rPr>
        <b/>
        <sz val="11"/>
        <color theme="1"/>
        <rFont val="Calibri"/>
        <family val="2"/>
        <scheme val="minor"/>
      </rPr>
      <t xml:space="preserve">6) </t>
    </r>
    <r>
      <rPr>
        <sz val="11"/>
        <color theme="1"/>
        <rFont val="Calibri"/>
        <family val="2"/>
        <scheme val="minor"/>
      </rPr>
      <t xml:space="preserve">blocking EGFR kinase activity by erlotinib reversed cisplatin resistance induced by PDK1 overexpression. </t>
    </r>
    <r>
      <rPr>
        <b/>
        <sz val="11"/>
        <color theme="1"/>
        <rFont val="Calibri"/>
        <family val="2"/>
        <scheme val="minor"/>
      </rPr>
      <t>7)</t>
    </r>
    <r>
      <rPr>
        <sz val="11"/>
        <color theme="1"/>
        <rFont val="Calibri"/>
        <family val="2"/>
        <scheme val="minor"/>
      </rPr>
      <t xml:space="preserve"> in patients with </t>
    </r>
    <r>
      <rPr>
        <b/>
        <sz val="11"/>
        <color theme="1"/>
        <rFont val="Calibri"/>
        <family val="2"/>
        <scheme val="minor"/>
      </rPr>
      <t>ovarian</t>
    </r>
    <r>
      <rPr>
        <sz val="11"/>
        <color theme="1"/>
        <rFont val="Calibri"/>
        <family val="2"/>
        <scheme val="minor"/>
      </rPr>
      <t xml:space="preserve"> cancer, higher PDK1 and p-EGFR levels were associated with chemoresistance. </t>
    </r>
  </si>
  <si>
    <r>
      <rPr>
        <b/>
        <sz val="11"/>
        <color theme="1"/>
        <rFont val="Calibri"/>
        <family val="2"/>
        <scheme val="minor"/>
      </rPr>
      <t xml:space="preserve">1) </t>
    </r>
    <r>
      <rPr>
        <sz val="11"/>
        <color theme="1"/>
        <rFont val="Calibri"/>
        <family val="2"/>
        <scheme val="minor"/>
      </rPr>
      <t xml:space="preserve">Inhibition of </t>
    </r>
    <r>
      <rPr>
        <b/>
        <sz val="11"/>
        <color theme="1"/>
        <rFont val="Calibri"/>
        <family val="2"/>
        <scheme val="minor"/>
      </rPr>
      <t>PDK4</t>
    </r>
    <r>
      <rPr>
        <sz val="11"/>
        <color theme="1"/>
        <rFont val="Calibri"/>
        <family val="2"/>
        <scheme val="minor"/>
      </rPr>
      <t xml:space="preserve"> with dichloroacetate (DCA) resulted in increased </t>
    </r>
    <r>
      <rPr>
        <b/>
        <sz val="11"/>
        <color theme="1"/>
        <rFont val="Calibri"/>
        <family val="2"/>
        <scheme val="minor"/>
      </rPr>
      <t>PDH</t>
    </r>
    <r>
      <rPr>
        <sz val="11"/>
        <color theme="1"/>
        <rFont val="Calibri"/>
        <family val="2"/>
        <scheme val="minor"/>
      </rPr>
      <t xml:space="preserve"> activity, reduced cell growth; siRNA knockdown of </t>
    </r>
    <r>
      <rPr>
        <b/>
        <sz val="11"/>
        <color theme="1"/>
        <rFont val="Calibri"/>
        <family val="2"/>
        <scheme val="minor"/>
      </rPr>
      <t>PDK4</t>
    </r>
    <r>
      <rPr>
        <sz val="11"/>
        <color theme="1"/>
        <rFont val="Calibri"/>
        <family val="2"/>
        <scheme val="minor"/>
      </rPr>
      <t xml:space="preserve"> inhibited bladder cancer cell proliferation. </t>
    </r>
    <r>
      <rPr>
        <b/>
        <sz val="11"/>
        <color theme="1"/>
        <rFont val="Calibri"/>
        <family val="2"/>
        <scheme val="minor"/>
      </rPr>
      <t xml:space="preserve">2) </t>
    </r>
    <r>
      <rPr>
        <sz val="11"/>
        <color theme="1"/>
        <rFont val="Calibri"/>
        <family val="2"/>
        <scheme val="minor"/>
      </rPr>
      <t xml:space="preserve">Cotreatment of bladder cancer cells with </t>
    </r>
    <r>
      <rPr>
        <b/>
        <sz val="11"/>
        <color theme="1"/>
        <rFont val="Calibri"/>
        <family val="2"/>
        <scheme val="minor"/>
      </rPr>
      <t>cisplatin</t>
    </r>
    <r>
      <rPr>
        <sz val="11"/>
        <color theme="1"/>
        <rFont val="Calibri"/>
        <family val="2"/>
        <scheme val="minor"/>
      </rPr>
      <t xml:space="preserve"> and DCA enhanced overall cell death in vitro. </t>
    </r>
    <r>
      <rPr>
        <b/>
        <sz val="11"/>
        <color theme="1"/>
        <rFont val="Calibri"/>
        <family val="2"/>
        <scheme val="minor"/>
      </rPr>
      <t>3)</t>
    </r>
    <r>
      <rPr>
        <sz val="11"/>
        <color theme="1"/>
        <rFont val="Calibri"/>
        <family val="2"/>
        <scheme val="minor"/>
      </rPr>
      <t xml:space="preserve"> Although daily treatment with 200 mg/kg DCA alone did not reduce tumor volumes in a xenograft model, combination treatment with </t>
    </r>
    <r>
      <rPr>
        <b/>
        <sz val="11"/>
        <color theme="1"/>
        <rFont val="Calibri"/>
        <family val="2"/>
        <scheme val="minor"/>
      </rPr>
      <t>cisplatin</t>
    </r>
    <r>
      <rPr>
        <sz val="11"/>
        <color theme="1"/>
        <rFont val="Calibri"/>
        <family val="2"/>
        <scheme val="minor"/>
      </rPr>
      <t xml:space="preserve"> resulted in dramatically reduced tumor volumes as compared with either DCA or cisplatin alone. </t>
    </r>
    <r>
      <rPr>
        <b/>
        <sz val="11"/>
        <color theme="1"/>
        <rFont val="Calibri"/>
        <family val="2"/>
        <scheme val="minor"/>
      </rPr>
      <t>4) PDK4</t>
    </r>
    <r>
      <rPr>
        <sz val="11"/>
        <color theme="1"/>
        <rFont val="Calibri"/>
        <family val="2"/>
        <scheme val="minor"/>
      </rPr>
      <t xml:space="preserve"> is the most up-regulated kinase in </t>
    </r>
    <r>
      <rPr>
        <b/>
        <sz val="11"/>
        <color theme="1"/>
        <rFont val="Calibri"/>
        <family val="2"/>
        <scheme val="minor"/>
      </rPr>
      <t>cisplatin</t>
    </r>
    <r>
      <rPr>
        <sz val="11"/>
        <color theme="1"/>
        <rFont val="Calibri"/>
        <family val="2"/>
        <scheme val="minor"/>
      </rPr>
      <t xml:space="preserve">-resistant cells. </t>
    </r>
    <r>
      <rPr>
        <b/>
        <sz val="11"/>
        <color theme="1"/>
        <rFont val="Calibri"/>
        <family val="2"/>
        <scheme val="minor"/>
      </rPr>
      <t>5)</t>
    </r>
    <r>
      <rPr>
        <sz val="11"/>
        <color theme="1"/>
        <rFont val="Calibri"/>
        <family val="2"/>
        <scheme val="minor"/>
      </rPr>
      <t xml:space="preserve">  </t>
    </r>
    <r>
      <rPr>
        <b/>
        <sz val="11"/>
        <color theme="1"/>
        <rFont val="Calibri"/>
        <family val="2"/>
        <scheme val="minor"/>
      </rPr>
      <t>PDK4</t>
    </r>
    <r>
      <rPr>
        <sz val="11"/>
        <color theme="1"/>
        <rFont val="Calibri"/>
        <family val="2"/>
        <scheme val="minor"/>
      </rPr>
      <t xml:space="preserve"> upregulation to be directly linked with the acquisition of chemoresistance, driving enhanced tumor cell growth in vitro and in vivo. </t>
    </r>
    <r>
      <rPr>
        <b/>
        <sz val="11"/>
        <color theme="1"/>
        <rFont val="Calibri"/>
        <family val="2"/>
        <scheme val="minor"/>
      </rPr>
      <t xml:space="preserve">6) PDK4 </t>
    </r>
    <r>
      <rPr>
        <sz val="11"/>
        <color theme="1"/>
        <rFont val="Calibri"/>
        <family val="2"/>
        <scheme val="minor"/>
      </rPr>
      <t xml:space="preserve">upregulation was detectable in patients with </t>
    </r>
    <r>
      <rPr>
        <b/>
        <sz val="11"/>
        <color theme="1"/>
        <rFont val="Calibri"/>
        <family val="2"/>
        <scheme val="minor"/>
      </rPr>
      <t>lung</t>
    </r>
    <r>
      <rPr>
        <sz val="11"/>
        <color theme="1"/>
        <rFont val="Calibri"/>
        <family val="2"/>
        <scheme val="minor"/>
      </rPr>
      <t xml:space="preserve"> adenocarcinoma and that it was correlated with a poorer prognosis for these patients. </t>
    </r>
    <r>
      <rPr>
        <b/>
        <sz val="11"/>
        <color theme="1"/>
        <rFont val="Calibri"/>
        <family val="2"/>
        <scheme val="minor"/>
      </rPr>
      <t>7) PDK4</t>
    </r>
    <r>
      <rPr>
        <sz val="11"/>
        <color theme="1"/>
        <rFont val="Calibri"/>
        <family val="2"/>
        <scheme val="minor"/>
      </rPr>
      <t xml:space="preserve"> was able to promote </t>
    </r>
    <r>
      <rPr>
        <b/>
        <sz val="11"/>
        <color theme="1"/>
        <rFont val="Calibri"/>
        <family val="2"/>
        <scheme val="minor"/>
      </rPr>
      <t xml:space="preserve">lung </t>
    </r>
    <r>
      <rPr>
        <sz val="11"/>
        <color theme="1"/>
        <rFont val="Calibri"/>
        <family val="2"/>
        <scheme val="minor"/>
      </rPr>
      <t xml:space="preserve">adenocarcinoma cell growth and </t>
    </r>
    <r>
      <rPr>
        <b/>
        <sz val="11"/>
        <color theme="1"/>
        <rFont val="Calibri"/>
        <family val="2"/>
        <scheme val="minor"/>
      </rPr>
      <t>cisplatin</t>
    </r>
    <r>
      <rPr>
        <sz val="11"/>
        <color theme="1"/>
        <rFont val="Calibri"/>
        <family val="2"/>
        <scheme val="minor"/>
      </rPr>
      <t xml:space="preserve"> resistance at least in part via regulating endothelial PAS domain-containing protein 1 (EPAS1) expression. </t>
    </r>
  </si>
  <si>
    <r>
      <t xml:space="preserve">1) In </t>
    </r>
    <r>
      <rPr>
        <b/>
        <sz val="11"/>
        <color theme="1"/>
        <rFont val="Calibri"/>
        <family val="2"/>
        <scheme val="minor"/>
      </rPr>
      <t>cisplatin</t>
    </r>
    <r>
      <rPr>
        <sz val="11"/>
        <color theme="1"/>
        <rFont val="Calibri"/>
        <family val="2"/>
        <scheme val="minor"/>
      </rPr>
      <t xml:space="preserve"> resistant </t>
    </r>
    <r>
      <rPr>
        <b/>
        <sz val="11"/>
        <color theme="1"/>
        <rFont val="Calibri"/>
        <family val="2"/>
        <scheme val="minor"/>
      </rPr>
      <t xml:space="preserve">EOC </t>
    </r>
    <r>
      <rPr>
        <sz val="11"/>
        <color theme="1"/>
        <rFont val="Calibri"/>
        <family val="2"/>
        <scheme val="minor"/>
      </rPr>
      <t xml:space="preserve">cells, </t>
    </r>
    <r>
      <rPr>
        <b/>
        <sz val="11"/>
        <color theme="1"/>
        <rFont val="Calibri"/>
        <family val="2"/>
        <scheme val="minor"/>
      </rPr>
      <t>Akt</t>
    </r>
    <r>
      <rPr>
        <sz val="11"/>
        <color theme="1"/>
        <rFont val="Calibri"/>
        <family val="2"/>
        <scheme val="minor"/>
      </rPr>
      <t xml:space="preserve"> and </t>
    </r>
    <r>
      <rPr>
        <b/>
        <sz val="11"/>
        <color theme="1"/>
        <rFont val="Calibri"/>
        <family val="2"/>
        <scheme val="minor"/>
      </rPr>
      <t>PDK1</t>
    </r>
    <r>
      <rPr>
        <sz val="11"/>
        <color theme="1"/>
        <rFont val="Calibri"/>
        <family val="2"/>
        <scheme val="minor"/>
      </rPr>
      <t xml:space="preserve"> were highly expressed. </t>
    </r>
    <r>
      <rPr>
        <b/>
        <sz val="11"/>
        <color theme="1"/>
        <rFont val="Calibri"/>
        <family val="2"/>
        <scheme val="minor"/>
      </rPr>
      <t>2) COL11A1-PDK1</t>
    </r>
    <r>
      <rPr>
        <sz val="11"/>
        <color theme="1"/>
        <rFont val="Calibri"/>
        <family val="2"/>
        <scheme val="minor"/>
      </rPr>
      <t xml:space="preserve"> binding protects </t>
    </r>
    <r>
      <rPr>
        <b/>
        <sz val="11"/>
        <color theme="1"/>
        <rFont val="Calibri"/>
        <family val="2"/>
        <scheme val="minor"/>
      </rPr>
      <t>PDK1</t>
    </r>
    <r>
      <rPr>
        <sz val="11"/>
        <color theme="1"/>
        <rFont val="Calibri"/>
        <family val="2"/>
        <scheme val="minor"/>
      </rPr>
      <t xml:space="preserve"> from degradation, which is normally induced by paclitaxel and cisplatin, thus conferring resistance to </t>
    </r>
    <r>
      <rPr>
        <b/>
        <sz val="11"/>
        <color theme="1"/>
        <rFont val="Calibri"/>
        <family val="2"/>
        <scheme val="minor"/>
      </rPr>
      <t>cisplatin</t>
    </r>
    <r>
      <rPr>
        <sz val="11"/>
        <color theme="1"/>
        <rFont val="Calibri"/>
        <family val="2"/>
        <scheme val="minor"/>
      </rPr>
      <t>. </t>
    </r>
  </si>
  <si>
    <r>
      <rPr>
        <b/>
        <sz val="11"/>
        <color theme="1"/>
        <rFont val="Calibri"/>
        <family val="2"/>
        <scheme val="minor"/>
      </rPr>
      <t xml:space="preserve">1) </t>
    </r>
    <r>
      <rPr>
        <sz val="11"/>
        <color theme="1"/>
        <rFont val="Calibri"/>
        <family val="2"/>
        <scheme val="minor"/>
      </rPr>
      <t xml:space="preserve">overexpression of </t>
    </r>
    <r>
      <rPr>
        <b/>
        <sz val="11"/>
        <color theme="1"/>
        <rFont val="Calibri"/>
        <family val="2"/>
        <scheme val="minor"/>
      </rPr>
      <t>PEA-15</t>
    </r>
    <r>
      <rPr>
        <sz val="11"/>
        <color theme="1"/>
        <rFont val="Calibri"/>
        <family val="2"/>
        <scheme val="minor"/>
      </rPr>
      <t xml:space="preserve">AA (a non-phosphorylatable variant) sensitised </t>
    </r>
    <r>
      <rPr>
        <b/>
        <sz val="11"/>
        <color theme="1"/>
        <rFont val="Calibri"/>
        <family val="2"/>
        <scheme val="minor"/>
      </rPr>
      <t>OC</t>
    </r>
    <r>
      <rPr>
        <sz val="11"/>
        <color theme="1"/>
        <rFont val="Calibri"/>
        <family val="2"/>
        <scheme val="minor"/>
      </rPr>
      <t xml:space="preserve"> SKOV-3 cells to cisplatin. </t>
    </r>
    <r>
      <rPr>
        <b/>
        <sz val="11"/>
        <color theme="1"/>
        <rFont val="Calibri"/>
        <family val="2"/>
        <scheme val="minor"/>
      </rPr>
      <t>2)</t>
    </r>
    <r>
      <rPr>
        <sz val="11"/>
        <color theme="1"/>
        <rFont val="Calibri"/>
        <family val="2"/>
        <scheme val="minor"/>
      </rPr>
      <t xml:space="preserve"> </t>
    </r>
    <r>
      <rPr>
        <b/>
        <sz val="11"/>
        <color theme="1"/>
        <rFont val="Calibri"/>
        <family val="2"/>
        <scheme val="minor"/>
      </rPr>
      <t>PEA‑15</t>
    </r>
    <r>
      <rPr>
        <sz val="11"/>
        <color theme="1"/>
        <rFont val="Calibri"/>
        <family val="2"/>
        <scheme val="minor"/>
      </rPr>
      <t xml:space="preserve"> was overexpressed in </t>
    </r>
    <r>
      <rPr>
        <b/>
        <sz val="11"/>
        <color theme="1"/>
        <rFont val="Calibri"/>
        <family val="2"/>
        <scheme val="minor"/>
      </rPr>
      <t>gastric</t>
    </r>
    <r>
      <rPr>
        <sz val="11"/>
        <color theme="1"/>
        <rFont val="Calibri"/>
        <family val="2"/>
        <scheme val="minor"/>
      </rPr>
      <t xml:space="preserve"> cancer tissues and associated with tumor staging, differentiation, pathological types and the prognosis of patients. </t>
    </r>
    <r>
      <rPr>
        <b/>
        <sz val="11"/>
        <color theme="1"/>
        <rFont val="Calibri"/>
        <family val="2"/>
        <scheme val="minor"/>
      </rPr>
      <t>3) PEA‑15</t>
    </r>
    <r>
      <rPr>
        <sz val="11"/>
        <color theme="1"/>
        <rFont val="Calibri"/>
        <family val="2"/>
        <scheme val="minor"/>
      </rPr>
      <t xml:space="preserve"> depletion inhibited cell proliferation by reducing </t>
    </r>
    <r>
      <rPr>
        <b/>
        <sz val="11"/>
        <color theme="1"/>
        <rFont val="Calibri"/>
        <family val="2"/>
        <scheme val="minor"/>
      </rPr>
      <t>cyclin D1</t>
    </r>
    <r>
      <rPr>
        <sz val="11"/>
        <color theme="1"/>
        <rFont val="Calibri"/>
        <family val="2"/>
        <scheme val="minor"/>
      </rPr>
      <t xml:space="preserve"> expression through the extracellular signal‑regulated kinase (</t>
    </r>
    <r>
      <rPr>
        <b/>
        <sz val="11"/>
        <color theme="1"/>
        <rFont val="Calibri"/>
        <family val="2"/>
        <scheme val="minor"/>
      </rPr>
      <t>ERK</t>
    </r>
    <r>
      <rPr>
        <sz val="11"/>
        <color theme="1"/>
        <rFont val="Calibri"/>
        <family val="2"/>
        <scheme val="minor"/>
      </rPr>
      <t xml:space="preserve">) pathway, resulting in cell cycle arrest at the G1 phase, and induced apoptosis by activating </t>
    </r>
    <r>
      <rPr>
        <b/>
        <sz val="11"/>
        <color theme="1"/>
        <rFont val="Calibri"/>
        <family val="2"/>
        <scheme val="minor"/>
      </rPr>
      <t>caspase‑8</t>
    </r>
    <r>
      <rPr>
        <sz val="11"/>
        <color theme="1"/>
        <rFont val="Calibri"/>
        <family val="2"/>
        <scheme val="minor"/>
      </rPr>
      <t xml:space="preserve">. </t>
    </r>
    <r>
      <rPr>
        <b/>
        <sz val="11"/>
        <color theme="1"/>
        <rFont val="Calibri"/>
        <family val="2"/>
        <scheme val="minor"/>
      </rPr>
      <t>4)</t>
    </r>
    <r>
      <rPr>
        <sz val="11"/>
        <color theme="1"/>
        <rFont val="Calibri"/>
        <family val="2"/>
        <scheme val="minor"/>
      </rPr>
      <t xml:space="preserve"> PEA‑15 depletion also enhanced the inhibitory effect of </t>
    </r>
    <r>
      <rPr>
        <b/>
        <sz val="11"/>
        <color theme="1"/>
        <rFont val="Calibri"/>
        <family val="2"/>
        <scheme val="minor"/>
      </rPr>
      <t>CDDP</t>
    </r>
    <r>
      <rPr>
        <sz val="11"/>
        <color theme="1"/>
        <rFont val="Calibri"/>
        <family val="2"/>
        <scheme val="minor"/>
      </rPr>
      <t xml:space="preserve"> that caused cell cycle arrest at the S phase </t>
    </r>
    <r>
      <rPr>
        <b/>
        <sz val="11"/>
        <color theme="1"/>
        <rFont val="Calibri"/>
        <family val="2"/>
        <scheme val="minor"/>
      </rPr>
      <t>5)</t>
    </r>
    <r>
      <rPr>
        <sz val="11"/>
        <color theme="1"/>
        <rFont val="Calibri"/>
        <family val="2"/>
        <scheme val="minor"/>
      </rPr>
      <t xml:space="preserve"> and also enhanced the pro‑apoptotic activity of CDDP in vitro and in animal models of tumorigenesis and therapeutic effects. </t>
    </r>
    <r>
      <rPr>
        <b/>
        <sz val="11"/>
        <color theme="1"/>
        <rFont val="Calibri"/>
        <family val="2"/>
        <scheme val="minor"/>
      </rPr>
      <t>6) PEA‑15</t>
    </r>
    <r>
      <rPr>
        <sz val="11"/>
        <color theme="1"/>
        <rFont val="Calibri"/>
        <family val="2"/>
        <scheme val="minor"/>
      </rPr>
      <t xml:space="preserve"> and its phosphorylated forms were overexpressed in CDDP‑resistant cells, which had higher levels of p‑AKT. Specific inhibition of AKT by MK2206 reduced the expression of p‑PEA‑15 at the Ser116 residue, resulting in sequential downregulation of p‑ERK1/2, cyclin D1 and caspase‑8 activation. </t>
    </r>
    <r>
      <rPr>
        <b/>
        <sz val="11"/>
        <color theme="1"/>
        <rFont val="Calibri"/>
        <family val="2"/>
        <scheme val="minor"/>
      </rPr>
      <t>7)</t>
    </r>
    <r>
      <rPr>
        <sz val="11"/>
        <color theme="1"/>
        <rFont val="Calibri"/>
        <family val="2"/>
        <scheme val="minor"/>
      </rPr>
      <t xml:space="preserve"> expression of PEA-15 resulted in significant protection from cell death induced by cytotoxic drugs (5-FU, </t>
    </r>
    <r>
      <rPr>
        <b/>
        <sz val="11"/>
        <color theme="1"/>
        <rFont val="Calibri"/>
        <family val="2"/>
        <scheme val="minor"/>
      </rPr>
      <t>cisplatin</t>
    </r>
    <r>
      <rPr>
        <sz val="11"/>
        <color theme="1"/>
        <rFont val="Calibri"/>
        <family val="2"/>
        <scheme val="minor"/>
      </rPr>
      <t xml:space="preserve">) in </t>
    </r>
    <r>
      <rPr>
        <b/>
        <sz val="11"/>
        <color theme="1"/>
        <rFont val="Calibri"/>
        <family val="2"/>
        <scheme val="minor"/>
      </rPr>
      <t>colorectal</t>
    </r>
    <r>
      <rPr>
        <sz val="11"/>
        <color theme="1"/>
        <rFont val="Calibri"/>
        <family val="2"/>
        <scheme val="minor"/>
      </rPr>
      <t xml:space="preserve"> carcinomas. </t>
    </r>
  </si>
  <si>
    <r>
      <rPr>
        <b/>
        <sz val="11"/>
        <color theme="1"/>
        <rFont val="Calibri"/>
        <family val="2"/>
        <scheme val="minor"/>
      </rPr>
      <t xml:space="preserve">1) </t>
    </r>
    <r>
      <rPr>
        <sz val="11"/>
        <color theme="1"/>
        <rFont val="Calibri"/>
        <family val="2"/>
        <scheme val="minor"/>
      </rPr>
      <t xml:space="preserve">Compared with parental cells, SKOV3/DDP cells had dramatically decreased </t>
    </r>
    <r>
      <rPr>
        <b/>
        <sz val="11"/>
        <color theme="1"/>
        <rFont val="Calibri"/>
        <family val="2"/>
        <scheme val="minor"/>
      </rPr>
      <t>PER2</t>
    </r>
    <r>
      <rPr>
        <sz val="11"/>
        <color theme="1"/>
        <rFont val="Calibri"/>
        <family val="2"/>
        <scheme val="minor"/>
      </rPr>
      <t xml:space="preserve"> expression, possibly due to hypermethylation in the PER2 promoter. </t>
    </r>
    <r>
      <rPr>
        <b/>
        <sz val="11"/>
        <color theme="1"/>
        <rFont val="Calibri"/>
        <family val="2"/>
        <scheme val="minor"/>
      </rPr>
      <t>2)</t>
    </r>
    <r>
      <rPr>
        <sz val="11"/>
        <color theme="1"/>
        <rFont val="Calibri"/>
        <family val="2"/>
        <scheme val="minor"/>
      </rPr>
      <t xml:space="preserve"> PER2 overexpression significantly inhibited proliferation while promoting </t>
    </r>
    <r>
      <rPr>
        <b/>
        <sz val="11"/>
        <color theme="1"/>
        <rFont val="Calibri"/>
        <family val="2"/>
        <scheme val="minor"/>
      </rPr>
      <t>cisplatin</t>
    </r>
    <r>
      <rPr>
        <sz val="11"/>
        <color theme="1"/>
        <rFont val="Calibri"/>
        <family val="2"/>
        <scheme val="minor"/>
      </rPr>
      <t xml:space="preserve">-induced apoptosis in SKOV3 and SKOV3/DDP cells. </t>
    </r>
    <r>
      <rPr>
        <b/>
        <sz val="11"/>
        <color theme="1"/>
        <rFont val="Calibri"/>
        <family val="2"/>
        <scheme val="minor"/>
      </rPr>
      <t>3)</t>
    </r>
    <r>
      <rPr>
        <sz val="11"/>
        <color theme="1"/>
        <rFont val="Calibri"/>
        <family val="2"/>
        <scheme val="minor"/>
      </rPr>
      <t xml:space="preserve"> PER2-overexpressing SKOV3/DPP cells yielded significantly reduced tumor mass in cisplatin-treated mice compared with control cells. </t>
    </r>
    <r>
      <rPr>
        <b/>
        <sz val="11"/>
        <color theme="1"/>
        <rFont val="Calibri"/>
        <family val="2"/>
        <scheme val="minor"/>
      </rPr>
      <t>4)</t>
    </r>
    <r>
      <rPr>
        <sz val="11"/>
        <color theme="1"/>
        <rFont val="Calibri"/>
        <family val="2"/>
        <scheme val="minor"/>
      </rPr>
      <t xml:space="preserve"> PER2 overexpression remarkably reduced the protein amounts of </t>
    </r>
    <r>
      <rPr>
        <b/>
        <sz val="11"/>
        <color theme="1"/>
        <rFont val="Calibri"/>
        <family val="2"/>
        <scheme val="minor"/>
      </rPr>
      <t>PI3K, AKT, and MDR1</t>
    </r>
    <r>
      <rPr>
        <sz val="11"/>
        <color theme="1"/>
        <rFont val="Calibri"/>
        <family val="2"/>
        <scheme val="minor"/>
      </rPr>
      <t xml:space="preserve"> while increasing those of </t>
    </r>
    <r>
      <rPr>
        <b/>
        <sz val="11"/>
        <color theme="1"/>
        <rFont val="Calibri"/>
        <family val="2"/>
        <scheme val="minor"/>
      </rPr>
      <t>caspase 3</t>
    </r>
    <r>
      <rPr>
        <sz val="11"/>
        <color theme="1"/>
        <rFont val="Calibri"/>
        <family val="2"/>
        <scheme val="minor"/>
      </rPr>
      <t xml:space="preserve"> and </t>
    </r>
    <r>
      <rPr>
        <b/>
        <sz val="11"/>
        <color theme="1"/>
        <rFont val="Calibri"/>
        <family val="2"/>
        <scheme val="minor"/>
      </rPr>
      <t>E-cadherin</t>
    </r>
    <r>
      <rPr>
        <sz val="11"/>
        <color theme="1"/>
        <rFont val="Calibri"/>
        <family val="2"/>
        <scheme val="minor"/>
      </rPr>
      <t xml:space="preserve"> in tumor tissues. </t>
    </r>
    <r>
      <rPr>
        <b/>
        <sz val="11"/>
        <color theme="1"/>
        <rFont val="Calibri"/>
        <family val="2"/>
        <scheme val="minor"/>
      </rPr>
      <t xml:space="preserve">5) </t>
    </r>
    <r>
      <rPr>
        <sz val="11"/>
        <color theme="1"/>
        <rFont val="Calibri"/>
        <family val="2"/>
        <scheme val="minor"/>
      </rPr>
      <t xml:space="preserve">Knockdown of PER2 exhibited opposite effects. PER2 overexpression also reduced the serum levels of </t>
    </r>
    <r>
      <rPr>
        <b/>
        <sz val="11"/>
        <color theme="1"/>
        <rFont val="Calibri"/>
        <family val="2"/>
        <scheme val="minor"/>
      </rPr>
      <t>TNF-α</t>
    </r>
    <r>
      <rPr>
        <sz val="11"/>
        <color theme="1"/>
        <rFont val="Calibri"/>
        <family val="2"/>
        <scheme val="minor"/>
      </rPr>
      <t xml:space="preserve"> and </t>
    </r>
    <r>
      <rPr>
        <b/>
        <sz val="11"/>
        <color theme="1"/>
        <rFont val="Calibri"/>
        <family val="2"/>
        <scheme val="minor"/>
      </rPr>
      <t>IL-6</t>
    </r>
    <r>
      <rPr>
        <sz val="11"/>
        <color theme="1"/>
        <rFont val="Calibri"/>
        <family val="2"/>
        <scheme val="minor"/>
      </rPr>
      <t xml:space="preserve"> in tumor-bearing mice before the initiation of cisplatin treatment.</t>
    </r>
  </si>
  <si>
    <r>
      <rPr>
        <b/>
        <sz val="11"/>
        <color theme="1"/>
        <rFont val="Calibri"/>
        <family val="2"/>
        <scheme val="minor"/>
      </rPr>
      <t>1) cisplatin</t>
    </r>
    <r>
      <rPr>
        <sz val="11"/>
        <color theme="1"/>
        <rFont val="Calibri"/>
        <family val="2"/>
        <scheme val="minor"/>
      </rPr>
      <t xml:space="preserve">-resistant cancer cells (C13∗ and A549DDP), had higher levels of </t>
    </r>
    <r>
      <rPr>
        <b/>
        <sz val="11"/>
        <color theme="1"/>
        <rFont val="Calibri"/>
        <family val="2"/>
        <scheme val="minor"/>
      </rPr>
      <t>6PGD</t>
    </r>
    <r>
      <rPr>
        <sz val="11"/>
        <color theme="1"/>
        <rFont val="Calibri"/>
        <family val="2"/>
        <scheme val="minor"/>
      </rPr>
      <t xml:space="preserve"> compared to their cisplatin-sensitive counterparts (OV2008 and A549). </t>
    </r>
    <r>
      <rPr>
        <b/>
        <sz val="11"/>
        <color theme="1"/>
        <rFont val="Calibri"/>
        <family val="2"/>
        <scheme val="minor"/>
      </rPr>
      <t>2) ovarian</t>
    </r>
    <r>
      <rPr>
        <sz val="11"/>
        <color theme="1"/>
        <rFont val="Calibri"/>
        <family val="2"/>
        <scheme val="minor"/>
      </rPr>
      <t xml:space="preserve"> and lung cancer patients with higher 6PGD levels have worse survival outcomes relative to patients with lower 6PGD expression. </t>
    </r>
    <r>
      <rPr>
        <b/>
        <sz val="11"/>
        <color theme="1"/>
        <rFont val="Calibri"/>
        <family val="2"/>
        <scheme val="minor"/>
      </rPr>
      <t xml:space="preserve">3) </t>
    </r>
    <r>
      <rPr>
        <sz val="11"/>
        <color theme="1"/>
        <rFont val="Calibri"/>
        <family val="2"/>
        <scheme val="minor"/>
      </rPr>
      <t xml:space="preserve">the upregulation of 6PGD in cisplatin-resistant cells was due to the decreased expression of miR-206 and miR-613, which we found to target this enzyme. </t>
    </r>
    <r>
      <rPr>
        <b/>
        <sz val="11"/>
        <color theme="1"/>
        <rFont val="Calibri"/>
        <family val="2"/>
        <scheme val="minor"/>
      </rPr>
      <t>4)</t>
    </r>
    <r>
      <rPr>
        <sz val="11"/>
        <color theme="1"/>
        <rFont val="Calibri"/>
        <family val="2"/>
        <scheme val="minor"/>
      </rPr>
      <t xml:space="preserve"> suppressing 6PGD using shRNA, inhibitor or miR-206/miR-613, either as single agents or in combination, could sensitize cisplatin-resistant cancer cells to cisplatin treatment and thereby improving the therapeutic efficacy of cisplatin. </t>
    </r>
  </si>
  <si>
    <r>
      <rPr>
        <b/>
        <sz val="11"/>
        <color theme="1"/>
        <rFont val="Calibri"/>
        <family val="2"/>
        <scheme val="minor"/>
      </rPr>
      <t>1)</t>
    </r>
    <r>
      <rPr>
        <sz val="11"/>
        <color theme="1"/>
        <rFont val="Calibri"/>
        <family val="2"/>
        <scheme val="minor"/>
      </rPr>
      <t xml:space="preserve"> </t>
    </r>
    <r>
      <rPr>
        <b/>
        <sz val="11"/>
        <color theme="1"/>
        <rFont val="Calibri"/>
        <family val="2"/>
        <scheme val="minor"/>
      </rPr>
      <t>PGK1</t>
    </r>
    <r>
      <rPr>
        <sz val="11"/>
        <color theme="1"/>
        <rFont val="Calibri"/>
        <family val="2"/>
        <scheme val="minor"/>
      </rPr>
      <t xml:space="preserve"> expression is elevated in tumor tissues of </t>
    </r>
    <r>
      <rPr>
        <b/>
        <sz val="11"/>
        <color theme="1"/>
        <rFont val="Calibri"/>
        <family val="2"/>
        <scheme val="minor"/>
      </rPr>
      <t xml:space="preserve">endometrial </t>
    </r>
    <r>
      <rPr>
        <sz val="11"/>
        <color theme="1"/>
        <rFont val="Calibri"/>
        <family val="2"/>
        <scheme val="minor"/>
      </rPr>
      <t xml:space="preserve">cancer, and high </t>
    </r>
    <r>
      <rPr>
        <b/>
        <sz val="11"/>
        <color theme="1"/>
        <rFont val="Calibri"/>
        <family val="2"/>
        <scheme val="minor"/>
      </rPr>
      <t>PGK1</t>
    </r>
    <r>
      <rPr>
        <sz val="11"/>
        <color theme="1"/>
        <rFont val="Calibri"/>
        <family val="2"/>
        <scheme val="minor"/>
      </rPr>
      <t xml:space="preserve"> levels are associated with clinical stages and metastasis. </t>
    </r>
    <r>
      <rPr>
        <b/>
        <sz val="11"/>
        <color theme="1"/>
        <rFont val="Calibri"/>
        <family val="2"/>
        <scheme val="minor"/>
      </rPr>
      <t xml:space="preserve">2) </t>
    </r>
    <r>
      <rPr>
        <sz val="11"/>
        <color theme="1"/>
        <rFont val="Calibri"/>
        <family val="2"/>
        <scheme val="minor"/>
      </rPr>
      <t xml:space="preserve">Knockdown of </t>
    </r>
    <r>
      <rPr>
        <b/>
        <sz val="11"/>
        <color theme="1"/>
        <rFont val="Calibri"/>
        <family val="2"/>
        <scheme val="minor"/>
      </rPr>
      <t>PGK1</t>
    </r>
    <r>
      <rPr>
        <sz val="11"/>
        <color theme="1"/>
        <rFont val="Calibri"/>
        <family val="2"/>
        <scheme val="minor"/>
      </rPr>
      <t xml:space="preserve"> inhibits proliferation of endometrial cancer cells, and enhances the inhibitory effect of </t>
    </r>
    <r>
      <rPr>
        <b/>
        <sz val="11"/>
        <color theme="1"/>
        <rFont val="Calibri"/>
        <family val="2"/>
        <scheme val="minor"/>
      </rPr>
      <t>cisplatin</t>
    </r>
    <r>
      <rPr>
        <sz val="11"/>
        <color theme="1"/>
        <rFont val="Calibri"/>
        <family val="2"/>
        <scheme val="minor"/>
      </rPr>
      <t xml:space="preserve"> on cell viability. </t>
    </r>
    <r>
      <rPr>
        <b/>
        <sz val="11"/>
        <color theme="1"/>
        <rFont val="Calibri"/>
        <family val="2"/>
        <scheme val="minor"/>
      </rPr>
      <t>3)</t>
    </r>
    <r>
      <rPr>
        <sz val="11"/>
        <color theme="1"/>
        <rFont val="Calibri"/>
        <family val="2"/>
        <scheme val="minor"/>
      </rPr>
      <t xml:space="preserve"> knockdown of </t>
    </r>
    <r>
      <rPr>
        <b/>
        <sz val="11"/>
        <color theme="1"/>
        <rFont val="Calibri"/>
        <family val="2"/>
        <scheme val="minor"/>
      </rPr>
      <t>PGK1</t>
    </r>
    <r>
      <rPr>
        <sz val="11"/>
        <color theme="1"/>
        <rFont val="Calibri"/>
        <family val="2"/>
        <scheme val="minor"/>
      </rPr>
      <t xml:space="preserve"> down-regulates the expression of </t>
    </r>
    <r>
      <rPr>
        <b/>
        <sz val="11"/>
        <color theme="1"/>
        <rFont val="Calibri"/>
        <family val="2"/>
        <scheme val="minor"/>
      </rPr>
      <t>DNA repair-related proteins, methylation-related enzymes</t>
    </r>
    <r>
      <rPr>
        <sz val="11"/>
        <color theme="1"/>
        <rFont val="Calibri"/>
        <family val="2"/>
        <scheme val="minor"/>
      </rPr>
      <t xml:space="preserve">, and total cellular methylation level. </t>
    </r>
    <r>
      <rPr>
        <b/>
        <sz val="11"/>
        <color theme="1"/>
        <rFont val="Calibri"/>
        <family val="2"/>
        <scheme val="minor"/>
      </rPr>
      <t>4) PGK1</t>
    </r>
    <r>
      <rPr>
        <sz val="11"/>
        <color theme="1"/>
        <rFont val="Calibri"/>
        <family val="2"/>
        <scheme val="minor"/>
      </rPr>
      <t xml:space="preserve"> interact directly with </t>
    </r>
    <r>
      <rPr>
        <b/>
        <sz val="11"/>
        <color theme="1"/>
        <rFont val="Calibri"/>
        <family val="2"/>
        <scheme val="minor"/>
      </rPr>
      <t>HSP90</t>
    </r>
    <r>
      <rPr>
        <sz val="11"/>
        <color theme="1"/>
        <rFont val="Calibri"/>
        <family val="2"/>
        <scheme val="minor"/>
      </rPr>
      <t xml:space="preserve"> and exhibit pro-tumor effects by modulating the ATPase activity of </t>
    </r>
    <r>
      <rPr>
        <b/>
        <sz val="11"/>
        <color theme="1"/>
        <rFont val="Calibri"/>
        <family val="2"/>
        <scheme val="minor"/>
      </rPr>
      <t>HSP90</t>
    </r>
    <r>
      <rPr>
        <sz val="11"/>
        <color theme="1"/>
        <rFont val="Calibri"/>
        <family val="2"/>
        <scheme val="minor"/>
      </rPr>
      <t xml:space="preserve">. </t>
    </r>
    <r>
      <rPr>
        <b/>
        <sz val="11"/>
        <color theme="1"/>
        <rFont val="Calibri"/>
        <family val="2"/>
        <scheme val="minor"/>
      </rPr>
      <t>5)</t>
    </r>
    <r>
      <rPr>
        <sz val="11"/>
        <color theme="1"/>
        <rFont val="Calibri"/>
        <family val="2"/>
        <scheme val="minor"/>
      </rPr>
      <t xml:space="preserve"> siRNA knockdown of </t>
    </r>
    <r>
      <rPr>
        <b/>
        <sz val="11"/>
        <color theme="1"/>
        <rFont val="Calibri"/>
        <family val="2"/>
        <scheme val="minor"/>
      </rPr>
      <t>PGK1</t>
    </r>
    <r>
      <rPr>
        <sz val="11"/>
        <color theme="1"/>
        <rFont val="Calibri"/>
        <family val="2"/>
        <scheme val="minor"/>
      </rPr>
      <t xml:space="preserve"> significantly reduced cell growth and sensitized chemoresistant </t>
    </r>
    <r>
      <rPr>
        <b/>
        <sz val="11"/>
        <color theme="1"/>
        <rFont val="Calibri"/>
        <family val="2"/>
        <scheme val="minor"/>
      </rPr>
      <t>ovarian</t>
    </r>
    <r>
      <rPr>
        <sz val="11"/>
        <color theme="1"/>
        <rFont val="Calibri"/>
        <family val="2"/>
        <scheme val="minor"/>
      </rPr>
      <t xml:space="preserve"> cells to </t>
    </r>
    <r>
      <rPr>
        <b/>
        <sz val="11"/>
        <color theme="1"/>
        <rFont val="Calibri"/>
        <family val="2"/>
        <scheme val="minor"/>
      </rPr>
      <t>cisplatin</t>
    </r>
    <r>
      <rPr>
        <sz val="11"/>
        <color theme="1"/>
        <rFont val="Calibri"/>
        <family val="2"/>
        <scheme val="minor"/>
      </rPr>
      <t xml:space="preserve">. </t>
    </r>
    <r>
      <rPr>
        <b/>
        <sz val="11"/>
        <color theme="1"/>
        <rFont val="Calibri"/>
        <family val="2"/>
        <scheme val="minor"/>
      </rPr>
      <t>6)</t>
    </r>
    <r>
      <rPr>
        <sz val="11"/>
        <color theme="1"/>
        <rFont val="Calibri"/>
        <family val="2"/>
        <scheme val="minor"/>
      </rPr>
      <t xml:space="preserve"> The </t>
    </r>
    <r>
      <rPr>
        <b/>
        <sz val="11"/>
        <color theme="1"/>
        <rFont val="Calibri"/>
        <family val="2"/>
        <scheme val="minor"/>
      </rPr>
      <t>osteosarcoma</t>
    </r>
    <r>
      <rPr>
        <sz val="11"/>
        <color theme="1"/>
        <rFont val="Calibri"/>
        <family val="2"/>
        <scheme val="minor"/>
      </rPr>
      <t xml:space="preserve">-sensitive tissue was analyzed using 2-DE and MS: </t>
    </r>
    <r>
      <rPr>
        <b/>
        <sz val="11"/>
        <color theme="1"/>
        <rFont val="Calibri"/>
        <family val="2"/>
        <scheme val="minor"/>
      </rPr>
      <t>cisplatin</t>
    </r>
    <r>
      <rPr>
        <sz val="11"/>
        <color theme="1"/>
        <rFont val="Calibri"/>
        <family val="2"/>
        <scheme val="minor"/>
      </rPr>
      <t xml:space="preserve">-resistant and </t>
    </r>
    <r>
      <rPr>
        <b/>
        <sz val="11"/>
        <color theme="1"/>
        <rFont val="Calibri"/>
        <family val="2"/>
        <scheme val="minor"/>
      </rPr>
      <t>cisplatin</t>
    </r>
    <r>
      <rPr>
        <sz val="11"/>
        <color theme="1"/>
        <rFont val="Calibri"/>
        <family val="2"/>
        <scheme val="minor"/>
      </rPr>
      <t xml:space="preserve">-sensitive osteosarcoma </t>
    </r>
    <r>
      <rPr>
        <b/>
        <sz val="11"/>
        <color theme="1"/>
        <rFont val="Calibri"/>
        <family val="2"/>
        <scheme val="minor"/>
      </rPr>
      <t>tissues</t>
    </r>
    <r>
      <rPr>
        <sz val="11"/>
        <color theme="1"/>
        <rFont val="Calibri"/>
        <family val="2"/>
        <scheme val="minor"/>
      </rPr>
      <t xml:space="preserve"> were obtained. Five significantly differentially expressed proteins were identified, including ALDOA and </t>
    </r>
    <r>
      <rPr>
        <b/>
        <sz val="11"/>
        <color theme="1"/>
        <rFont val="Calibri"/>
        <family val="2"/>
        <scheme val="minor"/>
      </rPr>
      <t>PGK1</t>
    </r>
    <r>
      <rPr>
        <sz val="11"/>
        <color theme="1"/>
        <rFont val="Calibri"/>
        <family val="2"/>
        <scheme val="minor"/>
      </rPr>
      <t>.</t>
    </r>
  </si>
  <si>
    <r>
      <rPr>
        <b/>
        <sz val="11"/>
        <color theme="1"/>
        <rFont val="Calibri"/>
        <family val="2"/>
        <scheme val="minor"/>
      </rPr>
      <t>1) PGRMC1</t>
    </r>
    <r>
      <rPr>
        <sz val="11"/>
        <color theme="1"/>
        <rFont val="Calibri"/>
        <family val="2"/>
        <scheme val="minor"/>
      </rPr>
      <t>-deplete cells grew slower in vitro and did not show progesterone's (P4) antiapoptotic effect.</t>
    </r>
    <r>
      <rPr>
        <b/>
        <sz val="11"/>
        <color theme="1"/>
        <rFont val="Calibri"/>
        <family val="2"/>
        <scheme val="minor"/>
      </rPr>
      <t xml:space="preserve"> 2) </t>
    </r>
    <r>
      <rPr>
        <sz val="11"/>
        <color theme="1"/>
        <rFont val="Calibri"/>
        <family val="2"/>
        <scheme val="minor"/>
      </rPr>
      <t xml:space="preserve">When transplanted into the peritoneum of athymic nude mice, parental dsRed-SKOV-3 cells developed numerous tumors. </t>
    </r>
    <r>
      <rPr>
        <b/>
        <sz val="11"/>
        <color theme="1"/>
        <rFont val="Calibri"/>
        <family val="2"/>
        <scheme val="minor"/>
      </rPr>
      <t>CDDP</t>
    </r>
    <r>
      <rPr>
        <sz val="11"/>
        <color theme="1"/>
        <rFont val="Calibri"/>
        <family val="2"/>
        <scheme val="minor"/>
      </rPr>
      <t xml:space="preserve"> increased the percentage of apoptotic nuclei in typical clear cell tumors and P4 attenuated CDDP-induced apoptosis. </t>
    </r>
    <r>
      <rPr>
        <b/>
        <sz val="11"/>
        <color theme="1"/>
        <rFont val="Calibri"/>
        <family val="2"/>
        <scheme val="minor"/>
      </rPr>
      <t>3) PGRMC1</t>
    </r>
    <r>
      <rPr>
        <sz val="11"/>
        <color theme="1"/>
        <rFont val="Calibri"/>
        <family val="2"/>
        <scheme val="minor"/>
      </rPr>
      <t xml:space="preserve">-deplete tumors developed in fewer mice; appeared smaller. These PGRMC1-deplete tumors were </t>
    </r>
    <r>
      <rPr>
        <b/>
        <sz val="11"/>
        <color theme="1"/>
        <rFont val="Calibri"/>
        <family val="2"/>
        <scheme val="minor"/>
      </rPr>
      <t>not</t>
    </r>
    <r>
      <rPr>
        <sz val="11"/>
        <color theme="1"/>
        <rFont val="Calibri"/>
        <family val="2"/>
        <scheme val="minor"/>
      </rPr>
      <t xml:space="preserve"> responsive to CDDP's apoptotic effects. </t>
    </r>
    <r>
      <rPr>
        <b/>
        <sz val="11"/>
        <color theme="1"/>
        <rFont val="Calibri"/>
        <family val="2"/>
        <scheme val="minor"/>
      </rPr>
      <t xml:space="preserve">4) </t>
    </r>
    <r>
      <rPr>
        <sz val="11"/>
        <color theme="1"/>
        <rFont val="Calibri"/>
        <family val="2"/>
        <scheme val="minor"/>
      </rPr>
      <t xml:space="preserve">The failure to respond to </t>
    </r>
    <r>
      <rPr>
        <b/>
        <sz val="11"/>
        <color theme="1"/>
        <rFont val="Calibri"/>
        <family val="2"/>
        <scheme val="minor"/>
      </rPr>
      <t>CDDP</t>
    </r>
    <r>
      <rPr>
        <sz val="11"/>
        <color theme="1"/>
        <rFont val="Calibri"/>
        <family val="2"/>
        <scheme val="minor"/>
      </rPr>
      <t xml:space="preserve"> could be due to their poorly developed microvasculature system as judged by percentage of CD31-stained endothelial cells and/or their increased expression of ATP-binding cassette transporters, which are involved in drug resistance. </t>
    </r>
    <r>
      <rPr>
        <b/>
        <sz val="11"/>
        <color theme="1"/>
        <rFont val="Calibri"/>
        <family val="2"/>
        <scheme val="minor"/>
      </rPr>
      <t xml:space="preserve">5) </t>
    </r>
    <r>
      <rPr>
        <sz val="11"/>
        <color theme="1"/>
        <rFont val="Calibri"/>
        <family val="2"/>
        <scheme val="minor"/>
      </rPr>
      <t>PGRMC1-dependent autophagy by hyperoside induces apoptosis and sensitizes ovarian cancer cells to cisplatin treatment</t>
    </r>
  </si>
  <si>
    <r>
      <rPr>
        <b/>
        <sz val="11"/>
        <color theme="1"/>
        <rFont val="Calibri"/>
        <family val="2"/>
        <scheme val="minor"/>
      </rPr>
      <t>1) Phb1</t>
    </r>
    <r>
      <rPr>
        <sz val="11"/>
        <color theme="1"/>
        <rFont val="Calibri"/>
        <family val="2"/>
        <scheme val="minor"/>
      </rPr>
      <t xml:space="preserve"> is primarily associated with the </t>
    </r>
    <r>
      <rPr>
        <b/>
        <sz val="11"/>
        <color theme="1"/>
        <rFont val="Calibri"/>
        <family val="2"/>
        <scheme val="minor"/>
      </rPr>
      <t>mitochondria</t>
    </r>
    <r>
      <rPr>
        <sz val="11"/>
        <color theme="1"/>
        <rFont val="Calibri"/>
        <family val="2"/>
        <scheme val="minor"/>
      </rPr>
      <t xml:space="preserve"> in ovarian cancer cells. </t>
    </r>
    <r>
      <rPr>
        <b/>
        <sz val="11"/>
        <color theme="1"/>
        <rFont val="Calibri"/>
        <family val="2"/>
        <scheme val="minor"/>
      </rPr>
      <t>2)</t>
    </r>
    <r>
      <rPr>
        <sz val="11"/>
        <color theme="1"/>
        <rFont val="Calibri"/>
        <family val="2"/>
        <scheme val="minor"/>
      </rPr>
      <t xml:space="preserve"> Over-expression of Phb1 by adenoviral Phb1 infection resulted in an increase in the percentage of ovarian cancer cells accumulating at G0/G1 phase of the cell cycle. </t>
    </r>
    <r>
      <rPr>
        <b/>
        <sz val="11"/>
        <color theme="1"/>
        <rFont val="Calibri"/>
        <family val="2"/>
        <scheme val="minor"/>
      </rPr>
      <t>3)</t>
    </r>
    <r>
      <rPr>
        <sz val="11"/>
        <color theme="1"/>
        <rFont val="Calibri"/>
        <family val="2"/>
        <scheme val="minor"/>
      </rPr>
      <t xml:space="preserve"> There is a significant </t>
    </r>
    <r>
      <rPr>
        <b/>
        <sz val="11"/>
        <color theme="1"/>
        <rFont val="Calibri"/>
        <family val="2"/>
        <scheme val="minor"/>
      </rPr>
      <t>decrease of PHB</t>
    </r>
    <r>
      <rPr>
        <sz val="11"/>
        <color theme="1"/>
        <rFont val="Calibri"/>
        <family val="2"/>
        <scheme val="minor"/>
      </rPr>
      <t xml:space="preserve"> in tumor tissues from </t>
    </r>
    <r>
      <rPr>
        <b/>
        <sz val="11"/>
        <color theme="1"/>
        <rFont val="Calibri"/>
        <family val="2"/>
        <scheme val="minor"/>
      </rPr>
      <t>ovarian</t>
    </r>
    <r>
      <rPr>
        <sz val="11"/>
        <color theme="1"/>
        <rFont val="Calibri"/>
        <family val="2"/>
        <scheme val="minor"/>
      </rPr>
      <t xml:space="preserve"> cancer patients who were resistant to </t>
    </r>
    <r>
      <rPr>
        <b/>
        <sz val="11"/>
        <color theme="1"/>
        <rFont val="Calibri"/>
        <family val="2"/>
        <scheme val="minor"/>
      </rPr>
      <t>platinum</t>
    </r>
    <r>
      <rPr>
        <sz val="11"/>
        <color theme="1"/>
        <rFont val="Calibri"/>
        <family val="2"/>
        <scheme val="minor"/>
      </rPr>
      <t xml:space="preserve">-based chemotherapies. </t>
    </r>
    <r>
      <rPr>
        <b/>
        <sz val="11"/>
        <color theme="1"/>
        <rFont val="Calibri"/>
        <family val="2"/>
        <scheme val="minor"/>
      </rPr>
      <t>4) PHB</t>
    </r>
    <r>
      <rPr>
        <sz val="11"/>
        <color theme="1"/>
        <rFont val="Calibri"/>
        <family val="2"/>
        <scheme val="minor"/>
      </rPr>
      <t xml:space="preserve"> accumulated in </t>
    </r>
    <r>
      <rPr>
        <b/>
        <sz val="11"/>
        <color theme="1"/>
        <rFont val="Calibri"/>
        <family val="2"/>
        <scheme val="minor"/>
      </rPr>
      <t>melanoma</t>
    </r>
    <r>
      <rPr>
        <sz val="11"/>
        <color theme="1"/>
        <rFont val="Calibri"/>
        <family val="2"/>
        <scheme val="minor"/>
      </rPr>
      <t xml:space="preserve"> cell lines under stressing stimuli, such as </t>
    </r>
    <r>
      <rPr>
        <b/>
        <sz val="11"/>
        <color theme="1"/>
        <rFont val="Calibri"/>
        <family val="2"/>
        <scheme val="minor"/>
      </rPr>
      <t>cisplatin</t>
    </r>
    <r>
      <rPr>
        <sz val="11"/>
        <color theme="1"/>
        <rFont val="Calibri"/>
        <family val="2"/>
        <scheme val="minor"/>
      </rPr>
      <t xml:space="preserve">; </t>
    </r>
    <r>
      <rPr>
        <b/>
        <sz val="11"/>
        <color theme="1"/>
        <rFont val="Calibri"/>
        <family val="2"/>
        <scheme val="minor"/>
      </rPr>
      <t>5)</t>
    </r>
    <r>
      <rPr>
        <sz val="11"/>
        <color theme="1"/>
        <rFont val="Calibri"/>
        <family val="2"/>
        <scheme val="minor"/>
      </rPr>
      <t xml:space="preserve"> Prohibitin accumulated in the mitochondria of melanoma cells after cisplatin treatment and its de novo accumulation led to chemoresistance melanoma cell lines. </t>
    </r>
    <r>
      <rPr>
        <b/>
        <sz val="11"/>
        <color theme="1"/>
        <rFont val="Calibri"/>
        <family val="2"/>
        <scheme val="minor"/>
      </rPr>
      <t>6)</t>
    </r>
    <r>
      <rPr>
        <sz val="11"/>
        <color theme="1"/>
        <rFont val="Calibri"/>
        <family val="2"/>
        <scheme val="minor"/>
      </rPr>
      <t xml:space="preserve"> PHB knock-down sensitized melanoma cells to cisplatin treatment. </t>
    </r>
    <r>
      <rPr>
        <b/>
        <sz val="11"/>
        <color theme="1"/>
        <rFont val="Calibri"/>
        <family val="2"/>
        <scheme val="minor"/>
      </rPr>
      <t>7) Prohibitin 1</t>
    </r>
    <r>
      <rPr>
        <sz val="11"/>
        <color theme="1"/>
        <rFont val="Calibri"/>
        <family val="2"/>
        <scheme val="minor"/>
      </rPr>
      <t xml:space="preserve"> (</t>
    </r>
    <r>
      <rPr>
        <b/>
        <sz val="11"/>
        <color theme="1"/>
        <rFont val="Calibri"/>
        <family val="2"/>
        <scheme val="minor"/>
      </rPr>
      <t>Phb1</t>
    </r>
    <r>
      <rPr>
        <sz val="11"/>
        <color theme="1"/>
        <rFont val="Calibri"/>
        <family val="2"/>
        <scheme val="minor"/>
      </rPr>
      <t xml:space="preserve">) dissociates from Opa1-Phb1 complex and binds phosphorylated </t>
    </r>
    <r>
      <rPr>
        <b/>
        <sz val="11"/>
        <color theme="1"/>
        <rFont val="Calibri"/>
        <family val="2"/>
        <scheme val="minor"/>
      </rPr>
      <t>p53</t>
    </r>
    <r>
      <rPr>
        <sz val="11"/>
        <color theme="1"/>
        <rFont val="Calibri"/>
        <family val="2"/>
        <scheme val="minor"/>
      </rPr>
      <t xml:space="preserve"> (serine 15) in response to CDDP in chemosensitive but not chemoresistant </t>
    </r>
    <r>
      <rPr>
        <b/>
        <sz val="11"/>
        <color theme="1"/>
        <rFont val="Calibri"/>
        <family val="2"/>
        <scheme val="minor"/>
      </rPr>
      <t>cervical</t>
    </r>
    <r>
      <rPr>
        <sz val="11"/>
        <color theme="1"/>
        <rFont val="Calibri"/>
        <family val="2"/>
        <scheme val="minor"/>
      </rPr>
      <t xml:space="preserve"> cancer cells. </t>
    </r>
  </si>
  <si>
    <r>
      <rPr>
        <b/>
        <sz val="11"/>
        <color theme="1"/>
        <rFont val="Calibri"/>
        <family val="2"/>
        <scheme val="minor"/>
      </rPr>
      <t xml:space="preserve">1) </t>
    </r>
    <r>
      <rPr>
        <sz val="11"/>
        <color theme="1"/>
        <rFont val="Calibri"/>
        <family val="2"/>
        <scheme val="minor"/>
      </rPr>
      <t xml:space="preserve">reduced concentrations of </t>
    </r>
    <r>
      <rPr>
        <b/>
        <sz val="11"/>
        <color theme="1"/>
        <rFont val="Calibri"/>
        <family val="2"/>
        <scheme val="minor"/>
      </rPr>
      <t>serine</t>
    </r>
    <r>
      <rPr>
        <sz val="11"/>
        <color theme="1"/>
        <rFont val="Calibri"/>
        <family val="2"/>
        <scheme val="minor"/>
      </rPr>
      <t xml:space="preserve"> or inhibition of </t>
    </r>
    <r>
      <rPr>
        <b/>
        <sz val="11"/>
        <color theme="1"/>
        <rFont val="Calibri"/>
        <family val="2"/>
        <scheme val="minor"/>
      </rPr>
      <t>PHGDH</t>
    </r>
    <r>
      <rPr>
        <sz val="11"/>
        <color theme="1"/>
        <rFont val="Calibri"/>
        <family val="2"/>
        <scheme val="minor"/>
      </rPr>
      <t xml:space="preserve"> hindered the toxicity and pro-apoptotic effects of </t>
    </r>
    <r>
      <rPr>
        <b/>
        <sz val="11"/>
        <color theme="1"/>
        <rFont val="Calibri"/>
        <family val="2"/>
        <scheme val="minor"/>
      </rPr>
      <t>cisplatin</t>
    </r>
    <r>
      <rPr>
        <sz val="11"/>
        <color theme="1"/>
        <rFont val="Calibri"/>
        <family val="2"/>
        <scheme val="minor"/>
      </rPr>
      <t xml:space="preserve"> on </t>
    </r>
    <r>
      <rPr>
        <b/>
        <sz val="11"/>
        <color theme="1"/>
        <rFont val="Calibri"/>
        <family val="2"/>
        <scheme val="minor"/>
      </rPr>
      <t>gastric</t>
    </r>
    <r>
      <rPr>
        <sz val="11"/>
        <color theme="1"/>
        <rFont val="Calibri"/>
        <family val="2"/>
        <scheme val="minor"/>
      </rPr>
      <t xml:space="preserve"> cancer cells. </t>
    </r>
    <r>
      <rPr>
        <b/>
        <sz val="11"/>
        <color theme="1"/>
        <rFont val="Calibri"/>
        <family val="2"/>
        <scheme val="minor"/>
      </rPr>
      <t xml:space="preserve">2) </t>
    </r>
    <r>
      <rPr>
        <sz val="11"/>
        <color theme="1"/>
        <rFont val="Calibri"/>
        <family val="2"/>
        <scheme val="minor"/>
      </rPr>
      <t xml:space="preserve">the addition of </t>
    </r>
    <r>
      <rPr>
        <b/>
        <sz val="11"/>
        <color theme="1"/>
        <rFont val="Calibri"/>
        <family val="2"/>
        <scheme val="minor"/>
      </rPr>
      <t>serine</t>
    </r>
    <r>
      <rPr>
        <sz val="11"/>
        <color theme="1"/>
        <rFont val="Calibri"/>
        <family val="2"/>
        <scheme val="minor"/>
      </rPr>
      <t xml:space="preserve"> could reverse the sensitivity of gastric cancer cells to cisplatin. </t>
    </r>
    <r>
      <rPr>
        <b/>
        <sz val="11"/>
        <color theme="1"/>
        <rFont val="Calibri"/>
        <family val="2"/>
        <scheme val="minor"/>
      </rPr>
      <t>3)</t>
    </r>
    <r>
      <rPr>
        <sz val="11"/>
        <color theme="1"/>
        <rFont val="Calibri"/>
        <family val="2"/>
        <scheme val="minor"/>
      </rPr>
      <t xml:space="preserve"> DNA damage was reduced by treatment with PHGDH </t>
    </r>
    <r>
      <rPr>
        <b/>
        <sz val="11"/>
        <color theme="1"/>
        <rFont val="Calibri"/>
        <family val="2"/>
        <scheme val="minor"/>
      </rPr>
      <t>inhibitor NCT-503 or CBR-5884</t>
    </r>
    <r>
      <rPr>
        <sz val="11"/>
        <color theme="1"/>
        <rFont val="Calibri"/>
        <family val="2"/>
        <scheme val="minor"/>
      </rPr>
      <t xml:space="preserve">. </t>
    </r>
    <r>
      <rPr>
        <b/>
        <sz val="11"/>
        <color theme="1"/>
        <rFont val="Calibri"/>
        <family val="2"/>
        <scheme val="minor"/>
      </rPr>
      <t>4)</t>
    </r>
    <r>
      <rPr>
        <sz val="11"/>
        <color theme="1"/>
        <rFont val="Calibri"/>
        <family val="2"/>
        <scheme val="minor"/>
      </rPr>
      <t xml:space="preserve"> Inhibition of serine metabolism induced a decrease in H3K4 tri-methylation, which was reversed by JIB-04 (inhibitor of H3K4 demethylase). </t>
    </r>
    <r>
      <rPr>
        <b/>
        <sz val="11"/>
        <color theme="1"/>
        <rFont val="Calibri"/>
        <family val="2"/>
        <scheme val="minor"/>
      </rPr>
      <t>5)</t>
    </r>
    <r>
      <rPr>
        <sz val="11"/>
        <color theme="1"/>
        <rFont val="Calibri"/>
        <family val="2"/>
        <scheme val="minor"/>
      </rPr>
      <t xml:space="preserve"> The tolerance of gastric cancer cells to cisplatin was relieved by JIB-04. </t>
    </r>
    <r>
      <rPr>
        <b/>
        <sz val="11"/>
        <color theme="1"/>
        <rFont val="Calibri"/>
        <family val="2"/>
        <scheme val="minor"/>
      </rPr>
      <t>6)</t>
    </r>
    <r>
      <rPr>
        <sz val="11"/>
        <color theme="1"/>
        <rFont val="Calibri"/>
        <family val="2"/>
        <scheme val="minor"/>
      </rPr>
      <t xml:space="preserve"> Through micrococcal nuclease experiments, we further found that inhibiting the activity of PHGDH strengthened chromatin tightness. </t>
    </r>
    <r>
      <rPr>
        <b/>
        <sz val="11"/>
        <color theme="1"/>
        <rFont val="Calibri"/>
        <family val="2"/>
        <scheme val="minor"/>
      </rPr>
      <t xml:space="preserve">7) </t>
    </r>
    <r>
      <rPr>
        <sz val="11"/>
        <color theme="1"/>
        <rFont val="Calibri"/>
        <family val="2"/>
        <scheme val="minor"/>
      </rPr>
      <t xml:space="preserve">combined treatment using a </t>
    </r>
    <r>
      <rPr>
        <b/>
        <sz val="11"/>
        <color theme="1"/>
        <rFont val="Calibri"/>
        <family val="2"/>
        <scheme val="minor"/>
      </rPr>
      <t>PHGDH</t>
    </r>
    <r>
      <rPr>
        <sz val="11"/>
        <color theme="1"/>
        <rFont val="Calibri"/>
        <family val="2"/>
        <scheme val="minor"/>
      </rPr>
      <t xml:space="preserve"> inhibitor and gemcitabine/</t>
    </r>
    <r>
      <rPr>
        <b/>
        <sz val="11"/>
        <color theme="1"/>
        <rFont val="Calibri"/>
        <family val="2"/>
        <scheme val="minor"/>
      </rPr>
      <t>cisplatin</t>
    </r>
    <r>
      <rPr>
        <sz val="11"/>
        <color theme="1"/>
        <rFont val="Calibri"/>
        <family val="2"/>
        <scheme val="minor"/>
      </rPr>
      <t xml:space="preserve"> achieved synergistic tumor suppression compared to use of a single agent both in vitro as well as in vivo. </t>
    </r>
    <r>
      <rPr>
        <b/>
        <sz val="11"/>
        <color theme="1"/>
        <rFont val="Calibri"/>
        <family val="2"/>
        <scheme val="minor"/>
      </rPr>
      <t xml:space="preserve">8) </t>
    </r>
    <r>
      <rPr>
        <sz val="11"/>
        <color theme="1"/>
        <rFont val="Calibri"/>
        <family val="2"/>
        <scheme val="minor"/>
      </rPr>
      <t xml:space="preserve">elevated </t>
    </r>
    <r>
      <rPr>
        <b/>
        <sz val="11"/>
        <color theme="1"/>
        <rFont val="Calibri"/>
        <family val="2"/>
        <scheme val="minor"/>
      </rPr>
      <t>PHGDH</t>
    </r>
    <r>
      <rPr>
        <sz val="11"/>
        <color theme="1"/>
        <rFont val="Calibri"/>
        <family val="2"/>
        <scheme val="minor"/>
      </rPr>
      <t xml:space="preserve"> expression was found in </t>
    </r>
    <r>
      <rPr>
        <b/>
        <sz val="11"/>
        <color theme="1"/>
        <rFont val="Calibri"/>
        <family val="2"/>
        <scheme val="minor"/>
      </rPr>
      <t>cervical</t>
    </r>
    <r>
      <rPr>
        <sz val="11"/>
        <color theme="1"/>
        <rFont val="Calibri"/>
        <family val="2"/>
        <scheme val="minor"/>
      </rPr>
      <t xml:space="preserve"> adenocarcinoma and was associated with tumor size and prognosis. </t>
    </r>
    <r>
      <rPr>
        <b/>
        <sz val="11"/>
        <color theme="1"/>
        <rFont val="Calibri"/>
        <family val="2"/>
        <scheme val="minor"/>
      </rPr>
      <t>9)</t>
    </r>
    <r>
      <rPr>
        <sz val="11"/>
        <color theme="1"/>
        <rFont val="Calibri"/>
        <family val="2"/>
        <scheme val="minor"/>
      </rPr>
      <t xml:space="preserve"> Knocking down </t>
    </r>
    <r>
      <rPr>
        <b/>
        <sz val="11"/>
        <color theme="1"/>
        <rFont val="Calibri"/>
        <family val="2"/>
        <scheme val="minor"/>
      </rPr>
      <t>PHGDH</t>
    </r>
    <r>
      <rPr>
        <sz val="11"/>
        <color theme="1"/>
        <rFont val="Calibri"/>
        <family val="2"/>
        <scheme val="minor"/>
      </rPr>
      <t xml:space="preserve"> in HeLa cells significantly inhibited cell proliferation and increased </t>
    </r>
    <r>
      <rPr>
        <b/>
        <sz val="11"/>
        <color theme="1"/>
        <rFont val="Calibri"/>
        <family val="2"/>
        <scheme val="minor"/>
      </rPr>
      <t>cisplatin</t>
    </r>
    <r>
      <rPr>
        <sz val="11"/>
        <color theme="1"/>
        <rFont val="Calibri"/>
        <family val="2"/>
        <scheme val="minor"/>
      </rPr>
      <t xml:space="preserve"> chemotherapy sensitivity. </t>
    </r>
  </si>
  <si>
    <r>
      <rPr>
        <b/>
        <sz val="11"/>
        <color theme="1"/>
        <rFont val="Calibri"/>
        <family val="2"/>
        <scheme val="minor"/>
      </rPr>
      <t xml:space="preserve">1) </t>
    </r>
    <r>
      <rPr>
        <sz val="11"/>
        <color theme="1"/>
        <rFont val="Calibri"/>
        <family val="2"/>
        <scheme val="minor"/>
      </rPr>
      <t xml:space="preserve">MiR-503 expression was significantly downregulated in </t>
    </r>
    <r>
      <rPr>
        <b/>
        <sz val="11"/>
        <color theme="1"/>
        <rFont val="Calibri"/>
        <family val="2"/>
        <scheme val="minor"/>
      </rPr>
      <t>cisplatin</t>
    </r>
    <r>
      <rPr>
        <sz val="11"/>
        <color theme="1"/>
        <rFont val="Calibri"/>
        <family val="2"/>
        <scheme val="minor"/>
      </rPr>
      <t xml:space="preserve">-resistant ovarian cancer cell line SKOV3/DDP compared with parental SKOV3. </t>
    </r>
    <r>
      <rPr>
        <b/>
        <sz val="11"/>
        <color theme="1"/>
        <rFont val="Calibri"/>
        <family val="2"/>
        <scheme val="minor"/>
      </rPr>
      <t xml:space="preserve">2) </t>
    </r>
    <r>
      <rPr>
        <sz val="11"/>
        <color theme="1"/>
        <rFont val="Calibri"/>
        <family val="2"/>
        <scheme val="minor"/>
      </rPr>
      <t xml:space="preserve">Over-expression and knock-down of miR-503 partially regulated apoptotic activity and changed the cisplatin resistance of ovarian cancer cells. </t>
    </r>
    <r>
      <rPr>
        <b/>
        <sz val="11"/>
        <color theme="1"/>
        <rFont val="Calibri"/>
        <family val="2"/>
        <scheme val="minor"/>
      </rPr>
      <t xml:space="preserve">3) </t>
    </r>
    <r>
      <rPr>
        <sz val="11"/>
        <color theme="1"/>
        <rFont val="Calibri"/>
        <family val="2"/>
        <scheme val="minor"/>
      </rPr>
      <t xml:space="preserve">miR-503 can directly target </t>
    </r>
    <r>
      <rPr>
        <b/>
        <sz val="11"/>
        <color theme="1"/>
        <rFont val="Calibri"/>
        <family val="2"/>
        <scheme val="minor"/>
      </rPr>
      <t>PI3K p85</t>
    </r>
    <r>
      <rPr>
        <sz val="11"/>
        <color theme="1"/>
        <rFont val="Calibri"/>
        <family val="2"/>
        <scheme val="minor"/>
      </rPr>
      <t xml:space="preserve"> and participates in the regulation of the PI3K/Akt signaling pathway. </t>
    </r>
    <r>
      <rPr>
        <b/>
        <sz val="11"/>
        <color theme="1"/>
        <rFont val="Calibri"/>
        <family val="2"/>
        <scheme val="minor"/>
      </rPr>
      <t xml:space="preserve">4) </t>
    </r>
    <r>
      <rPr>
        <sz val="11"/>
        <color theme="1"/>
        <rFont val="Calibri"/>
        <family val="2"/>
        <scheme val="minor"/>
      </rPr>
      <t xml:space="preserve">miR-503 agomirs combined with cisplatin treatment significantly reduced the growth of tumors compared with cisplatin alone. </t>
    </r>
    <r>
      <rPr>
        <b/>
        <sz val="11"/>
        <color theme="1"/>
        <rFont val="Calibri"/>
        <family val="2"/>
        <scheme val="minor"/>
      </rPr>
      <t xml:space="preserve">5) </t>
    </r>
    <r>
      <rPr>
        <sz val="11"/>
        <color theme="1"/>
        <rFont val="Calibri"/>
        <family val="2"/>
        <scheme val="minor"/>
      </rPr>
      <t xml:space="preserve">Our analysis identified 4 genes, HDAC4, STAT1, FOLR2, and
</t>
    </r>
    <r>
      <rPr>
        <b/>
        <sz val="11"/>
        <color theme="1"/>
        <rFont val="Calibri"/>
        <family val="2"/>
        <scheme val="minor"/>
      </rPr>
      <t>PIK3R1</t>
    </r>
    <r>
      <rPr>
        <sz val="11"/>
        <color theme="1"/>
        <rFont val="Calibri"/>
        <family val="2"/>
        <scheme val="minor"/>
      </rPr>
      <t xml:space="preserve"> as overexpressed in clinically resistant cells, each of which also significantly potentiated </t>
    </r>
    <r>
      <rPr>
        <b/>
        <sz val="11"/>
        <color theme="1"/>
        <rFont val="Calibri"/>
        <family val="2"/>
        <scheme val="minor"/>
      </rPr>
      <t>cisplatin</t>
    </r>
    <r>
      <rPr>
        <sz val="11"/>
        <color theme="1"/>
        <rFont val="Calibri"/>
        <family val="2"/>
        <scheme val="minor"/>
      </rPr>
      <t xml:space="preserve"> response when
knocked down by siRNA.</t>
    </r>
  </si>
  <si>
    <r>
      <rPr>
        <b/>
        <sz val="11"/>
        <color theme="1"/>
        <rFont val="Calibri"/>
        <family val="2"/>
        <scheme val="minor"/>
      </rPr>
      <t xml:space="preserve">1) </t>
    </r>
    <r>
      <rPr>
        <sz val="11"/>
        <color theme="1"/>
        <rFont val="Calibri"/>
        <family val="2"/>
        <scheme val="minor"/>
      </rPr>
      <t>Pim-1 was upregulated in 66.2% of the</t>
    </r>
    <r>
      <rPr>
        <b/>
        <sz val="11"/>
        <color theme="1"/>
        <rFont val="Calibri"/>
        <family val="2"/>
        <scheme val="minor"/>
      </rPr>
      <t xml:space="preserve"> lung</t>
    </r>
    <r>
      <rPr>
        <sz val="11"/>
        <color theme="1"/>
        <rFont val="Calibri"/>
        <family val="2"/>
        <scheme val="minor"/>
      </rPr>
      <t xml:space="preserve"> tumor tissues and its expression was significantly related to advanced stage (P = 0.019) and lymph node metastasis (P = 0.026). </t>
    </r>
    <r>
      <rPr>
        <b/>
        <sz val="11"/>
        <color theme="1"/>
        <rFont val="Calibri"/>
        <family val="2"/>
        <scheme val="minor"/>
      </rPr>
      <t xml:space="preserve">2) </t>
    </r>
    <r>
      <rPr>
        <sz val="11"/>
        <color theme="1"/>
        <rFont val="Calibri"/>
        <family val="2"/>
        <scheme val="minor"/>
      </rPr>
      <t xml:space="preserve">Reduced Pim-1 expression suppressed NSCLC cell growth, cell cycle progression and migration in vitro. </t>
    </r>
    <r>
      <rPr>
        <b/>
        <sz val="11"/>
        <color theme="1"/>
        <rFont val="Calibri"/>
        <family val="2"/>
        <scheme val="minor"/>
      </rPr>
      <t xml:space="preserve">3) </t>
    </r>
    <r>
      <rPr>
        <sz val="11"/>
        <color theme="1"/>
        <rFont val="Calibri"/>
        <family val="2"/>
        <scheme val="minor"/>
      </rPr>
      <t xml:space="preserve">Pim-1 was a novel target of miR-486-5p determined by luciferase report assay, and ectopic miR-486-5p expression in cancer cells reduced Pim-1 expression. </t>
    </r>
    <r>
      <rPr>
        <b/>
        <sz val="11"/>
        <color theme="1"/>
        <rFont val="Calibri"/>
        <family val="2"/>
        <scheme val="minor"/>
      </rPr>
      <t xml:space="preserve">4) </t>
    </r>
    <r>
      <rPr>
        <sz val="11"/>
        <color theme="1"/>
        <rFont val="Calibri"/>
        <family val="2"/>
        <scheme val="minor"/>
      </rPr>
      <t xml:space="preserve">eukaryotic translation initiation factor 4E (eIF4E) controlled the synthesis of Pim-1 in NSCLC cells, and its expression was positively associated with that of Pim-1 in NSCLC tissue specimens (r = 0.504, p &lt; 0.001). </t>
    </r>
    <r>
      <rPr>
        <b/>
        <sz val="11"/>
        <color theme="1"/>
        <rFont val="Calibri"/>
        <family val="2"/>
        <scheme val="minor"/>
      </rPr>
      <t xml:space="preserve">5) </t>
    </r>
    <r>
      <rPr>
        <sz val="11"/>
        <color theme="1"/>
        <rFont val="Calibri"/>
        <family val="2"/>
        <scheme val="minor"/>
      </rPr>
      <t xml:space="preserve">The downregulated miR-486-5p and upregulated eIF4E in NSCLC cells led to the overexpression of Pim-1 by relieving the inhibitory effect of the 3'-UTR or 5'-UTR of Pim-1 mRNA, </t>
    </r>
    <r>
      <rPr>
        <b/>
        <sz val="11"/>
        <color theme="1"/>
        <rFont val="Calibri"/>
        <family val="2"/>
        <scheme val="minor"/>
      </rPr>
      <t xml:space="preserve">6) </t>
    </r>
    <r>
      <rPr>
        <sz val="11"/>
        <color theme="1"/>
        <rFont val="Calibri"/>
        <family val="2"/>
        <scheme val="minor"/>
      </rPr>
      <t xml:space="preserve">Pim-1 knockdown sensitized NSCLC cells to </t>
    </r>
    <r>
      <rPr>
        <b/>
        <sz val="11"/>
        <color theme="1"/>
        <rFont val="Calibri"/>
        <family val="2"/>
        <scheme val="minor"/>
      </rPr>
      <t>cisplatin</t>
    </r>
    <r>
      <rPr>
        <sz val="11"/>
        <color theme="1"/>
        <rFont val="Calibri"/>
        <family val="2"/>
        <scheme val="minor"/>
      </rPr>
      <t xml:space="preserve">. </t>
    </r>
    <r>
      <rPr>
        <b/>
        <sz val="11"/>
        <color theme="1"/>
        <rFont val="Calibri"/>
        <family val="2"/>
        <scheme val="minor"/>
      </rPr>
      <t xml:space="preserve">7) </t>
    </r>
    <r>
      <rPr>
        <sz val="11"/>
        <color theme="1"/>
        <rFont val="Calibri"/>
        <family val="2"/>
        <scheme val="minor"/>
      </rPr>
      <t xml:space="preserve">Pim1 was also overexpressed in </t>
    </r>
    <r>
      <rPr>
        <b/>
        <sz val="11"/>
        <color theme="1"/>
        <rFont val="Calibri"/>
        <family val="2"/>
        <scheme val="minor"/>
      </rPr>
      <t>Ovarian</t>
    </r>
    <r>
      <rPr>
        <sz val="11"/>
        <color theme="1"/>
        <rFont val="Calibri"/>
        <family val="2"/>
        <scheme val="minor"/>
      </rPr>
      <t xml:space="preserve"> Cancer and correlated with poor overall survival by bioinformatics analysis.</t>
    </r>
  </si>
  <si>
    <r>
      <rPr>
        <b/>
        <sz val="11"/>
        <color theme="1"/>
        <rFont val="Calibri"/>
        <family val="2"/>
        <scheme val="minor"/>
      </rPr>
      <t>1)</t>
    </r>
    <r>
      <rPr>
        <sz val="11"/>
        <color theme="1"/>
        <rFont val="Calibri"/>
        <family val="2"/>
        <scheme val="minor"/>
      </rPr>
      <t xml:space="preserve"> All three PIM kinases were found expressed in a panel of 10 </t>
    </r>
    <r>
      <rPr>
        <b/>
        <sz val="11"/>
        <color theme="1"/>
        <rFont val="Calibri"/>
        <family val="2"/>
        <scheme val="minor"/>
      </rPr>
      <t>ovarian</t>
    </r>
    <r>
      <rPr>
        <sz val="11"/>
        <color theme="1"/>
        <rFont val="Calibri"/>
        <family val="2"/>
        <scheme val="minor"/>
      </rPr>
      <t xml:space="preserve"> cancer cell lines, with the oncogenic PIM2 being the most commonly induced by </t>
    </r>
    <r>
      <rPr>
        <b/>
        <sz val="11"/>
        <color theme="1"/>
        <rFont val="Calibri"/>
        <family val="2"/>
        <scheme val="minor"/>
      </rPr>
      <t>cisplatin</t>
    </r>
    <r>
      <rPr>
        <sz val="11"/>
        <color theme="1"/>
        <rFont val="Calibri"/>
        <family val="2"/>
        <scheme val="minor"/>
      </rPr>
      <t xml:space="preserve">. </t>
    </r>
    <r>
      <rPr>
        <b/>
        <sz val="11"/>
        <color theme="1"/>
        <rFont val="Calibri"/>
        <family val="2"/>
        <scheme val="minor"/>
      </rPr>
      <t xml:space="preserve">2) </t>
    </r>
    <r>
      <rPr>
        <sz val="11"/>
        <color theme="1"/>
        <rFont val="Calibri"/>
        <family val="2"/>
        <scheme val="minor"/>
      </rPr>
      <t xml:space="preserve">Targeting PIM2 kinase by either biochemical inhibitors or RNA interference impaired cell growth, decreased cisplatin-triggered BAD phosphorylation, and sensitized ovarian cancer cells to drug-induced apoptosis. </t>
    </r>
    <r>
      <rPr>
        <b/>
        <sz val="11"/>
        <color theme="1"/>
        <rFont val="Calibri"/>
        <family val="2"/>
        <scheme val="minor"/>
      </rPr>
      <t xml:space="preserve">3) </t>
    </r>
    <r>
      <rPr>
        <sz val="11"/>
        <color theme="1"/>
        <rFont val="Calibri"/>
        <family val="2"/>
        <scheme val="minor"/>
      </rPr>
      <t xml:space="preserve">Overexpression of PIM2 triggered anchorage-independent growth and resulted in increased BAD phosphorylation and cell resistance to DNA damaging agents. </t>
    </r>
  </si>
  <si>
    <r>
      <t xml:space="preserve">1) </t>
    </r>
    <r>
      <rPr>
        <b/>
        <sz val="11"/>
        <color theme="1"/>
        <rFont val="Calibri"/>
        <family val="2"/>
        <scheme val="minor"/>
      </rPr>
      <t>PINK1</t>
    </r>
    <r>
      <rPr>
        <sz val="11"/>
        <color theme="1"/>
        <rFont val="Calibri"/>
        <family val="2"/>
        <scheme val="minor"/>
      </rPr>
      <t xml:space="preserve"> and </t>
    </r>
    <r>
      <rPr>
        <b/>
        <sz val="11"/>
        <color theme="1"/>
        <rFont val="Calibri"/>
        <family val="2"/>
        <scheme val="minor"/>
      </rPr>
      <t>Parkin</t>
    </r>
    <r>
      <rPr>
        <sz val="11"/>
        <color theme="1"/>
        <rFont val="Calibri"/>
        <family val="2"/>
        <scheme val="minor"/>
      </rPr>
      <t xml:space="preserve"> were increased in kidney tissues during </t>
    </r>
    <r>
      <rPr>
        <b/>
        <sz val="11"/>
        <color theme="1"/>
        <rFont val="Calibri"/>
        <family val="2"/>
        <scheme val="minor"/>
      </rPr>
      <t>cisplatin</t>
    </r>
    <r>
      <rPr>
        <sz val="11"/>
        <color theme="1"/>
        <rFont val="Calibri"/>
        <family val="2"/>
        <scheme val="minor"/>
      </rPr>
      <t xml:space="preserve"> treatment of mice. </t>
    </r>
    <r>
      <rPr>
        <b/>
        <sz val="11"/>
        <color theme="1"/>
        <rFont val="Calibri"/>
        <family val="2"/>
        <scheme val="minor"/>
      </rPr>
      <t xml:space="preserve">2) </t>
    </r>
    <r>
      <rPr>
        <sz val="11"/>
        <color theme="1"/>
        <rFont val="Calibri"/>
        <family val="2"/>
        <scheme val="minor"/>
      </rPr>
      <t xml:space="preserve">In PINK1 or Parkin gene knockout mouse models, both basal and cisplatin-induced mitophagy in kidneys were defective. </t>
    </r>
    <r>
      <rPr>
        <b/>
        <sz val="11"/>
        <color theme="1"/>
        <rFont val="Calibri"/>
        <family val="2"/>
        <scheme val="minor"/>
      </rPr>
      <t xml:space="preserve">3) </t>
    </r>
    <r>
      <rPr>
        <sz val="11"/>
        <color theme="1"/>
        <rFont val="Calibri"/>
        <family val="2"/>
        <scheme val="minor"/>
      </rPr>
      <t xml:space="preserve">PINK1 and Parkin knockout mice showed more severe renal functional loss, tissue damage, and apoptosis during cisplatin treatment. </t>
    </r>
    <r>
      <rPr>
        <b/>
        <sz val="11"/>
        <color theme="1"/>
        <rFont val="Calibri"/>
        <family val="2"/>
        <scheme val="minor"/>
      </rPr>
      <t xml:space="preserve">4) </t>
    </r>
    <r>
      <rPr>
        <sz val="11"/>
        <color theme="1"/>
        <rFont val="Calibri"/>
        <family val="2"/>
        <scheme val="minor"/>
      </rPr>
      <t xml:space="preserve">The results suggest that PINK1/Parkin-mediated mitophagy is activated in cisplatin nephrotoxicity and has a protective role against </t>
    </r>
    <r>
      <rPr>
        <b/>
        <sz val="11"/>
        <color theme="1"/>
        <rFont val="Calibri"/>
        <family val="2"/>
        <scheme val="minor"/>
      </rPr>
      <t>kidney injury</t>
    </r>
    <r>
      <rPr>
        <sz val="11"/>
        <color theme="1"/>
        <rFont val="Calibri"/>
        <family val="2"/>
        <scheme val="minor"/>
      </rPr>
      <t xml:space="preserve">. </t>
    </r>
    <r>
      <rPr>
        <b/>
        <sz val="11"/>
        <color theme="1"/>
        <rFont val="Calibri"/>
        <family val="2"/>
        <scheme val="minor"/>
      </rPr>
      <t xml:space="preserve">5) </t>
    </r>
    <r>
      <rPr>
        <sz val="11"/>
        <color theme="1"/>
        <rFont val="Calibri"/>
        <family val="2"/>
        <scheme val="minor"/>
      </rPr>
      <t xml:space="preserve">high PINK1 expression in </t>
    </r>
    <r>
      <rPr>
        <b/>
        <sz val="11"/>
        <color theme="1"/>
        <rFont val="Calibri"/>
        <family val="2"/>
        <scheme val="minor"/>
      </rPr>
      <t>NSCLC</t>
    </r>
    <r>
      <rPr>
        <sz val="11"/>
        <color theme="1"/>
        <rFont val="Calibri"/>
        <family val="2"/>
        <scheme val="minor"/>
      </rPr>
      <t xml:space="preserve"> tumor tissues and cell lines.</t>
    </r>
    <r>
      <rPr>
        <b/>
        <sz val="11"/>
        <color theme="1"/>
        <rFont val="Calibri"/>
        <family val="2"/>
        <scheme val="minor"/>
      </rPr>
      <t xml:space="preserve"> 6) </t>
    </r>
    <r>
      <rPr>
        <sz val="11"/>
        <color theme="1"/>
        <rFont val="Calibri"/>
        <family val="2"/>
        <scheme val="minor"/>
      </rPr>
      <t xml:space="preserve">PINK1 expression was associated with a more invasive tumor phenotype and poor prognosis. </t>
    </r>
    <r>
      <rPr>
        <b/>
        <sz val="11"/>
        <color theme="1"/>
        <rFont val="Calibri"/>
        <family val="2"/>
        <scheme val="minor"/>
      </rPr>
      <t>7)</t>
    </r>
    <r>
      <rPr>
        <sz val="11"/>
        <color theme="1"/>
        <rFont val="Calibri"/>
        <family val="2"/>
        <scheme val="minor"/>
      </rPr>
      <t xml:space="preserve"> in vitro studies using upregulation and knockdown of PINK1 confirmed that PINK1 promoted cell proliferation of NSCLC, which might be through as the NF-κB pathway. </t>
    </r>
    <r>
      <rPr>
        <b/>
        <sz val="11"/>
        <color theme="1"/>
        <rFont val="Calibri"/>
        <family val="2"/>
        <scheme val="minor"/>
      </rPr>
      <t xml:space="preserve">8) </t>
    </r>
    <r>
      <rPr>
        <sz val="11"/>
        <color theme="1"/>
        <rFont val="Calibri"/>
        <family val="2"/>
        <scheme val="minor"/>
      </rPr>
      <t xml:space="preserve">downregulation of PINK1 enhanced </t>
    </r>
    <r>
      <rPr>
        <b/>
        <sz val="11"/>
        <color theme="1"/>
        <rFont val="Calibri"/>
        <family val="2"/>
        <scheme val="minor"/>
      </rPr>
      <t>cisplatin</t>
    </r>
    <r>
      <rPr>
        <sz val="11"/>
        <color theme="1"/>
        <rFont val="Calibri"/>
        <family val="2"/>
        <scheme val="minor"/>
      </rPr>
      <t xml:space="preserve"> (CDDP)-induced NSCLC cell apoptosis.</t>
    </r>
  </si>
  <si>
    <r>
      <rPr>
        <b/>
        <sz val="11"/>
        <color theme="1"/>
        <rFont val="Calibri"/>
        <family val="2"/>
        <scheme val="minor"/>
      </rPr>
      <t>1) cisplatin</t>
    </r>
    <r>
      <rPr>
        <sz val="11"/>
        <color theme="1"/>
        <rFont val="Calibri"/>
        <family val="2"/>
        <scheme val="minor"/>
      </rPr>
      <t xml:space="preserve"> induces chromatin relaxation in PIWIL2 (Mili)-Wild type (WT) </t>
    </r>
    <r>
      <rPr>
        <b/>
        <sz val="11"/>
        <color theme="1"/>
        <rFont val="Calibri"/>
        <family val="2"/>
        <scheme val="minor"/>
      </rPr>
      <t>mouse</t>
    </r>
    <r>
      <rPr>
        <sz val="11"/>
        <color theme="1"/>
        <rFont val="Calibri"/>
        <family val="2"/>
        <scheme val="minor"/>
      </rPr>
      <t xml:space="preserve"> embryonic fibroblasts (MEFs), but not in Mili-knockout (KO) MEFs. </t>
    </r>
    <r>
      <rPr>
        <b/>
        <sz val="11"/>
        <color theme="1"/>
        <rFont val="Calibri"/>
        <family val="2"/>
        <scheme val="minor"/>
      </rPr>
      <t xml:space="preserve">2) </t>
    </r>
    <r>
      <rPr>
        <sz val="11"/>
        <color theme="1"/>
        <rFont val="Calibri"/>
        <family val="2"/>
        <scheme val="minor"/>
      </rPr>
      <t xml:space="preserve">Mili is required for maintaining the euchromatic marks in MEFs upon cisplatin treatment. In addition, Mili-KO MEFs exhibited a significant deficiency in repairing </t>
    </r>
    <r>
      <rPr>
        <b/>
        <sz val="11"/>
        <color theme="1"/>
        <rFont val="Calibri"/>
        <family val="2"/>
        <scheme val="minor"/>
      </rPr>
      <t>cisplatin</t>
    </r>
    <r>
      <rPr>
        <sz val="11"/>
        <color theme="1"/>
        <rFont val="Calibri"/>
        <family val="2"/>
        <scheme val="minor"/>
      </rPr>
      <t xml:space="preserve">-induced DNA damage and displayed higher sensitivity to cisplatin. </t>
    </r>
    <r>
      <rPr>
        <b/>
        <sz val="11"/>
        <color theme="1"/>
        <rFont val="Calibri"/>
        <family val="2"/>
        <scheme val="minor"/>
      </rPr>
      <t>3)</t>
    </r>
    <r>
      <rPr>
        <sz val="11"/>
        <color theme="1"/>
        <rFont val="Calibri"/>
        <family val="2"/>
        <scheme val="minor"/>
      </rPr>
      <t xml:space="preserve"> Piwil2 was also enhanced in two completely different cisplatin-resistant </t>
    </r>
    <r>
      <rPr>
        <b/>
        <sz val="11"/>
        <color theme="1"/>
        <rFont val="Calibri"/>
        <family val="2"/>
        <scheme val="minor"/>
      </rPr>
      <t>ovarian</t>
    </r>
    <r>
      <rPr>
        <sz val="11"/>
        <color theme="1"/>
        <rFont val="Calibri"/>
        <family val="2"/>
        <scheme val="minor"/>
      </rPr>
      <t xml:space="preserve"> cancer cell lines. </t>
    </r>
    <r>
      <rPr>
        <b/>
        <sz val="11"/>
        <color theme="1"/>
        <rFont val="Calibri"/>
        <family val="2"/>
        <scheme val="minor"/>
      </rPr>
      <t>4)</t>
    </r>
    <r>
      <rPr>
        <sz val="11"/>
        <color theme="1"/>
        <rFont val="Calibri"/>
        <family val="2"/>
        <scheme val="minor"/>
      </rPr>
      <t xml:space="preserve"> knockdown of Piwil2 expression in these two cell lines also resulted in their enhanced sensitivity to </t>
    </r>
    <r>
      <rPr>
        <b/>
        <sz val="11"/>
        <color theme="1"/>
        <rFont val="Calibri"/>
        <family val="2"/>
        <scheme val="minor"/>
      </rPr>
      <t>cisplatin</t>
    </r>
    <r>
      <rPr>
        <sz val="11"/>
        <color theme="1"/>
        <rFont val="Calibri"/>
        <family val="2"/>
        <scheme val="minor"/>
      </rPr>
      <t xml:space="preserve"> and decreased their efficiency for removing cisplatin-induced DNA intrastrand crosslinks (Pt-GG). </t>
    </r>
    <r>
      <rPr>
        <b/>
        <sz val="11"/>
        <color theme="1"/>
        <rFont val="Calibri"/>
        <family val="2"/>
        <scheme val="minor"/>
      </rPr>
      <t>5)</t>
    </r>
    <r>
      <rPr>
        <sz val="11"/>
        <color theme="1"/>
        <rFont val="Calibri"/>
        <family val="2"/>
        <scheme val="minor"/>
      </rPr>
      <t xml:space="preserve"> PIWIL2 Mediates DNA Repair through Relaxation of Chromatin. </t>
    </r>
  </si>
  <si>
    <r>
      <rPr>
        <b/>
        <sz val="11"/>
        <color theme="1"/>
        <rFont val="Calibri"/>
        <family val="2"/>
        <scheme val="minor"/>
      </rPr>
      <t>1) PKM2</t>
    </r>
    <r>
      <rPr>
        <sz val="11"/>
        <color theme="1"/>
        <rFont val="Calibri"/>
        <family val="2"/>
        <scheme val="minor"/>
      </rPr>
      <t xml:space="preserve"> was significantly upregulated in </t>
    </r>
    <r>
      <rPr>
        <b/>
        <sz val="11"/>
        <color theme="1"/>
        <rFont val="Calibri"/>
        <family val="2"/>
        <scheme val="minor"/>
      </rPr>
      <t>cervical</t>
    </r>
    <r>
      <rPr>
        <sz val="11"/>
        <color theme="1"/>
        <rFont val="Calibri"/>
        <family val="2"/>
        <scheme val="minor"/>
      </rPr>
      <t xml:space="preserve"> cancer tissues after treatment with </t>
    </r>
    <r>
      <rPr>
        <b/>
        <sz val="11"/>
        <color theme="1"/>
        <rFont val="Calibri"/>
        <family val="2"/>
        <scheme val="minor"/>
      </rPr>
      <t>neoadjuvant chemotherapy</t>
    </r>
    <r>
      <rPr>
        <sz val="11"/>
        <color theme="1"/>
        <rFont val="Calibri"/>
        <family val="2"/>
        <scheme val="minor"/>
      </rPr>
      <t xml:space="preserve"> (NACT). </t>
    </r>
    <r>
      <rPr>
        <b/>
        <sz val="11"/>
        <color theme="1"/>
        <rFont val="Calibri"/>
        <family val="2"/>
        <scheme val="minor"/>
      </rPr>
      <t>2)</t>
    </r>
    <r>
      <rPr>
        <sz val="11"/>
        <color theme="1"/>
        <rFont val="Calibri"/>
        <family val="2"/>
        <scheme val="minor"/>
      </rPr>
      <t xml:space="preserve"> Using paired tumor samples (pre- and post-chemotherapy) from 36 cervical cancer patients, the mTOR/HIF-1α/c-Myc/PKM2 signaling pathway was significantly downregulated in post-chemotherapy cervical cancer tissues. </t>
    </r>
    <r>
      <rPr>
        <b/>
        <sz val="11"/>
        <color theme="1"/>
        <rFont val="Calibri"/>
        <family val="2"/>
        <scheme val="minor"/>
      </rPr>
      <t xml:space="preserve">3) </t>
    </r>
    <r>
      <rPr>
        <sz val="11"/>
        <color theme="1"/>
        <rFont val="Calibri"/>
        <family val="2"/>
        <scheme val="minor"/>
      </rPr>
      <t xml:space="preserve">High levels of mTOR, HIF-1α, c-Myc, and PKM2 were associated with a positive chemotherapy response in cervical cancer patients treated with cisplatin-based NACT. </t>
    </r>
    <r>
      <rPr>
        <b/>
        <sz val="11"/>
        <color theme="1"/>
        <rFont val="Calibri"/>
        <family val="2"/>
        <scheme val="minor"/>
      </rPr>
      <t>4) PKM2</t>
    </r>
    <r>
      <rPr>
        <sz val="11"/>
        <color theme="1"/>
        <rFont val="Calibri"/>
        <family val="2"/>
        <scheme val="minor"/>
      </rPr>
      <t xml:space="preserve"> knockdown desensitized cervical cancer cells to </t>
    </r>
    <r>
      <rPr>
        <b/>
        <sz val="11"/>
        <color theme="1"/>
        <rFont val="Calibri"/>
        <family val="2"/>
        <scheme val="minor"/>
      </rPr>
      <t>cisplatin</t>
    </r>
    <r>
      <rPr>
        <sz val="11"/>
        <color theme="1"/>
        <rFont val="Calibri"/>
        <family val="2"/>
        <scheme val="minor"/>
      </rPr>
      <t xml:space="preserve">. </t>
    </r>
    <r>
      <rPr>
        <b/>
        <sz val="11"/>
        <color theme="1"/>
        <rFont val="Calibri"/>
        <family val="2"/>
        <scheme val="minor"/>
      </rPr>
      <t>5) PKM2,</t>
    </r>
    <r>
      <rPr>
        <sz val="11"/>
        <color theme="1"/>
        <rFont val="Calibri"/>
        <family val="2"/>
        <scheme val="minor"/>
      </rPr>
      <t xml:space="preserve"> a glycolytic enzyme for Warburg effect, is strongly upregulated in BC, and contributes to the </t>
    </r>
    <r>
      <rPr>
        <b/>
        <sz val="11"/>
        <color theme="1"/>
        <rFont val="Calibri"/>
        <family val="2"/>
        <scheme val="minor"/>
      </rPr>
      <t>cisplatin</t>
    </r>
    <r>
      <rPr>
        <sz val="11"/>
        <color theme="1"/>
        <rFont val="Calibri"/>
        <family val="2"/>
        <scheme val="minor"/>
      </rPr>
      <t xml:space="preserve"> resistance in </t>
    </r>
    <r>
      <rPr>
        <b/>
        <sz val="11"/>
        <color theme="1"/>
        <rFont val="Calibri"/>
        <family val="2"/>
        <scheme val="minor"/>
      </rPr>
      <t>BC</t>
    </r>
    <r>
      <rPr>
        <sz val="11"/>
        <color theme="1"/>
        <rFont val="Calibri"/>
        <family val="2"/>
        <scheme val="minor"/>
      </rPr>
      <t xml:space="preserve">: the expression level of </t>
    </r>
    <r>
      <rPr>
        <b/>
        <sz val="11"/>
        <color theme="1"/>
        <rFont val="Calibri"/>
        <family val="2"/>
        <scheme val="minor"/>
      </rPr>
      <t>PKM2</t>
    </r>
    <r>
      <rPr>
        <sz val="11"/>
        <color theme="1"/>
        <rFont val="Calibri"/>
        <family val="2"/>
        <scheme val="minor"/>
      </rPr>
      <t xml:space="preserve"> is higher in </t>
    </r>
    <r>
      <rPr>
        <b/>
        <sz val="11"/>
        <color theme="1"/>
        <rFont val="Calibri"/>
        <family val="2"/>
        <scheme val="minor"/>
      </rPr>
      <t>cisplatin</t>
    </r>
    <r>
      <rPr>
        <sz val="11"/>
        <color theme="1"/>
        <rFont val="Calibri"/>
        <family val="2"/>
        <scheme val="minor"/>
      </rPr>
      <t xml:space="preserve"> resistant BC cells and tumors. </t>
    </r>
    <r>
      <rPr>
        <b/>
        <sz val="11"/>
        <color theme="1"/>
        <rFont val="Calibri"/>
        <family val="2"/>
        <scheme val="minor"/>
      </rPr>
      <t xml:space="preserve">6) </t>
    </r>
    <r>
      <rPr>
        <sz val="11"/>
        <color theme="1"/>
        <rFont val="Calibri"/>
        <family val="2"/>
        <scheme val="minor"/>
      </rPr>
      <t xml:space="preserve">Down-regulation of PKM2 by siRNA or inhibition of PKM2 by shikonin re-sensitized the cisplatin resistant T24 cells. </t>
    </r>
    <r>
      <rPr>
        <b/>
        <sz val="11"/>
        <color theme="1"/>
        <rFont val="Calibri"/>
        <family val="2"/>
        <scheme val="minor"/>
      </rPr>
      <t xml:space="preserve">7) </t>
    </r>
    <r>
      <rPr>
        <sz val="11"/>
        <color theme="1"/>
        <rFont val="Calibri"/>
        <family val="2"/>
        <scheme val="minor"/>
      </rPr>
      <t xml:space="preserve">Shikonin and cisplatin together exhibit significantly greater killing effects than when used alone. </t>
    </r>
    <r>
      <rPr>
        <b/>
        <sz val="11"/>
        <color theme="1"/>
        <rFont val="Calibri"/>
        <family val="2"/>
        <scheme val="minor"/>
      </rPr>
      <t>8) Cisplatin</t>
    </r>
    <r>
      <rPr>
        <sz val="11"/>
        <color theme="1"/>
        <rFont val="Calibri"/>
        <family val="2"/>
        <scheme val="minor"/>
      </rPr>
      <t xml:space="preserve">-resistant </t>
    </r>
    <r>
      <rPr>
        <b/>
        <sz val="11"/>
        <color theme="1"/>
        <rFont val="Calibri"/>
        <family val="2"/>
        <scheme val="minor"/>
      </rPr>
      <t>NSCLC</t>
    </r>
    <r>
      <rPr>
        <sz val="11"/>
        <color theme="1"/>
        <rFont val="Calibri"/>
        <family val="2"/>
        <scheme val="minor"/>
      </rPr>
      <t xml:space="preserve"> cells induced by hypoxia transmit resistance to sensitive cells through exosomal </t>
    </r>
    <r>
      <rPr>
        <b/>
        <sz val="11"/>
        <color theme="1"/>
        <rFont val="Calibri"/>
        <family val="2"/>
        <scheme val="minor"/>
      </rPr>
      <t>PKM2</t>
    </r>
    <r>
      <rPr>
        <sz val="11"/>
        <color theme="1"/>
        <rFont val="Calibri"/>
        <family val="2"/>
        <scheme val="minor"/>
      </rPr>
      <t xml:space="preserve">. </t>
    </r>
  </si>
  <si>
    <r>
      <rPr>
        <b/>
        <sz val="11"/>
        <color theme="1"/>
        <rFont val="Calibri"/>
        <family val="2"/>
        <scheme val="minor"/>
      </rPr>
      <t>1)</t>
    </r>
    <r>
      <rPr>
        <sz val="11"/>
        <color theme="1"/>
        <rFont val="Calibri"/>
        <family val="2"/>
        <scheme val="minor"/>
      </rPr>
      <t xml:space="preserve"> miR-100 was lower in cisplatin resistant cell line SKOV3/DDP than in cisplatin sensitive cell line SKOV3. </t>
    </r>
    <r>
      <rPr>
        <b/>
        <sz val="11"/>
        <color theme="1"/>
        <rFont val="Calibri"/>
        <family val="2"/>
        <scheme val="minor"/>
      </rPr>
      <t>2)</t>
    </r>
    <r>
      <rPr>
        <sz val="11"/>
        <color theme="1"/>
        <rFont val="Calibri"/>
        <family val="2"/>
        <scheme val="minor"/>
      </rPr>
      <t xml:space="preserve"> mTOR and </t>
    </r>
    <r>
      <rPr>
        <b/>
        <sz val="11"/>
        <color theme="1"/>
        <rFont val="Calibri"/>
        <family val="2"/>
        <scheme val="minor"/>
      </rPr>
      <t>PLK1</t>
    </r>
    <r>
      <rPr>
        <sz val="11"/>
        <color theme="1"/>
        <rFont val="Calibri"/>
        <family val="2"/>
        <scheme val="minor"/>
      </rPr>
      <t xml:space="preserve"> are targets of miR-100.</t>
    </r>
    <r>
      <rPr>
        <b/>
        <sz val="11"/>
        <color theme="1"/>
        <rFont val="Calibri"/>
        <family val="2"/>
        <scheme val="minor"/>
      </rPr>
      <t xml:space="preserve"> 3) </t>
    </r>
    <r>
      <rPr>
        <sz val="11"/>
        <color theme="1"/>
        <rFont val="Calibri"/>
        <family val="2"/>
        <scheme val="minor"/>
      </rPr>
      <t xml:space="preserve">tumors derived from miR-100 mimic-transfected cells were more sensitive to </t>
    </r>
    <r>
      <rPr>
        <b/>
        <sz val="11"/>
        <color theme="1"/>
        <rFont val="Calibri"/>
        <family val="2"/>
        <scheme val="minor"/>
      </rPr>
      <t xml:space="preserve">cisplatin </t>
    </r>
    <r>
      <rPr>
        <sz val="11"/>
        <color theme="1"/>
        <rFont val="Calibri"/>
        <family val="2"/>
        <scheme val="minor"/>
      </rPr>
      <t xml:space="preserve">and had reduced expression of mTOR and PLK1. </t>
    </r>
    <r>
      <rPr>
        <b/>
        <sz val="11"/>
        <color theme="1"/>
        <rFont val="Calibri"/>
        <family val="2"/>
        <scheme val="minor"/>
      </rPr>
      <t xml:space="preserve">4) </t>
    </r>
    <r>
      <rPr>
        <sz val="11"/>
        <color theme="1"/>
        <rFont val="Calibri"/>
        <family val="2"/>
        <scheme val="minor"/>
      </rPr>
      <t xml:space="preserve">cisplatin-resistant OC cells have anaphase promoting complex/cyclosome (APC/C) dysfunction thus increased spindle checkpoint activity and functional dependency on PLK1 for mitotic exit. </t>
    </r>
    <r>
      <rPr>
        <b/>
        <sz val="11"/>
        <color theme="1"/>
        <rFont val="Calibri"/>
        <family val="2"/>
        <scheme val="minor"/>
      </rPr>
      <t>5)</t>
    </r>
    <r>
      <rPr>
        <sz val="11"/>
        <color theme="1"/>
        <rFont val="Calibri"/>
        <family val="2"/>
        <scheme val="minor"/>
      </rPr>
      <t xml:space="preserve"> PLK1 inhibition decreased the survival of </t>
    </r>
    <r>
      <rPr>
        <b/>
        <sz val="11"/>
        <color theme="1"/>
        <rFont val="Calibri"/>
        <family val="2"/>
        <scheme val="minor"/>
      </rPr>
      <t>cisplatin</t>
    </r>
    <r>
      <rPr>
        <sz val="11"/>
        <color theme="1"/>
        <rFont val="Calibri"/>
        <family val="2"/>
        <scheme val="minor"/>
      </rPr>
      <t xml:space="preserve">-resistant cells in vitro and in vivo and exacerbated spindle checkpoint response in these cells. </t>
    </r>
    <r>
      <rPr>
        <b/>
        <sz val="11"/>
        <color theme="1"/>
        <rFont val="Calibri"/>
        <family val="2"/>
        <scheme val="minor"/>
      </rPr>
      <t>6)</t>
    </r>
    <r>
      <rPr>
        <sz val="11"/>
        <color theme="1"/>
        <rFont val="Calibri"/>
        <family val="2"/>
        <scheme val="minor"/>
      </rPr>
      <t xml:space="preserve"> Both protein expressions were found to correlate with chemoresistance in patients with OCCC. </t>
    </r>
    <r>
      <rPr>
        <b/>
        <sz val="11"/>
        <color theme="1"/>
        <rFont val="Calibri"/>
        <family val="2"/>
        <scheme val="minor"/>
      </rPr>
      <t xml:space="preserve">7) </t>
    </r>
    <r>
      <rPr>
        <sz val="11"/>
        <color theme="1"/>
        <rFont val="Calibri"/>
        <family val="2"/>
        <scheme val="minor"/>
      </rPr>
      <t xml:space="preserve">the combination of </t>
    </r>
    <r>
      <rPr>
        <b/>
        <sz val="11"/>
        <color theme="1"/>
        <rFont val="Calibri"/>
        <family val="2"/>
        <scheme val="minor"/>
      </rPr>
      <t>PLK1</t>
    </r>
    <r>
      <rPr>
        <sz val="11"/>
        <color theme="1"/>
        <rFont val="Calibri"/>
        <family val="2"/>
        <scheme val="minor"/>
      </rPr>
      <t xml:space="preserve"> inhibitor BI2536 and </t>
    </r>
    <r>
      <rPr>
        <b/>
        <sz val="11"/>
        <color theme="1"/>
        <rFont val="Calibri"/>
        <family val="2"/>
        <scheme val="minor"/>
      </rPr>
      <t>DDP</t>
    </r>
    <r>
      <rPr>
        <sz val="11"/>
        <color theme="1"/>
        <rFont val="Calibri"/>
        <family val="2"/>
        <scheme val="minor"/>
      </rPr>
      <t xml:space="preserve"> was synergistic in </t>
    </r>
    <r>
      <rPr>
        <b/>
        <sz val="11"/>
        <color theme="1"/>
        <rFont val="Calibri"/>
        <family val="2"/>
        <scheme val="minor"/>
      </rPr>
      <t>ESCC</t>
    </r>
    <r>
      <rPr>
        <sz val="11"/>
        <color theme="1"/>
        <rFont val="Calibri"/>
        <family val="2"/>
        <scheme val="minor"/>
      </rPr>
      <t xml:space="preserve"> cells, which induced pyroptosis in ESCC cells at low doses. </t>
    </r>
    <r>
      <rPr>
        <b/>
        <sz val="11"/>
        <color theme="1"/>
        <rFont val="Calibri"/>
        <family val="2"/>
        <scheme val="minor"/>
      </rPr>
      <t xml:space="preserve">8) </t>
    </r>
    <r>
      <rPr>
        <sz val="11"/>
        <color theme="1"/>
        <rFont val="Calibri"/>
        <family val="2"/>
        <scheme val="minor"/>
      </rPr>
      <t xml:space="preserve">BI2536 significantly induced DNA damage and impaired the DNA damage repair pathway in DDP-treated cells both in vitro and in vivo. </t>
    </r>
    <r>
      <rPr>
        <b/>
        <sz val="11"/>
        <color theme="1"/>
        <rFont val="Calibri"/>
        <family val="2"/>
        <scheme val="minor"/>
      </rPr>
      <t xml:space="preserve">9) </t>
    </r>
    <r>
      <rPr>
        <sz val="11"/>
        <color theme="1"/>
        <rFont val="Calibri"/>
        <family val="2"/>
        <scheme val="minor"/>
      </rPr>
      <t xml:space="preserve">By downregulating the expression of </t>
    </r>
    <r>
      <rPr>
        <b/>
        <sz val="11"/>
        <color theme="1"/>
        <rFont val="Calibri"/>
        <family val="2"/>
        <scheme val="minor"/>
      </rPr>
      <t>PLK1</t>
    </r>
    <r>
      <rPr>
        <sz val="11"/>
        <color theme="1"/>
        <rFont val="Calibri"/>
        <family val="2"/>
        <scheme val="minor"/>
      </rPr>
      <t xml:space="preserve">, both BI2536 andsi-PLK1 enhanced SGC-7901/DDP sensitivity to DDP, suppressing the proliferation and </t>
    </r>
    <r>
      <rPr>
        <b/>
        <sz val="11"/>
        <color theme="1"/>
        <rFont val="Calibri"/>
        <family val="2"/>
        <scheme val="minor"/>
      </rPr>
      <t>autophagy</t>
    </r>
    <r>
      <rPr>
        <sz val="11"/>
        <color theme="1"/>
        <rFont val="Calibri"/>
        <family val="2"/>
        <scheme val="minor"/>
      </rPr>
      <t xml:space="preserve"> in </t>
    </r>
    <r>
      <rPr>
        <b/>
        <sz val="11"/>
        <color theme="1"/>
        <rFont val="Calibri"/>
        <family val="2"/>
        <scheme val="minor"/>
      </rPr>
      <t>GC</t>
    </r>
    <r>
      <rPr>
        <sz val="11"/>
        <color theme="1"/>
        <rFont val="Calibri"/>
        <family val="2"/>
        <scheme val="minor"/>
      </rPr>
      <t xml:space="preserve"> cells. PLK1 inhibition also resulted in the repression of  </t>
    </r>
    <r>
      <rPr>
        <b/>
        <sz val="11"/>
        <color theme="1"/>
        <rFont val="Calibri"/>
        <family val="2"/>
        <scheme val="minor"/>
      </rPr>
      <t>CDC25C</t>
    </r>
    <r>
      <rPr>
        <sz val="11"/>
        <color theme="1"/>
        <rFont val="Calibri"/>
        <family val="2"/>
        <scheme val="minor"/>
      </rPr>
      <t xml:space="preserve"> and </t>
    </r>
    <r>
      <rPr>
        <b/>
        <sz val="11"/>
        <color theme="1"/>
        <rFont val="Calibri"/>
        <family val="2"/>
        <scheme val="minor"/>
      </rPr>
      <t>cyclin B1</t>
    </r>
    <r>
      <rPr>
        <sz val="11"/>
        <color theme="1"/>
        <rFont val="Calibri"/>
        <family val="2"/>
        <scheme val="minor"/>
      </rPr>
      <t>.</t>
    </r>
  </si>
  <si>
    <r>
      <rPr>
        <b/>
        <sz val="11"/>
        <color theme="1"/>
        <rFont val="Calibri"/>
        <family val="2"/>
        <scheme val="minor"/>
      </rPr>
      <t>1) POLB</t>
    </r>
    <r>
      <rPr>
        <sz val="11"/>
        <color theme="1"/>
        <rFont val="Calibri"/>
        <family val="2"/>
        <scheme val="minor"/>
      </rPr>
      <t xml:space="preserve"> rs3136797 germline mutation encoding P242R DNA polymerase beta (Pol β) is associated with poor prognosis for </t>
    </r>
    <r>
      <rPr>
        <b/>
        <sz val="11"/>
        <color theme="1"/>
        <rFont val="Calibri"/>
        <family val="2"/>
        <scheme val="minor"/>
      </rPr>
      <t>lung</t>
    </r>
    <r>
      <rPr>
        <sz val="11"/>
        <color theme="1"/>
        <rFont val="Calibri"/>
        <family val="2"/>
        <scheme val="minor"/>
      </rPr>
      <t xml:space="preserve"> cancer, specifically in response to treatment with </t>
    </r>
    <r>
      <rPr>
        <b/>
        <sz val="11"/>
        <color theme="1"/>
        <rFont val="Calibri"/>
        <family val="2"/>
        <scheme val="minor"/>
      </rPr>
      <t>cisplatin</t>
    </r>
    <r>
      <rPr>
        <sz val="11"/>
        <color theme="1"/>
        <rFont val="Calibri"/>
        <family val="2"/>
        <scheme val="minor"/>
      </rPr>
      <t xml:space="preserve">. </t>
    </r>
    <r>
      <rPr>
        <b/>
        <sz val="11"/>
        <color theme="1"/>
        <rFont val="Calibri"/>
        <family val="2"/>
        <scheme val="minor"/>
      </rPr>
      <t>2)</t>
    </r>
    <r>
      <rPr>
        <sz val="11"/>
        <color theme="1"/>
        <rFont val="Calibri"/>
        <family val="2"/>
        <scheme val="minor"/>
      </rPr>
      <t xml:space="preserve"> </t>
    </r>
    <r>
      <rPr>
        <b/>
        <sz val="11"/>
        <color theme="1"/>
        <rFont val="Calibri"/>
        <family val="2"/>
        <scheme val="minor"/>
      </rPr>
      <t>Pol β</t>
    </r>
    <r>
      <rPr>
        <sz val="11"/>
        <color theme="1"/>
        <rFont val="Calibri"/>
        <family val="2"/>
        <scheme val="minor"/>
      </rPr>
      <t xml:space="preserve"> preferentially inserts the incorrect nucleotide initiating mismatch repair and cell death. </t>
    </r>
    <r>
      <rPr>
        <b/>
        <sz val="11"/>
        <color theme="1"/>
        <rFont val="Calibri"/>
        <family val="2"/>
        <scheme val="minor"/>
      </rPr>
      <t xml:space="preserve">3) </t>
    </r>
    <r>
      <rPr>
        <sz val="11"/>
        <color theme="1"/>
        <rFont val="Calibri"/>
        <family val="2"/>
        <scheme val="minor"/>
      </rPr>
      <t xml:space="preserve">cells defective in BER display a </t>
    </r>
    <r>
      <rPr>
        <b/>
        <sz val="11"/>
        <color theme="1"/>
        <rFont val="Calibri"/>
        <family val="2"/>
        <scheme val="minor"/>
      </rPr>
      <t>cisplatin</t>
    </r>
    <r>
      <rPr>
        <sz val="11"/>
        <color theme="1"/>
        <rFont val="Calibri"/>
        <family val="2"/>
        <scheme val="minor"/>
      </rPr>
      <t xml:space="preserve">-specific resistant phenotype. </t>
    </r>
    <r>
      <rPr>
        <b/>
        <sz val="11"/>
        <color theme="1"/>
        <rFont val="Calibri"/>
        <family val="2"/>
        <scheme val="minor"/>
      </rPr>
      <t xml:space="preserve">4) </t>
    </r>
    <r>
      <rPr>
        <sz val="11"/>
        <color theme="1"/>
        <rFont val="Calibri"/>
        <family val="2"/>
        <scheme val="minor"/>
      </rPr>
      <t xml:space="preserve">This was accompanied by enhanced repair of </t>
    </r>
    <r>
      <rPr>
        <b/>
        <sz val="11"/>
        <color theme="1"/>
        <rFont val="Calibri"/>
        <family val="2"/>
        <scheme val="minor"/>
      </rPr>
      <t>cisplatin</t>
    </r>
    <r>
      <rPr>
        <sz val="11"/>
        <color theme="1"/>
        <rFont val="Calibri"/>
        <family val="2"/>
        <scheme val="minor"/>
      </rPr>
      <t xml:space="preserve"> interstrand cross-links (ICLs) and ICL-induced DNA double strand breaks, but not intrastrand adducts.</t>
    </r>
    <r>
      <rPr>
        <b/>
        <sz val="11"/>
        <color theme="1"/>
        <rFont val="Calibri"/>
        <family val="2"/>
        <scheme val="minor"/>
      </rPr>
      <t xml:space="preserve"> 5) </t>
    </r>
    <r>
      <rPr>
        <sz val="11"/>
        <color theme="1"/>
        <rFont val="Calibri"/>
        <family val="2"/>
        <scheme val="minor"/>
      </rPr>
      <t xml:space="preserve">Blocking BER with MX as well as deficiency of </t>
    </r>
    <r>
      <rPr>
        <b/>
        <sz val="11"/>
        <color theme="1"/>
        <rFont val="Calibri"/>
        <family val="2"/>
        <scheme val="minor"/>
      </rPr>
      <t>Polβ</t>
    </r>
    <r>
      <rPr>
        <sz val="11"/>
        <color theme="1"/>
        <rFont val="Calibri"/>
        <family val="2"/>
        <scheme val="minor"/>
      </rPr>
      <t xml:space="preserve"> and </t>
    </r>
    <r>
      <rPr>
        <b/>
        <sz val="11"/>
        <color theme="1"/>
        <rFont val="Calibri"/>
        <family val="2"/>
        <scheme val="minor"/>
      </rPr>
      <t>UNG</t>
    </r>
    <r>
      <rPr>
        <sz val="11"/>
        <color theme="1"/>
        <rFont val="Calibri"/>
        <family val="2"/>
        <scheme val="minor"/>
      </rPr>
      <t xml:space="preserve"> conferred resistance to cisplatin treatment. Complementing Polβ in the knockdown cells restored cisplatin sensitivity, implicating the role of </t>
    </r>
    <r>
      <rPr>
        <b/>
        <sz val="11"/>
        <color theme="1"/>
        <rFont val="Calibri"/>
        <family val="2"/>
        <scheme val="minor"/>
      </rPr>
      <t>Polβ</t>
    </r>
    <r>
      <rPr>
        <sz val="11"/>
        <color theme="1"/>
        <rFont val="Calibri"/>
        <family val="2"/>
        <scheme val="minor"/>
      </rPr>
      <t xml:space="preserve"> in </t>
    </r>
    <r>
      <rPr>
        <b/>
        <sz val="11"/>
        <color theme="1"/>
        <rFont val="Calibri"/>
        <family val="2"/>
        <scheme val="minor"/>
      </rPr>
      <t>cisplatin</t>
    </r>
    <r>
      <rPr>
        <sz val="11"/>
        <color theme="1"/>
        <rFont val="Calibri"/>
        <family val="2"/>
        <scheme val="minor"/>
      </rPr>
      <t xml:space="preserve"> resistance. </t>
    </r>
    <r>
      <rPr>
        <b/>
        <sz val="11"/>
        <color theme="1"/>
        <rFont val="Calibri"/>
        <family val="2"/>
        <scheme val="minor"/>
      </rPr>
      <t xml:space="preserve">6) </t>
    </r>
    <r>
      <rPr>
        <sz val="11"/>
        <color theme="1"/>
        <rFont val="Calibri"/>
        <family val="2"/>
        <scheme val="minor"/>
      </rPr>
      <t xml:space="preserve">The T889C mutation was detected in 18 (10.17%) of 177 </t>
    </r>
    <r>
      <rPr>
        <b/>
        <sz val="11"/>
        <color theme="1"/>
        <rFont val="Calibri"/>
        <family val="2"/>
        <scheme val="minor"/>
      </rPr>
      <t>GC</t>
    </r>
    <r>
      <rPr>
        <sz val="11"/>
        <color theme="1"/>
        <rFont val="Calibri"/>
        <family val="2"/>
        <scheme val="minor"/>
      </rPr>
      <t xml:space="preserve"> patients. And the T889C mutation was associated with </t>
    </r>
    <r>
      <rPr>
        <b/>
        <sz val="11"/>
        <color theme="1"/>
        <rFont val="Calibri"/>
        <family val="2"/>
        <scheme val="minor"/>
      </rPr>
      <t>POLB</t>
    </r>
    <r>
      <rPr>
        <sz val="11"/>
        <color theme="1"/>
        <rFont val="Calibri"/>
        <family val="2"/>
        <scheme val="minor"/>
      </rPr>
      <t xml:space="preserve"> overexpression, lymph nodes metastases and poor tumor differentiation. </t>
    </r>
    <r>
      <rPr>
        <b/>
        <sz val="11"/>
        <color theme="1"/>
        <rFont val="Calibri"/>
        <family val="2"/>
        <scheme val="minor"/>
      </rPr>
      <t>7)</t>
    </r>
    <r>
      <rPr>
        <sz val="11"/>
        <color theme="1"/>
        <rFont val="Calibri"/>
        <family val="2"/>
        <scheme val="minor"/>
      </rPr>
      <t xml:space="preserve"> patients with- the mutation had significantly shorter survival time than those without-, following postoperative </t>
    </r>
    <r>
      <rPr>
        <b/>
        <sz val="11"/>
        <color theme="1"/>
        <rFont val="Calibri"/>
        <family val="2"/>
        <scheme val="minor"/>
      </rPr>
      <t>chemotherapy</t>
    </r>
    <r>
      <rPr>
        <sz val="11"/>
        <color theme="1"/>
        <rFont val="Calibri"/>
        <family val="2"/>
        <scheme val="minor"/>
      </rPr>
      <t xml:space="preserve">. </t>
    </r>
    <r>
      <rPr>
        <b/>
        <sz val="11"/>
        <color theme="1"/>
        <rFont val="Calibri"/>
        <family val="2"/>
        <scheme val="minor"/>
      </rPr>
      <t xml:space="preserve">8) </t>
    </r>
    <r>
      <rPr>
        <sz val="11"/>
        <color theme="1"/>
        <rFont val="Calibri"/>
        <family val="2"/>
        <scheme val="minor"/>
      </rPr>
      <t xml:space="preserve">cell lines with T889C mutation in POLB gene were more resistant to the treatment of 5-fluorouracil, </t>
    </r>
    <r>
      <rPr>
        <b/>
        <sz val="11"/>
        <color theme="1"/>
        <rFont val="Calibri"/>
        <family val="2"/>
        <scheme val="minor"/>
      </rPr>
      <t>cisplatin</t>
    </r>
    <r>
      <rPr>
        <sz val="11"/>
        <color theme="1"/>
        <rFont val="Calibri"/>
        <family val="2"/>
        <scheme val="minor"/>
      </rPr>
      <t xml:space="preserve"> and epirubicin than those with wild type POLB. </t>
    </r>
    <r>
      <rPr>
        <b/>
        <sz val="11"/>
        <color theme="1"/>
        <rFont val="Calibri"/>
        <family val="2"/>
        <scheme val="minor"/>
      </rPr>
      <t>9)</t>
    </r>
    <r>
      <rPr>
        <sz val="11"/>
        <color theme="1"/>
        <rFont val="Calibri"/>
        <family val="2"/>
        <scheme val="minor"/>
      </rPr>
      <t xml:space="preserve"> Forced expression of</t>
    </r>
    <r>
      <rPr>
        <b/>
        <sz val="11"/>
        <color theme="1"/>
        <rFont val="Calibri"/>
        <family val="2"/>
        <scheme val="minor"/>
      </rPr>
      <t xml:space="preserve"> POLB</t>
    </r>
    <r>
      <rPr>
        <sz val="11"/>
        <color theme="1"/>
        <rFont val="Calibri"/>
        <family val="2"/>
        <scheme val="minor"/>
      </rPr>
      <t xml:space="preserve"> gene with T889C mutation resulted in enhanced cell proliferation, invasion and resistance to anticancer drugs, along with increased DNA repair capability. </t>
    </r>
  </si>
  <si>
    <r>
      <rPr>
        <b/>
        <sz val="11"/>
        <color theme="1"/>
        <rFont val="Calibri"/>
        <family val="2"/>
        <scheme val="minor"/>
      </rPr>
      <t xml:space="preserve">1) </t>
    </r>
    <r>
      <rPr>
        <sz val="11"/>
        <color theme="1"/>
        <rFont val="Calibri"/>
        <family val="2"/>
        <scheme val="minor"/>
      </rPr>
      <t xml:space="preserve">an elevated expression of DNA polymerase η (Pol η) in </t>
    </r>
    <r>
      <rPr>
        <b/>
        <sz val="11"/>
        <color theme="1"/>
        <rFont val="Calibri"/>
        <family val="2"/>
        <scheme val="minor"/>
      </rPr>
      <t>ovarian</t>
    </r>
    <r>
      <rPr>
        <sz val="11"/>
        <color theme="1"/>
        <rFont val="Calibri"/>
        <family val="2"/>
        <scheme val="minor"/>
      </rPr>
      <t xml:space="preserve"> CSCs isolated from both ovarian cancer cell lines and primary tumors, indicating that CSCs may have intrinsically enhanced translesion DNA synthesis (</t>
    </r>
    <r>
      <rPr>
        <b/>
        <sz val="11"/>
        <color theme="1"/>
        <rFont val="Calibri"/>
        <family val="2"/>
        <scheme val="minor"/>
      </rPr>
      <t>TLS</t>
    </r>
    <r>
      <rPr>
        <sz val="11"/>
        <color theme="1"/>
        <rFont val="Calibri"/>
        <family val="2"/>
        <scheme val="minor"/>
      </rPr>
      <t xml:space="preserve">). </t>
    </r>
    <r>
      <rPr>
        <b/>
        <sz val="11"/>
        <color theme="1"/>
        <rFont val="Calibri"/>
        <family val="2"/>
        <scheme val="minor"/>
      </rPr>
      <t xml:space="preserve">2) </t>
    </r>
    <r>
      <rPr>
        <sz val="11"/>
        <color theme="1"/>
        <rFont val="Calibri"/>
        <family val="2"/>
        <scheme val="minor"/>
      </rPr>
      <t xml:space="preserve">Down-regulation of Pol η blocked </t>
    </r>
    <r>
      <rPr>
        <b/>
        <sz val="11"/>
        <color theme="1"/>
        <rFont val="Calibri"/>
        <family val="2"/>
        <scheme val="minor"/>
      </rPr>
      <t>cisplatin</t>
    </r>
    <r>
      <rPr>
        <sz val="11"/>
        <color theme="1"/>
        <rFont val="Calibri"/>
        <family val="2"/>
        <scheme val="minor"/>
      </rPr>
      <t xml:space="preserve">-induced CSC enrichment both in vitro and in vivo through the enhancement of cisplatin-induced apoptosis in CSCs, indicating that Pol η-mediated TLS contributes to the survival of CSCs upon cisplatin treatment. </t>
    </r>
    <r>
      <rPr>
        <b/>
        <sz val="11"/>
        <color theme="1"/>
        <rFont val="Calibri"/>
        <family val="2"/>
        <scheme val="minor"/>
      </rPr>
      <t>3)</t>
    </r>
    <r>
      <rPr>
        <sz val="11"/>
        <color theme="1"/>
        <rFont val="Calibri"/>
        <family val="2"/>
        <scheme val="minor"/>
      </rPr>
      <t xml:space="preserve"> A depletion of miR-93 in ovarian CSCs - Enforced expression of miR-93 in ovarian CSCs reduced Pol η expression and increased their sensitivity to cisplatin. </t>
    </r>
    <r>
      <rPr>
        <b/>
        <sz val="11"/>
        <color theme="1"/>
        <rFont val="Calibri"/>
        <family val="2"/>
        <scheme val="minor"/>
      </rPr>
      <t xml:space="preserve">4) </t>
    </r>
    <r>
      <rPr>
        <sz val="11"/>
        <color theme="1"/>
        <rFont val="Calibri"/>
        <family val="2"/>
        <scheme val="minor"/>
      </rPr>
      <t xml:space="preserve"> high level of PolH is associated with cisplatin resistance in lung and bladder cancer. </t>
    </r>
    <r>
      <rPr>
        <b/>
        <sz val="11"/>
        <color theme="1"/>
        <rFont val="Calibri"/>
        <family val="2"/>
        <scheme val="minor"/>
      </rPr>
      <t>5)</t>
    </r>
    <r>
      <rPr>
        <sz val="11"/>
        <color theme="1"/>
        <rFont val="Calibri"/>
        <family val="2"/>
        <scheme val="minor"/>
      </rPr>
      <t xml:space="preserve"> loss of PolH markedly attenuates cisplatin resistance in both cisplatin-sensitive and cisplatin-resistant lung cancer cells. </t>
    </r>
  </si>
  <si>
    <r>
      <rPr>
        <b/>
        <sz val="11"/>
        <color theme="1"/>
        <rFont val="Calibri"/>
        <family val="2"/>
        <scheme val="minor"/>
      </rPr>
      <t xml:space="preserve">1) </t>
    </r>
    <r>
      <rPr>
        <sz val="11"/>
        <color theme="1"/>
        <rFont val="Calibri"/>
        <family val="2"/>
        <scheme val="minor"/>
      </rPr>
      <t>strong transcriptional upregulation of the translesion synthesis DNA polymerase kappa (</t>
    </r>
    <r>
      <rPr>
        <b/>
        <sz val="11"/>
        <color theme="1"/>
        <rFont val="Calibri"/>
        <family val="2"/>
        <scheme val="minor"/>
      </rPr>
      <t>Pol κ</t>
    </r>
    <r>
      <rPr>
        <sz val="11"/>
        <color theme="1"/>
        <rFont val="Calibri"/>
        <family val="2"/>
        <scheme val="minor"/>
      </rPr>
      <t xml:space="preserve">), while expression of other DNA polymerases remained unchanged after </t>
    </r>
    <r>
      <rPr>
        <b/>
        <sz val="11"/>
        <color theme="1"/>
        <rFont val="Calibri"/>
        <family val="2"/>
        <scheme val="minor"/>
      </rPr>
      <t>cisplatin</t>
    </r>
    <r>
      <rPr>
        <sz val="11"/>
        <color theme="1"/>
        <rFont val="Calibri"/>
        <family val="2"/>
        <scheme val="minor"/>
      </rPr>
      <t xml:space="preserve"> treatment. </t>
    </r>
    <r>
      <rPr>
        <b/>
        <sz val="11"/>
        <color theme="1"/>
        <rFont val="Calibri"/>
        <family val="2"/>
        <scheme val="minor"/>
      </rPr>
      <t xml:space="preserve">2) </t>
    </r>
    <r>
      <rPr>
        <sz val="11"/>
        <color theme="1"/>
        <rFont val="Calibri"/>
        <family val="2"/>
        <scheme val="minor"/>
      </rPr>
      <t xml:space="preserve">DNA Pol κ is involved in bypass synthesis of diverse DNA lesions and considered a vital player in cellular survival under injurious conditions. </t>
    </r>
    <r>
      <rPr>
        <b/>
        <sz val="11"/>
        <color theme="1"/>
        <rFont val="Calibri"/>
        <family val="2"/>
        <scheme val="minor"/>
      </rPr>
      <t xml:space="preserve">3) </t>
    </r>
    <r>
      <rPr>
        <sz val="11"/>
        <color theme="1"/>
        <rFont val="Calibri"/>
        <family val="2"/>
        <scheme val="minor"/>
      </rPr>
      <t xml:space="preserve">Pol κ targeting siRNA diminished the cisplatin-induced nuclear Pol κ immunoreactivity in DRG neurons and decreased the extent of cisplatin-induced DNA repair synthesis, as reflected in reduced incorporation of thymidine analog into nuclear DNA. </t>
    </r>
    <r>
      <rPr>
        <b/>
        <sz val="11"/>
        <color theme="1"/>
        <rFont val="Calibri"/>
        <family val="2"/>
        <scheme val="minor"/>
      </rPr>
      <t xml:space="preserve">4) </t>
    </r>
    <r>
      <rPr>
        <sz val="11"/>
        <color theme="1"/>
        <rFont val="Calibri"/>
        <family val="2"/>
        <scheme val="minor"/>
      </rPr>
      <t xml:space="preserve">Pol κ depletion exacerbated global transcriptional suppression induced by cisplatin in </t>
    </r>
    <r>
      <rPr>
        <b/>
        <sz val="11"/>
        <color theme="1"/>
        <rFont val="Calibri"/>
        <family val="2"/>
        <scheme val="minor"/>
      </rPr>
      <t>DRG neurons</t>
    </r>
    <r>
      <rPr>
        <sz val="11"/>
        <color theme="1"/>
        <rFont val="Calibri"/>
        <family val="2"/>
        <scheme val="minor"/>
      </rPr>
      <t>. </t>
    </r>
  </si>
  <si>
    <r>
      <rPr>
        <b/>
        <sz val="11"/>
        <color theme="1"/>
        <rFont val="Calibri"/>
        <family val="2"/>
        <scheme val="minor"/>
      </rPr>
      <t xml:space="preserve">1) </t>
    </r>
    <r>
      <rPr>
        <sz val="11"/>
        <color theme="1"/>
        <rFont val="Calibri"/>
        <family val="2"/>
        <scheme val="minor"/>
      </rPr>
      <t>Pol mu bypassed CDDP adducts with an efficiency of 14-35% compared to chain elongation on undamaged DNA, which is second only to pol eta in terms of bypass efficiency.</t>
    </r>
    <r>
      <rPr>
        <b/>
        <sz val="11"/>
        <color theme="1"/>
        <rFont val="Calibri"/>
        <family val="2"/>
        <scheme val="minor"/>
      </rPr>
      <t xml:space="preserve"> 2) </t>
    </r>
    <r>
      <rPr>
        <sz val="11"/>
        <color theme="1"/>
        <rFont val="Calibri"/>
        <family val="2"/>
        <scheme val="minor"/>
      </rPr>
      <t xml:space="preserve">The bypass of Pt-DNA adducts by pol mu was highly error-prone on all templates, resulting in 2, 3, and 4 nt deletions. </t>
    </r>
    <r>
      <rPr>
        <b/>
        <sz val="11"/>
        <color theme="1"/>
        <rFont val="Calibri"/>
        <family val="2"/>
        <scheme val="minor"/>
      </rPr>
      <t xml:space="preserve">3) </t>
    </r>
    <r>
      <rPr>
        <sz val="11"/>
        <color theme="1"/>
        <rFont val="Calibri"/>
        <family val="2"/>
        <scheme val="minor"/>
      </rPr>
      <t xml:space="preserve">bypass of Pt-DNA adducts by pol mu may involve looping out the Pt-GG adduct to allow chain elongation downstream of the adduct. </t>
    </r>
  </si>
  <si>
    <r>
      <rPr>
        <b/>
        <sz val="11"/>
        <color theme="1"/>
        <rFont val="Calibri"/>
        <family val="2"/>
        <scheme val="minor"/>
      </rPr>
      <t xml:space="preserve">1) </t>
    </r>
    <r>
      <rPr>
        <sz val="11"/>
        <color theme="1"/>
        <rFont val="Calibri"/>
        <family val="2"/>
        <scheme val="minor"/>
      </rPr>
      <t>May play a role in TLS during interstrand cross-link (</t>
    </r>
    <r>
      <rPr>
        <b/>
        <sz val="11"/>
        <color theme="1"/>
        <rFont val="Calibri"/>
        <family val="2"/>
        <scheme val="minor"/>
      </rPr>
      <t>ICL</t>
    </r>
    <r>
      <rPr>
        <sz val="11"/>
        <color theme="1"/>
        <rFont val="Calibri"/>
        <family val="2"/>
        <scheme val="minor"/>
      </rPr>
      <t>) repair.</t>
    </r>
    <r>
      <rPr>
        <b/>
        <sz val="11"/>
        <color theme="1"/>
        <rFont val="Calibri"/>
        <family val="2"/>
        <scheme val="minor"/>
      </rPr>
      <t>2)</t>
    </r>
    <r>
      <rPr>
        <sz val="11"/>
        <color theme="1"/>
        <rFont val="Calibri"/>
        <family val="2"/>
        <scheme val="minor"/>
      </rPr>
      <t xml:space="preserve"> A small-scale siRNA screen targeting human DNA polymerases, in HeLa cells for increased sensitivity to the cross-link-inducing drug </t>
    </r>
    <r>
      <rPr>
        <b/>
        <sz val="11"/>
        <color theme="1"/>
        <rFont val="Calibri"/>
        <family val="2"/>
        <scheme val="minor"/>
      </rPr>
      <t>cisplatin:</t>
    </r>
    <r>
      <rPr>
        <sz val="11"/>
        <color theme="1"/>
        <rFont val="Calibri"/>
        <family val="2"/>
        <scheme val="minor"/>
      </rPr>
      <t xml:space="preserve"> Two hits were identified: REV1, and POLN. </t>
    </r>
    <r>
      <rPr>
        <b/>
        <sz val="11"/>
        <color theme="1"/>
        <rFont val="Calibri"/>
        <family val="2"/>
        <scheme val="minor"/>
      </rPr>
      <t>3)</t>
    </r>
    <r>
      <rPr>
        <sz val="11"/>
        <color theme="1"/>
        <rFont val="Calibri"/>
        <family val="2"/>
        <scheme val="minor"/>
      </rPr>
      <t xml:space="preserve"> physical and functional interaction of POLN with factors belonging to the </t>
    </r>
    <r>
      <rPr>
        <b/>
        <sz val="11"/>
        <color theme="1"/>
        <rFont val="Calibri"/>
        <family val="2"/>
        <scheme val="minor"/>
      </rPr>
      <t>Fanconi anemia</t>
    </r>
    <r>
      <rPr>
        <sz val="11"/>
        <color theme="1"/>
        <rFont val="Calibri"/>
        <family val="2"/>
        <scheme val="minor"/>
      </rPr>
      <t xml:space="preserve"> pathway, and interacts and cooperates in DNA repair with the helicase HEL308. </t>
    </r>
  </si>
  <si>
    <r>
      <rPr>
        <b/>
        <sz val="11"/>
        <color theme="1"/>
        <rFont val="Calibri"/>
        <family val="2"/>
        <scheme val="minor"/>
      </rPr>
      <t xml:space="preserve">1) </t>
    </r>
    <r>
      <rPr>
        <sz val="11"/>
        <color theme="1"/>
        <rFont val="Calibri"/>
        <family val="2"/>
        <scheme val="minor"/>
      </rPr>
      <t>expression of translesion synthesis (</t>
    </r>
    <r>
      <rPr>
        <b/>
        <sz val="11"/>
        <color theme="1"/>
        <rFont val="Calibri"/>
        <family val="2"/>
        <scheme val="minor"/>
      </rPr>
      <t>TLS</t>
    </r>
    <r>
      <rPr>
        <sz val="11"/>
        <color theme="1"/>
        <rFont val="Calibri"/>
        <family val="2"/>
        <scheme val="minor"/>
      </rPr>
      <t>) polymerase Q (</t>
    </r>
    <r>
      <rPr>
        <b/>
        <sz val="11"/>
        <color theme="1"/>
        <rFont val="Calibri"/>
        <family val="2"/>
        <scheme val="minor"/>
      </rPr>
      <t>POLQ</t>
    </r>
    <r>
      <rPr>
        <sz val="11"/>
        <color theme="1"/>
        <rFont val="Calibri"/>
        <family val="2"/>
        <scheme val="minor"/>
      </rPr>
      <t xml:space="preserve">) was significantly elevated by exposure of lung cancer cells A549/DR (a </t>
    </r>
    <r>
      <rPr>
        <b/>
        <sz val="11"/>
        <color theme="1"/>
        <rFont val="Calibri"/>
        <family val="2"/>
        <scheme val="minor"/>
      </rPr>
      <t>cisplatin</t>
    </r>
    <r>
      <rPr>
        <sz val="11"/>
        <color theme="1"/>
        <rFont val="Calibri"/>
        <family val="2"/>
        <scheme val="minor"/>
      </rPr>
      <t xml:space="preserve">-resistant A549 cell line) to cisplatin. </t>
    </r>
    <r>
      <rPr>
        <b/>
        <sz val="11"/>
        <color theme="1"/>
        <rFont val="Calibri"/>
        <family val="2"/>
        <scheme val="minor"/>
      </rPr>
      <t xml:space="preserve">2) </t>
    </r>
    <r>
      <rPr>
        <sz val="11"/>
        <color theme="1"/>
        <rFont val="Calibri"/>
        <family val="2"/>
        <scheme val="minor"/>
      </rPr>
      <t xml:space="preserve">POLQ expression correlated inversely with HR activity. </t>
    </r>
    <r>
      <rPr>
        <b/>
        <sz val="11"/>
        <color theme="1"/>
        <rFont val="Calibri"/>
        <family val="2"/>
        <scheme val="minor"/>
      </rPr>
      <t xml:space="preserve">3) </t>
    </r>
    <r>
      <rPr>
        <sz val="11"/>
        <color theme="1"/>
        <rFont val="Calibri"/>
        <family val="2"/>
        <scheme val="minor"/>
      </rPr>
      <t xml:space="preserve">Co-depletion of BRCA2 and POLQ by siRNA markedly increased sensitivity of A549/DR cells to cisplatin. </t>
    </r>
    <r>
      <rPr>
        <b/>
        <sz val="11"/>
        <color theme="1"/>
        <rFont val="Calibri"/>
        <family val="2"/>
        <scheme val="minor"/>
      </rPr>
      <t xml:space="preserve">4) </t>
    </r>
    <r>
      <rPr>
        <sz val="11"/>
        <color theme="1"/>
        <rFont val="Calibri"/>
        <family val="2"/>
        <scheme val="minor"/>
      </rPr>
      <t xml:space="preserve">Similar results were observed in A549/DR cells co-depleted of BRCA2 and POLQ following BMN673 (a PARP inhibitor) treatment. </t>
    </r>
    <r>
      <rPr>
        <b/>
        <sz val="11"/>
        <color theme="1"/>
        <rFont val="Calibri"/>
        <family val="2"/>
        <scheme val="minor"/>
      </rPr>
      <t>5)</t>
    </r>
    <r>
      <rPr>
        <sz val="11"/>
        <color theme="1"/>
        <rFont val="Calibri"/>
        <family val="2"/>
        <scheme val="minor"/>
      </rPr>
      <t xml:space="preserve"> the sensitization effects to cisplatin and BMN673 in A549/DR cells by co-depleting BRCA2 and POLQ was stronger than those by co-depleting BRCA2 and other TLS factors including POLH, REV3, or REV1. </t>
    </r>
  </si>
  <si>
    <r>
      <rPr>
        <b/>
        <sz val="11"/>
        <color theme="1"/>
        <rFont val="Calibri"/>
        <family val="2"/>
        <scheme val="minor"/>
      </rPr>
      <t xml:space="preserve">1) </t>
    </r>
    <r>
      <rPr>
        <sz val="11"/>
        <color theme="1"/>
        <rFont val="Calibri"/>
        <family val="2"/>
        <scheme val="minor"/>
      </rPr>
      <t xml:space="preserve">periostin (POSTN) was overexpressed in cancer stroma in epithelial </t>
    </r>
    <r>
      <rPr>
        <b/>
        <sz val="11"/>
        <color theme="1"/>
        <rFont val="Calibri"/>
        <family val="2"/>
        <scheme val="minor"/>
      </rPr>
      <t>ovarian</t>
    </r>
    <r>
      <rPr>
        <sz val="11"/>
        <color theme="1"/>
        <rFont val="Calibri"/>
        <family val="2"/>
        <scheme val="minor"/>
      </rPr>
      <t xml:space="preserve"> cancer (EOC) patients. </t>
    </r>
    <r>
      <rPr>
        <b/>
        <sz val="11"/>
        <color theme="1"/>
        <rFont val="Calibri"/>
        <family val="2"/>
        <scheme val="minor"/>
      </rPr>
      <t>2)</t>
    </r>
    <r>
      <rPr>
        <sz val="11"/>
        <color theme="1"/>
        <rFont val="Calibri"/>
        <family val="2"/>
        <scheme val="minor"/>
      </rPr>
      <t xml:space="preserve"> patients with high levels of stromal POSTN tend to have higher percentage of </t>
    </r>
    <r>
      <rPr>
        <b/>
        <sz val="11"/>
        <color theme="1"/>
        <rFont val="Calibri"/>
        <family val="2"/>
        <scheme val="minor"/>
      </rPr>
      <t>cisplatin </t>
    </r>
    <r>
      <rPr>
        <sz val="11"/>
        <color theme="1"/>
        <rFont val="Calibri"/>
        <family val="2"/>
        <scheme val="minor"/>
      </rPr>
      <t xml:space="preserve">resistance compared to those with low levels of stromal POSTN. </t>
    </r>
    <r>
      <rPr>
        <b/>
        <sz val="11"/>
        <color theme="1"/>
        <rFont val="Calibri"/>
        <family val="2"/>
        <scheme val="minor"/>
      </rPr>
      <t>3) </t>
    </r>
    <r>
      <rPr>
        <sz val="11"/>
        <color theme="1"/>
        <rFont val="Calibri"/>
        <family val="2"/>
        <scheme val="minor"/>
      </rPr>
      <t xml:space="preserve">POSTN treatment can induce cisplatin resistant and activate AKT pathway in A2780 cells in vitro. </t>
    </r>
    <r>
      <rPr>
        <b/>
        <sz val="11"/>
        <color theme="1"/>
        <rFont val="Calibri"/>
        <family val="2"/>
        <scheme val="minor"/>
      </rPr>
      <t>4)</t>
    </r>
    <r>
      <rPr>
        <sz val="11"/>
        <color theme="1"/>
        <rFont val="Calibri"/>
        <family val="2"/>
        <scheme val="minor"/>
      </rPr>
      <t xml:space="preserve"> Inhibition of AKT activity by AKT inhibitor MK-2206 abolished POSTN-induced AKT activation and cisplatin resistance in vitro. </t>
    </r>
  </si>
  <si>
    <r>
      <rPr>
        <b/>
        <sz val="11"/>
        <color theme="1"/>
        <rFont val="Calibri"/>
        <family val="2"/>
        <scheme val="minor"/>
      </rPr>
      <t>1)</t>
    </r>
    <r>
      <rPr>
        <sz val="11"/>
        <color theme="1"/>
        <rFont val="Calibri"/>
        <family val="2"/>
        <scheme val="minor"/>
      </rPr>
      <t xml:space="preserve"> site-specific differences in phospho-Ser-Chk1 content is different between sensitive and resistant cells in response to CDDP; </t>
    </r>
    <r>
      <rPr>
        <b/>
        <sz val="11"/>
        <color theme="1"/>
        <rFont val="Calibri"/>
        <family val="2"/>
        <scheme val="minor"/>
      </rPr>
      <t xml:space="preserve">2) </t>
    </r>
    <r>
      <rPr>
        <sz val="11"/>
        <color theme="1"/>
        <rFont val="Calibri"/>
        <family val="2"/>
        <scheme val="minor"/>
      </rPr>
      <t xml:space="preserve">PPM1D, but not ATM or ATR, is important in the regulation of CDDP-induced Chk1 activation and OVCA cell chemosensitivity; </t>
    </r>
    <r>
      <rPr>
        <b/>
        <sz val="11"/>
        <color theme="1"/>
        <rFont val="Calibri"/>
        <family val="2"/>
        <scheme val="minor"/>
      </rPr>
      <t xml:space="preserve">3) </t>
    </r>
    <r>
      <rPr>
        <sz val="11"/>
        <color theme="1"/>
        <rFont val="Calibri"/>
        <family val="2"/>
        <scheme val="minor"/>
      </rPr>
      <t xml:space="preserve">PPM1D downregulation sensitizes resistant cells to CDDP primarily by activating Chk1 and p53. </t>
    </r>
    <r>
      <rPr>
        <b/>
        <sz val="11"/>
        <color theme="1"/>
        <rFont val="Calibri"/>
        <family val="2"/>
        <scheme val="minor"/>
      </rPr>
      <t>4)</t>
    </r>
    <r>
      <rPr>
        <sz val="11"/>
        <color theme="1"/>
        <rFont val="Calibri"/>
        <family val="2"/>
        <scheme val="minor"/>
      </rPr>
      <t xml:space="preserve"> CDDP induced PPM1D down-regulation in sensitive CECA cells; </t>
    </r>
    <r>
      <rPr>
        <b/>
        <sz val="11"/>
        <color theme="1"/>
        <rFont val="Calibri"/>
        <family val="2"/>
        <scheme val="minor"/>
      </rPr>
      <t xml:space="preserve">5) </t>
    </r>
    <r>
      <rPr>
        <sz val="11"/>
        <color theme="1"/>
        <rFont val="Calibri"/>
        <family val="2"/>
        <scheme val="minor"/>
      </rPr>
      <t>CDDP induced PPM1D nuclear localization in resistant CECA cells, and nuclear exclusion in sensitive CECA cells and OVCA xenografts;</t>
    </r>
    <r>
      <rPr>
        <b/>
        <sz val="11"/>
        <color theme="1"/>
        <rFont val="Calibri"/>
        <family val="2"/>
        <scheme val="minor"/>
      </rPr>
      <t xml:space="preserve"> 6) </t>
    </r>
    <r>
      <rPr>
        <sz val="11"/>
        <color theme="1"/>
        <rFont val="Calibri"/>
        <family val="2"/>
        <scheme val="minor"/>
      </rPr>
      <t xml:space="preserve">Over-expression of active Akt in sensitive CECA cells stabilized PPM1D content; </t>
    </r>
    <r>
      <rPr>
        <b/>
        <sz val="11"/>
        <color theme="1"/>
        <rFont val="Calibri"/>
        <family val="2"/>
        <scheme val="minor"/>
      </rPr>
      <t xml:space="preserve">7) </t>
    </r>
    <r>
      <rPr>
        <sz val="11"/>
        <color theme="1"/>
        <rFont val="Calibri"/>
        <family val="2"/>
        <scheme val="minor"/>
      </rPr>
      <t xml:space="preserve">Inhibition of Akt activity in resistant OVCA cells leads to decreased PPM1D stability and CDDP-induced down-regulation in resistant CECA cells; </t>
    </r>
    <r>
      <rPr>
        <b/>
        <sz val="11"/>
        <color theme="1"/>
        <rFont val="Calibri"/>
        <family val="2"/>
        <scheme val="minor"/>
      </rPr>
      <t xml:space="preserve">8) </t>
    </r>
    <r>
      <rPr>
        <sz val="11"/>
        <color theme="1"/>
        <rFont val="Calibri"/>
        <family val="2"/>
        <scheme val="minor"/>
      </rPr>
      <t xml:space="preserve">PPM1D is highly expressed in human ovarian tumor subtypes and in a tissue microarray panel of ovarian tumors. </t>
    </r>
  </si>
  <si>
    <r>
      <rPr>
        <b/>
        <sz val="11"/>
        <color theme="1"/>
        <rFont val="Calibri"/>
        <family val="2"/>
        <scheme val="minor"/>
      </rPr>
      <t xml:space="preserve">1) </t>
    </r>
    <r>
      <rPr>
        <sz val="11"/>
        <color theme="1"/>
        <rFont val="Calibri"/>
        <family val="2"/>
        <scheme val="minor"/>
      </rPr>
      <t>The expression of</t>
    </r>
    <r>
      <rPr>
        <b/>
        <sz val="11"/>
        <color theme="1"/>
        <rFont val="Calibri"/>
        <family val="2"/>
        <scheme val="minor"/>
      </rPr>
      <t xml:space="preserve"> PP2A</t>
    </r>
    <r>
      <rPr>
        <sz val="11"/>
        <color theme="1"/>
        <rFont val="Calibri"/>
        <family val="2"/>
        <scheme val="minor"/>
      </rPr>
      <t xml:space="preserve"> catalytic subunit, (PP2Ac) was reduced in A2780/</t>
    </r>
    <r>
      <rPr>
        <b/>
        <sz val="11"/>
        <color theme="1"/>
        <rFont val="Calibri"/>
        <family val="2"/>
        <scheme val="minor"/>
      </rPr>
      <t xml:space="preserve">CDDP 2) </t>
    </r>
    <r>
      <rPr>
        <sz val="11"/>
        <color theme="1"/>
        <rFont val="Calibri"/>
        <family val="2"/>
        <scheme val="minor"/>
      </rPr>
      <t xml:space="preserve">in cisplatin-resistant patients' tissues compared with A2780 and </t>
    </r>
    <r>
      <rPr>
        <b/>
        <i/>
        <sz val="11"/>
        <color theme="1"/>
        <rFont val="Calibri"/>
        <family val="2"/>
        <scheme val="minor"/>
      </rPr>
      <t>cisplatin</t>
    </r>
    <r>
      <rPr>
        <sz val="11"/>
        <color theme="1"/>
        <rFont val="Calibri"/>
        <family val="2"/>
        <scheme val="minor"/>
      </rPr>
      <t xml:space="preserve">-sensitive patients. </t>
    </r>
    <r>
      <rPr>
        <b/>
        <sz val="11"/>
        <color theme="1"/>
        <rFont val="Calibri"/>
        <family val="2"/>
        <scheme val="minor"/>
      </rPr>
      <t>3)</t>
    </r>
    <r>
      <rPr>
        <sz val="11"/>
        <color theme="1"/>
        <rFont val="Calibri"/>
        <family val="2"/>
        <scheme val="minor"/>
      </rPr>
      <t xml:space="preserve"> Knocking down of </t>
    </r>
    <r>
      <rPr>
        <b/>
        <sz val="11"/>
        <color theme="1"/>
        <rFont val="Calibri"/>
        <family val="2"/>
        <scheme val="minor"/>
      </rPr>
      <t>PP2A</t>
    </r>
    <r>
      <rPr>
        <sz val="11"/>
        <color theme="1"/>
        <rFont val="Calibri"/>
        <family val="2"/>
        <scheme val="minor"/>
      </rPr>
      <t xml:space="preserve"> promoted autophagy suppressed DDP-induced apoptosis and cell death. </t>
    </r>
    <r>
      <rPr>
        <b/>
        <sz val="11"/>
        <color theme="1"/>
        <rFont val="Calibri"/>
        <family val="2"/>
        <scheme val="minor"/>
      </rPr>
      <t xml:space="preserve">4) </t>
    </r>
    <r>
      <rPr>
        <sz val="11"/>
        <color theme="1"/>
        <rFont val="Calibri"/>
        <family val="2"/>
        <scheme val="minor"/>
      </rPr>
      <t xml:space="preserve">overexpression of PP2Ac or reinduction of the activity of PP2A by FTY720 decreased autophagy but increased cell death induced by CDDP. </t>
    </r>
    <r>
      <rPr>
        <b/>
        <sz val="11"/>
        <color theme="1"/>
        <rFont val="Calibri"/>
        <family val="2"/>
        <scheme val="minor"/>
      </rPr>
      <t xml:space="preserve">5) </t>
    </r>
    <r>
      <rPr>
        <sz val="11"/>
        <color theme="1"/>
        <rFont val="Calibri"/>
        <family val="2"/>
        <scheme val="minor"/>
      </rPr>
      <t xml:space="preserve">apoptosis suppressed by the knocking down of PP2Ac can be reversed by the administration of autophagy inhibitor 3-methyladenine. </t>
    </r>
    <r>
      <rPr>
        <b/>
        <sz val="11"/>
        <color theme="1"/>
        <rFont val="Calibri"/>
        <family val="2"/>
        <scheme val="minor"/>
      </rPr>
      <t xml:space="preserve">6) </t>
    </r>
    <r>
      <rPr>
        <sz val="11"/>
        <color theme="1"/>
        <rFont val="Calibri"/>
        <family val="2"/>
        <scheme val="minor"/>
      </rPr>
      <t xml:space="preserve">The elevated accumulation of microtubule-associated protein 1 light chain 3-II (LC3II) and the decline of the autophagy substrate p62 were also observed in PP2Ac-small interfering RNA transfected cells. </t>
    </r>
    <r>
      <rPr>
        <b/>
        <sz val="11"/>
        <color theme="1"/>
        <rFont val="Calibri"/>
        <family val="2"/>
        <scheme val="minor"/>
      </rPr>
      <t xml:space="preserve">7) </t>
    </r>
    <r>
      <rPr>
        <sz val="11"/>
        <color theme="1"/>
        <rFont val="Calibri"/>
        <family val="2"/>
        <scheme val="minor"/>
      </rPr>
      <t>overexpression of PP2Ac suppressed the accumulation of LC3II and restored p62.</t>
    </r>
  </si>
  <si>
    <r>
      <rPr>
        <b/>
        <sz val="11"/>
        <color theme="1"/>
        <rFont val="Calibri"/>
        <family val="2"/>
        <scheme val="minor"/>
      </rPr>
      <t>1)</t>
    </r>
    <r>
      <rPr>
        <sz val="11"/>
        <color theme="1"/>
        <rFont val="Calibri"/>
        <family val="2"/>
        <scheme val="minor"/>
      </rPr>
      <t xml:space="preserve"> loss-of-function screen that identifies the PP2A heterotrimeric serine/threonine phosphatases </t>
    </r>
    <r>
      <rPr>
        <b/>
        <sz val="11"/>
        <color theme="1"/>
        <rFont val="Calibri"/>
        <family val="2"/>
        <scheme val="minor"/>
      </rPr>
      <t>PPP2R2A</t>
    </r>
    <r>
      <rPr>
        <sz val="11"/>
        <color theme="1"/>
        <rFont val="Calibri"/>
        <family val="2"/>
        <scheme val="minor"/>
      </rPr>
      <t xml:space="preserve">, PPP2R2D, PPP2R5A, and PPP2R3C in double-strand break (DSB) repair. </t>
    </r>
    <r>
      <rPr>
        <b/>
        <sz val="11"/>
        <color theme="1"/>
        <rFont val="Calibri"/>
        <family val="2"/>
        <scheme val="minor"/>
      </rPr>
      <t xml:space="preserve">2) </t>
    </r>
    <r>
      <rPr>
        <sz val="11"/>
        <color theme="1"/>
        <rFont val="Calibri"/>
        <family val="2"/>
        <scheme val="minor"/>
      </rPr>
      <t xml:space="preserve">PPP2R2A-containing complexes directly dephosphorylated </t>
    </r>
    <r>
      <rPr>
        <b/>
        <sz val="11"/>
        <color theme="1"/>
        <rFont val="Calibri"/>
        <family val="2"/>
        <scheme val="minor"/>
      </rPr>
      <t>ATM</t>
    </r>
    <r>
      <rPr>
        <sz val="11"/>
        <color theme="1"/>
        <rFont val="Calibri"/>
        <family val="2"/>
        <scheme val="minor"/>
      </rPr>
      <t xml:space="preserve"> at S367, S1893, and S1981 to regulate its retention at DSB sites. </t>
    </r>
    <r>
      <rPr>
        <b/>
        <sz val="11"/>
        <color theme="1"/>
        <rFont val="Calibri"/>
        <family val="2"/>
        <scheme val="minor"/>
      </rPr>
      <t>3)</t>
    </r>
    <r>
      <rPr>
        <sz val="11"/>
        <color theme="1"/>
        <rFont val="Calibri"/>
        <family val="2"/>
        <scheme val="minor"/>
      </rPr>
      <t xml:space="preserve"> Increased miR-222 levels are associated with a poor prognosis in patients with </t>
    </r>
    <r>
      <rPr>
        <b/>
        <sz val="11"/>
        <color theme="1"/>
        <rFont val="Calibri"/>
        <family val="2"/>
        <scheme val="minor"/>
      </rPr>
      <t>bladder</t>
    </r>
    <r>
      <rPr>
        <sz val="11"/>
        <color theme="1"/>
        <rFont val="Calibri"/>
        <family val="2"/>
        <scheme val="minor"/>
      </rPr>
      <t xml:space="preserve"> cancer. </t>
    </r>
    <r>
      <rPr>
        <b/>
        <sz val="11"/>
        <color theme="1"/>
        <rFont val="Calibri"/>
        <family val="2"/>
        <scheme val="minor"/>
      </rPr>
      <t xml:space="preserve">4) </t>
    </r>
    <r>
      <rPr>
        <sz val="11"/>
        <color theme="1"/>
        <rFont val="Calibri"/>
        <family val="2"/>
        <scheme val="minor"/>
      </rPr>
      <t xml:space="preserve">miR-222 activated the Akt/mTOR pathway and inhibited </t>
    </r>
    <r>
      <rPr>
        <b/>
        <sz val="11"/>
        <color theme="1"/>
        <rFont val="Calibri"/>
        <family val="2"/>
        <scheme val="minor"/>
      </rPr>
      <t>cisplatin</t>
    </r>
    <r>
      <rPr>
        <sz val="11"/>
        <color theme="1"/>
        <rFont val="Calibri"/>
        <family val="2"/>
        <scheme val="minor"/>
      </rPr>
      <t xml:space="preserve">-induced autophagy in bladder cancer cells by directly targeting protein phosphatase 2A subunit B (PPP2R2A). </t>
    </r>
    <r>
      <rPr>
        <b/>
        <sz val="11"/>
        <color theme="1"/>
        <rFont val="Calibri"/>
        <family val="2"/>
        <scheme val="minor"/>
      </rPr>
      <t xml:space="preserve">5) </t>
    </r>
    <r>
      <rPr>
        <sz val="11"/>
        <color theme="1"/>
        <rFont val="Calibri"/>
        <family val="2"/>
        <scheme val="minor"/>
      </rPr>
      <t xml:space="preserve">Blocking the activation of Akt with LY294002 or mTOR with rapamycin significantly prevented miR-222-induced proliferation and restored the sensitivity of bladder cancer cells to </t>
    </r>
    <r>
      <rPr>
        <b/>
        <sz val="11"/>
        <color theme="1"/>
        <rFont val="Calibri"/>
        <family val="2"/>
        <scheme val="minor"/>
      </rPr>
      <t>cisplatin</t>
    </r>
    <r>
      <rPr>
        <sz val="11"/>
        <color theme="1"/>
        <rFont val="Calibri"/>
        <family val="2"/>
        <scheme val="minor"/>
      </rPr>
      <t xml:space="preserve">. </t>
    </r>
    <r>
      <rPr>
        <b/>
        <sz val="11"/>
        <color theme="1"/>
        <rFont val="Calibri"/>
        <family val="2"/>
        <scheme val="minor"/>
      </rPr>
      <t>6)</t>
    </r>
    <r>
      <rPr>
        <sz val="11"/>
        <color theme="1"/>
        <rFont val="Calibri"/>
        <family val="2"/>
        <scheme val="minor"/>
      </rPr>
      <t xml:space="preserve"> miR-221 directly targets PPP2R2A in </t>
    </r>
    <r>
      <rPr>
        <b/>
        <sz val="11"/>
        <color theme="1"/>
        <rFont val="Calibri"/>
        <family val="2"/>
        <scheme val="minor"/>
      </rPr>
      <t>osteosarcoma</t>
    </r>
    <r>
      <rPr>
        <sz val="11"/>
        <color theme="1"/>
        <rFont val="Calibri"/>
        <family val="2"/>
        <scheme val="minor"/>
      </rPr>
      <t xml:space="preserve"> by binding to the 3'-UTR of the PPP2R2A mRNA; Restoration of PPP2R2A in miR-221-overexpressing OS cells recovers the </t>
    </r>
    <r>
      <rPr>
        <b/>
        <sz val="11"/>
        <color theme="1"/>
        <rFont val="Calibri"/>
        <family val="2"/>
        <scheme val="minor"/>
      </rPr>
      <t>cisplatin</t>
    </r>
    <r>
      <rPr>
        <sz val="11"/>
        <color theme="1"/>
        <rFont val="Calibri"/>
        <family val="2"/>
        <scheme val="minor"/>
      </rPr>
      <t xml:space="preserve"> sensitivity of OS cells. </t>
    </r>
  </si>
  <si>
    <r>
      <rPr>
        <b/>
        <sz val="11"/>
        <color theme="1"/>
        <rFont val="Calibri"/>
        <family val="2"/>
        <scheme val="minor"/>
      </rPr>
      <t xml:space="preserve">1) </t>
    </r>
    <r>
      <rPr>
        <sz val="11"/>
        <color theme="1"/>
        <rFont val="Calibri"/>
        <family val="2"/>
        <scheme val="minor"/>
      </rPr>
      <t>the aberrant expression of PRDX3 in</t>
    </r>
    <r>
      <rPr>
        <b/>
        <sz val="11"/>
        <color theme="1"/>
        <rFont val="Calibri"/>
        <family val="2"/>
        <scheme val="minor"/>
      </rPr>
      <t xml:space="preserve"> ovarian</t>
    </r>
    <r>
      <rPr>
        <sz val="11"/>
        <color theme="1"/>
        <rFont val="Calibri"/>
        <family val="2"/>
        <scheme val="minor"/>
      </rPr>
      <t xml:space="preserve"> cancer may be a factor responsible for its progression. </t>
    </r>
    <r>
      <rPr>
        <b/>
        <sz val="11"/>
        <color theme="1"/>
        <rFont val="Calibri"/>
        <family val="2"/>
        <scheme val="minor"/>
      </rPr>
      <t>2)</t>
    </r>
    <r>
      <rPr>
        <sz val="11"/>
        <color theme="1"/>
        <rFont val="Calibri"/>
        <family val="2"/>
        <scheme val="minor"/>
      </rPr>
      <t xml:space="preserve"> siRNA downregulation of PRDX3 decreased the growth of the SKOV3 cells in vitro and in vivo. </t>
    </r>
    <r>
      <rPr>
        <b/>
        <sz val="11"/>
        <color theme="1"/>
        <rFont val="Calibri"/>
        <family val="2"/>
        <scheme val="minor"/>
      </rPr>
      <t>3)</t>
    </r>
    <r>
      <rPr>
        <sz val="11"/>
        <color theme="1"/>
        <rFont val="Calibri"/>
        <family val="2"/>
        <scheme val="minor"/>
      </rPr>
      <t xml:space="preserve"> silencing of PRDX3 triggered cisplatin‑mediated apoptosis in the ovarian cancer cells, which may act through suppression of the NF‑κB signaling pathway. </t>
    </r>
    <r>
      <rPr>
        <b/>
        <sz val="11"/>
        <color theme="1"/>
        <rFont val="Calibri"/>
        <family val="2"/>
        <scheme val="minor"/>
      </rPr>
      <t>4) T</t>
    </r>
    <r>
      <rPr>
        <sz val="11"/>
        <color theme="1"/>
        <rFont val="Calibri"/>
        <family val="2"/>
        <scheme val="minor"/>
      </rPr>
      <t xml:space="preserve">he Pt-resistant group had significantly higher PRX III protein compared to the Pt-sensitive group. </t>
    </r>
    <r>
      <rPr>
        <b/>
        <sz val="11"/>
        <color theme="1"/>
        <rFont val="Calibri"/>
        <family val="2"/>
        <scheme val="minor"/>
      </rPr>
      <t xml:space="preserve">5) </t>
    </r>
    <r>
      <rPr>
        <sz val="11"/>
        <color theme="1"/>
        <rFont val="Calibri"/>
        <family val="2"/>
        <scheme val="minor"/>
      </rPr>
      <t xml:space="preserve">The two groups showed no significant differences in pathological classification and age, although they differed significantly in tissue differentiation and stage. </t>
    </r>
    <r>
      <rPr>
        <b/>
        <sz val="11"/>
        <color theme="1"/>
        <rFont val="Calibri"/>
        <family val="2"/>
        <scheme val="minor"/>
      </rPr>
      <t xml:space="preserve">6) </t>
    </r>
    <r>
      <rPr>
        <sz val="11"/>
        <color theme="1"/>
        <rFont val="Calibri"/>
        <family val="2"/>
        <scheme val="minor"/>
      </rPr>
      <t xml:space="preserve">PRX III protein was significantly higher in the Pt-resistant serous carcinomas, in moderately and poorly differentiated, and in stage III and IV ovarian cancer tissues compared to the Pt-sensitive group. </t>
    </r>
  </si>
  <si>
    <r>
      <rPr>
        <b/>
        <sz val="11"/>
        <color theme="1"/>
        <rFont val="Calibri"/>
        <family val="2"/>
        <scheme val="minor"/>
      </rPr>
      <t xml:space="preserve">1) </t>
    </r>
    <r>
      <rPr>
        <sz val="11"/>
        <color theme="1"/>
        <rFont val="Calibri"/>
        <family val="2"/>
        <scheme val="minor"/>
      </rPr>
      <t xml:space="preserve">A low expression of </t>
    </r>
    <r>
      <rPr>
        <b/>
        <sz val="11"/>
        <color theme="1"/>
        <rFont val="Calibri"/>
        <family val="2"/>
        <scheme val="minor"/>
      </rPr>
      <t>pAMPK</t>
    </r>
    <r>
      <rPr>
        <sz val="11"/>
        <color theme="1"/>
        <rFont val="Calibri"/>
        <family val="2"/>
        <scheme val="minor"/>
      </rPr>
      <t xml:space="preserve"> was found to be correlated with better RFS in patients with resected gastric cancer treated with adjuvant </t>
    </r>
    <r>
      <rPr>
        <b/>
        <sz val="11"/>
        <color theme="1"/>
        <rFont val="Calibri"/>
        <family val="2"/>
        <scheme val="minor"/>
      </rPr>
      <t>cisplatin</t>
    </r>
    <r>
      <rPr>
        <sz val="11"/>
        <color theme="1"/>
        <rFont val="Calibri"/>
        <family val="2"/>
        <scheme val="minor"/>
      </rPr>
      <t>-based chemotherapy.</t>
    </r>
    <r>
      <rPr>
        <b/>
        <sz val="11"/>
        <color theme="1"/>
        <rFont val="Calibri"/>
        <family val="2"/>
        <scheme val="minor"/>
      </rPr>
      <t xml:space="preserve"> 2)</t>
    </r>
    <r>
      <rPr>
        <sz val="11"/>
        <color theme="1"/>
        <rFont val="Calibri"/>
        <family val="2"/>
        <scheme val="minor"/>
      </rPr>
      <t xml:space="preserve"> siRNA-mediated </t>
    </r>
    <r>
      <rPr>
        <b/>
        <sz val="11"/>
        <color theme="1"/>
        <rFont val="Calibri"/>
        <family val="2"/>
        <scheme val="minor"/>
      </rPr>
      <t>AMPK</t>
    </r>
    <r>
      <rPr>
        <sz val="11"/>
        <color theme="1"/>
        <rFont val="Calibri"/>
        <family val="2"/>
        <scheme val="minor"/>
      </rPr>
      <t xml:space="preserve"> down-regulation and AMPK inhibitor compound C increased cisplatin-induced tumour cell death (human U251 glioma line). </t>
    </r>
    <r>
      <rPr>
        <b/>
        <sz val="11"/>
        <color theme="1"/>
        <rFont val="Calibri"/>
        <family val="2"/>
        <scheme val="minor"/>
      </rPr>
      <t xml:space="preserve">3) </t>
    </r>
    <r>
      <rPr>
        <sz val="11"/>
        <color theme="1"/>
        <rFont val="Calibri"/>
        <family val="2"/>
        <scheme val="minor"/>
      </rPr>
      <t xml:space="preserve">The ability of </t>
    </r>
    <r>
      <rPr>
        <b/>
        <sz val="11"/>
        <color theme="1"/>
        <rFont val="Calibri"/>
        <family val="2"/>
        <scheme val="minor"/>
      </rPr>
      <t>cisplatin</t>
    </r>
    <r>
      <rPr>
        <sz val="11"/>
        <color theme="1"/>
        <rFont val="Calibri"/>
        <family val="2"/>
        <scheme val="minor"/>
      </rPr>
      <t xml:space="preserve"> to trigger autophagy was reduced by small interfering RNA (siRNA)-mediated AMPK silencing. </t>
    </r>
  </si>
  <si>
    <r>
      <rPr>
        <b/>
        <sz val="11"/>
        <color theme="1"/>
        <rFont val="Calibri"/>
        <family val="2"/>
        <scheme val="minor"/>
      </rPr>
      <t xml:space="preserve">1) </t>
    </r>
    <r>
      <rPr>
        <sz val="11"/>
        <color theme="1"/>
        <rFont val="Calibri"/>
        <family val="2"/>
        <scheme val="minor"/>
      </rPr>
      <t xml:space="preserve">AMP kinase subunit α2 (AMPKα2) transcripts and protein expression increased in </t>
    </r>
    <r>
      <rPr>
        <b/>
        <sz val="11"/>
        <color theme="1"/>
        <rFont val="Calibri"/>
        <family val="2"/>
        <scheme val="minor"/>
      </rPr>
      <t>Pt-resistant</t>
    </r>
    <r>
      <rPr>
        <sz val="11"/>
        <color theme="1"/>
        <rFont val="Calibri"/>
        <family val="2"/>
        <scheme val="minor"/>
      </rPr>
      <t xml:space="preserve"> </t>
    </r>
    <r>
      <rPr>
        <b/>
        <sz val="11"/>
        <color theme="1"/>
        <rFont val="Calibri"/>
        <family val="2"/>
        <scheme val="minor"/>
      </rPr>
      <t>lung</t>
    </r>
    <r>
      <rPr>
        <sz val="11"/>
        <color theme="1"/>
        <rFont val="Calibri"/>
        <family val="2"/>
        <scheme val="minor"/>
      </rPr>
      <t xml:space="preserve"> cancer H1299 cells. </t>
    </r>
    <r>
      <rPr>
        <b/>
        <sz val="11"/>
        <color theme="1"/>
        <rFont val="Calibri"/>
        <family val="2"/>
        <scheme val="minor"/>
      </rPr>
      <t xml:space="preserve">2) </t>
    </r>
    <r>
      <rPr>
        <sz val="11"/>
        <color theme="1"/>
        <rFont val="Calibri"/>
        <family val="2"/>
        <scheme val="minor"/>
      </rPr>
      <t xml:space="preserve">Under-expression of AMPK-α2 was significantly correlated with a poorer tumor differentiation classified according to Edmonson’s grading and a poorer disease-free survival rate. </t>
    </r>
    <r>
      <rPr>
        <b/>
        <sz val="11"/>
        <color theme="1"/>
        <rFont val="Calibri"/>
        <family val="2"/>
        <scheme val="minor"/>
      </rPr>
      <t>3)</t>
    </r>
    <r>
      <rPr>
        <sz val="11"/>
        <color theme="1"/>
        <rFont val="Calibri"/>
        <family val="2"/>
        <scheme val="minor"/>
      </rPr>
      <t xml:space="preserve"> ectopic expression of AMPK enhanced the acetylation and stability of p53 in HCC cells. </t>
    </r>
    <r>
      <rPr>
        <b/>
        <sz val="11"/>
        <color theme="1"/>
        <rFont val="Calibri"/>
        <family val="2"/>
        <scheme val="minor"/>
      </rPr>
      <t xml:space="preserve">4) </t>
    </r>
    <r>
      <rPr>
        <sz val="11"/>
        <color theme="1"/>
        <rFont val="Calibri"/>
        <family val="2"/>
        <scheme val="minor"/>
      </rPr>
      <t xml:space="preserve">The p53 deacetylase, SIRT1, was phosphorylated and inactivated by AMPK at Thr344, promoting p53 acetylation and apoptosis of HCC cells. </t>
    </r>
  </si>
  <si>
    <r>
      <t xml:space="preserve">knockdown of ATR, CHK1 and </t>
    </r>
    <r>
      <rPr>
        <b/>
        <sz val="11"/>
        <color theme="1"/>
        <rFont val="Calibri"/>
        <family val="2"/>
        <scheme val="minor"/>
      </rPr>
      <t>PRKAB1</t>
    </r>
    <r>
      <rPr>
        <sz val="11"/>
        <color theme="1"/>
        <rFont val="Calibri"/>
        <family val="2"/>
        <scheme val="minor"/>
      </rPr>
      <t xml:space="preserve"> led to potentiation of </t>
    </r>
    <r>
      <rPr>
        <b/>
        <sz val="11"/>
        <color theme="1"/>
        <rFont val="Calibri"/>
        <family val="2"/>
        <scheme val="minor"/>
      </rPr>
      <t>cisplatin</t>
    </r>
    <r>
      <rPr>
        <sz val="11"/>
        <color theme="1"/>
        <rFont val="Calibri"/>
        <family val="2"/>
        <scheme val="minor"/>
      </rPr>
      <t xml:space="preserve"> response in SKOV3 ovarian cancer cells. </t>
    </r>
  </si>
  <si>
    <r>
      <rPr>
        <b/>
        <sz val="11"/>
        <color theme="1"/>
        <rFont val="Calibri"/>
        <family val="2"/>
        <scheme val="minor"/>
      </rPr>
      <t xml:space="preserve">1) </t>
    </r>
    <r>
      <rPr>
        <sz val="11"/>
        <color theme="1"/>
        <rFont val="Calibri"/>
        <family val="2"/>
        <scheme val="minor"/>
      </rPr>
      <t xml:space="preserve">40 patients treated with </t>
    </r>
    <r>
      <rPr>
        <b/>
        <sz val="11"/>
        <color theme="1"/>
        <rFont val="Calibri"/>
        <family val="2"/>
        <scheme val="minor"/>
      </rPr>
      <t>cisplatin-</t>
    </r>
    <r>
      <rPr>
        <sz val="11"/>
        <color theme="1"/>
        <rFont val="Calibri"/>
        <family val="2"/>
        <scheme val="minor"/>
      </rPr>
      <t xml:space="preserve">based adjuvant chemotherapy were included in the pAMPK-positive group, while 33 patients were included in the pAMPK-negative group. </t>
    </r>
    <r>
      <rPr>
        <b/>
        <sz val="11"/>
        <color theme="1"/>
        <rFont val="Calibri"/>
        <family val="2"/>
        <scheme val="minor"/>
      </rPr>
      <t xml:space="preserve">2) </t>
    </r>
    <r>
      <rPr>
        <sz val="11"/>
        <color theme="1"/>
        <rFont val="Calibri"/>
        <family val="2"/>
        <scheme val="minor"/>
      </rPr>
      <t>In a multivariate analysis adjusted for age, sex, Lauren classification, and stage, the pAMPK-negative group was significantly associated with improved RFS (Hazard ratio = 0.459, 95 % CI 0.109-0.711, P = 0.043).</t>
    </r>
  </si>
  <si>
    <r>
      <rPr>
        <b/>
        <sz val="11"/>
        <color theme="1"/>
        <rFont val="Calibri"/>
        <family val="2"/>
        <scheme val="minor"/>
      </rPr>
      <t xml:space="preserve">1) </t>
    </r>
    <r>
      <rPr>
        <sz val="11"/>
        <color theme="1"/>
        <rFont val="Calibri"/>
        <family val="2"/>
        <scheme val="minor"/>
      </rPr>
      <t xml:space="preserve">overexpression of miR-224-5p in ovarian cancer patients is associated with platinum-based chemoresistance in vivo as well as as well as in 4 human ovarian cancer cell lines (C13/OV2008; A2780CP/A2780S) in vitro. </t>
    </r>
    <r>
      <rPr>
        <b/>
        <sz val="11"/>
        <color theme="1"/>
        <rFont val="Calibri"/>
        <family val="2"/>
        <scheme val="minor"/>
      </rPr>
      <t xml:space="preserve">2) </t>
    </r>
    <r>
      <rPr>
        <sz val="11"/>
        <color theme="1"/>
        <rFont val="Calibri"/>
        <family val="2"/>
        <scheme val="minor"/>
      </rPr>
      <t xml:space="preserve">PRKCD gene as one of the targets of miR-224-5p in mediating the primary chemoresistance of ovarian cancer patients. </t>
    </r>
    <r>
      <rPr>
        <b/>
        <sz val="11"/>
        <color theme="1"/>
        <rFont val="Calibri"/>
        <family val="2"/>
        <scheme val="minor"/>
      </rPr>
      <t>3)</t>
    </r>
    <r>
      <rPr>
        <sz val="11"/>
        <color theme="1"/>
        <rFont val="Calibri"/>
        <family val="2"/>
        <scheme val="minor"/>
      </rPr>
      <t xml:space="preserve"> reciprocal expression of miR-224-5p and PRKCD by quantitative analysis in complete response and incomplete response patients in vivo, and 2 pairs of cisplatin resistance and sensitive cell lines in vitro, after either miR-224-5p overexpression or</t>
    </r>
    <r>
      <rPr>
        <b/>
        <sz val="11"/>
        <color theme="1"/>
        <rFont val="Calibri"/>
        <family val="2"/>
        <scheme val="minor"/>
      </rPr>
      <t xml:space="preserve"> knockdown </t>
    </r>
    <r>
      <rPr>
        <sz val="11"/>
        <color theme="1"/>
        <rFont val="Calibri"/>
        <family val="2"/>
        <scheme val="minor"/>
      </rPr>
      <t xml:space="preserve">transfection. </t>
    </r>
    <r>
      <rPr>
        <b/>
        <sz val="11"/>
        <color theme="1"/>
        <rFont val="Calibri"/>
        <family val="2"/>
        <scheme val="minor"/>
      </rPr>
      <t xml:space="preserve">4) </t>
    </r>
    <r>
      <rPr>
        <sz val="11"/>
        <color theme="1"/>
        <rFont val="Calibri"/>
        <family val="2"/>
        <scheme val="minor"/>
      </rPr>
      <t xml:space="preserve">miR-224-5p and PRKCD can serve as novel predictors and prognostic biomarkers for ovarian papillary serous carcinoma (OPSC) patient response to overall disease-specific survival.  </t>
    </r>
    <r>
      <rPr>
        <b/>
        <sz val="11"/>
        <color theme="1"/>
        <rFont val="Calibri"/>
        <family val="2"/>
        <scheme val="minor"/>
      </rPr>
      <t>5)</t>
    </r>
    <r>
      <rPr>
        <sz val="11"/>
        <color theme="1"/>
        <rFont val="Calibri"/>
        <family val="2"/>
        <scheme val="minor"/>
      </rPr>
      <t xml:space="preserve"> Knockdown of </t>
    </r>
    <r>
      <rPr>
        <b/>
        <sz val="11"/>
        <color theme="1"/>
        <rFont val="Calibri"/>
        <family val="2"/>
        <scheme val="minor"/>
      </rPr>
      <t>PKCdelta</t>
    </r>
    <r>
      <rPr>
        <sz val="11"/>
        <color theme="1"/>
        <rFont val="Calibri"/>
        <family val="2"/>
        <scheme val="minor"/>
      </rPr>
      <t xml:space="preserve"> by small interfering RNA inhibited cisplatin-induced apoptosis but knockdown of PKCalpha enhanced cisplatin-induced cell death. </t>
    </r>
    <r>
      <rPr>
        <b/>
        <sz val="11"/>
        <color theme="1"/>
        <rFont val="Calibri"/>
        <family val="2"/>
        <scheme val="minor"/>
      </rPr>
      <t xml:space="preserve">6) </t>
    </r>
    <r>
      <rPr>
        <sz val="11"/>
        <color theme="1"/>
        <rFont val="Calibri"/>
        <family val="2"/>
        <scheme val="minor"/>
      </rPr>
      <t>Cisplatin activated full-length PKC-δ and generated a PKC-δ fragment.</t>
    </r>
    <r>
      <rPr>
        <b/>
        <sz val="11"/>
        <color theme="1"/>
        <rFont val="Calibri"/>
        <family val="2"/>
        <scheme val="minor"/>
      </rPr>
      <t> 7)</t>
    </r>
    <r>
      <rPr>
        <sz val="11"/>
        <color theme="1"/>
        <rFont val="Calibri"/>
        <family val="2"/>
        <scheme val="minor"/>
      </rPr>
      <t xml:space="preserve"> PKC-δ inhibition (by PKC-δ-siRNA) decreased ZL55 cell apoptosis. </t>
    </r>
    <r>
      <rPr>
        <b/>
        <sz val="11"/>
        <color theme="1"/>
        <rFont val="Calibri"/>
        <family val="2"/>
        <scheme val="minor"/>
      </rPr>
      <t xml:space="preserve">8) </t>
    </r>
    <r>
      <rPr>
        <sz val="11"/>
        <color theme="1"/>
        <rFont val="Calibri"/>
        <family val="2"/>
        <scheme val="minor"/>
      </rPr>
      <t>Full-length PKC-δ translocated to the nucleus and activated caspase-3 expression, whereas PKC-δ fragment preferentially localized to mitochondria. </t>
    </r>
  </si>
  <si>
    <r>
      <rPr>
        <b/>
        <sz val="11"/>
        <color theme="1"/>
        <rFont val="Calibri"/>
        <family val="2"/>
        <scheme val="minor"/>
      </rPr>
      <t>1)</t>
    </r>
    <r>
      <rPr>
        <sz val="11"/>
        <color theme="1"/>
        <rFont val="Calibri"/>
        <family val="2"/>
        <scheme val="minor"/>
      </rPr>
      <t xml:space="preserve"> CD133+ </t>
    </r>
    <r>
      <rPr>
        <b/>
        <sz val="11"/>
        <color theme="1"/>
        <rFont val="Calibri"/>
        <family val="2"/>
        <scheme val="minor"/>
      </rPr>
      <t>osteosarcoma</t>
    </r>
    <r>
      <rPr>
        <sz val="11"/>
        <color theme="1"/>
        <rFont val="Calibri"/>
        <family val="2"/>
        <scheme val="minor"/>
      </rPr>
      <t xml:space="preserve"> cell line MG‑63 cells were more resistant to </t>
    </r>
    <r>
      <rPr>
        <b/>
        <sz val="11"/>
        <color theme="1"/>
        <rFont val="Calibri"/>
        <family val="2"/>
        <scheme val="minor"/>
      </rPr>
      <t>cisplatin</t>
    </r>
    <r>
      <rPr>
        <sz val="11"/>
        <color theme="1"/>
        <rFont val="Calibri"/>
        <family val="2"/>
        <scheme val="minor"/>
      </rPr>
      <t xml:space="preserve"> than CD133‑ MG‑63 cells, </t>
    </r>
    <r>
      <rPr>
        <b/>
        <sz val="11"/>
        <color theme="1"/>
        <rFont val="Calibri"/>
        <family val="2"/>
        <scheme val="minor"/>
      </rPr>
      <t>DNA‑PKcs</t>
    </r>
    <r>
      <rPr>
        <sz val="11"/>
        <color theme="1"/>
        <rFont val="Calibri"/>
        <family val="2"/>
        <scheme val="minor"/>
      </rPr>
      <t xml:space="preserve"> and </t>
    </r>
    <r>
      <rPr>
        <b/>
        <sz val="11"/>
        <color theme="1"/>
        <rFont val="Calibri"/>
        <family val="2"/>
        <scheme val="minor"/>
      </rPr>
      <t>P‑gp</t>
    </r>
    <r>
      <rPr>
        <sz val="11"/>
        <color theme="1"/>
        <rFont val="Calibri"/>
        <family val="2"/>
        <scheme val="minor"/>
      </rPr>
      <t xml:space="preserve"> were expressed at higher levels in the CD133+ MG‑63 cells compared with those levels in the CD133‑ MG‑63 cells. </t>
    </r>
    <r>
      <rPr>
        <b/>
        <sz val="11"/>
        <color theme="1"/>
        <rFont val="Calibri"/>
        <family val="2"/>
        <scheme val="minor"/>
      </rPr>
      <t xml:space="preserve">2) </t>
    </r>
    <r>
      <rPr>
        <sz val="11"/>
        <color theme="1"/>
        <rFont val="Calibri"/>
        <family val="2"/>
        <scheme val="minor"/>
      </rPr>
      <t xml:space="preserve">Down-regulation of DNA-PKcs produced higher sensitivity of MG63 cells to DDP or VP16 through increasing apoptosis and causing cell cycle arrest in the G1 phase. </t>
    </r>
    <r>
      <rPr>
        <b/>
        <sz val="11"/>
        <color theme="1"/>
        <rFont val="Calibri"/>
        <family val="2"/>
        <scheme val="minor"/>
      </rPr>
      <t>3)</t>
    </r>
    <r>
      <rPr>
        <sz val="11"/>
        <color theme="1"/>
        <rFont val="Calibri"/>
        <family val="2"/>
        <scheme val="minor"/>
      </rPr>
      <t xml:space="preserve"> A significant correlation was found between the expression of </t>
    </r>
    <r>
      <rPr>
        <b/>
        <sz val="11"/>
        <color theme="1"/>
        <rFont val="Calibri"/>
        <family val="2"/>
        <scheme val="minor"/>
      </rPr>
      <t>DNA-PKcs</t>
    </r>
    <r>
      <rPr>
        <sz val="11"/>
        <color theme="1"/>
        <rFont val="Calibri"/>
        <family val="2"/>
        <scheme val="minor"/>
      </rPr>
      <t xml:space="preserve"> and the effect of CRT in </t>
    </r>
    <r>
      <rPr>
        <b/>
        <sz val="11"/>
        <color theme="1"/>
        <rFont val="Calibri"/>
        <family val="2"/>
        <scheme val="minor"/>
      </rPr>
      <t>esophageal</t>
    </r>
    <r>
      <rPr>
        <sz val="11"/>
        <color theme="1"/>
        <rFont val="Calibri"/>
        <family val="2"/>
        <scheme val="minor"/>
      </rPr>
      <t xml:space="preserve"> cancer: the high-DNA-PKcs expression group showed greater therapeutic sensitivity than the low-expression group. </t>
    </r>
  </si>
  <si>
    <r>
      <rPr>
        <b/>
        <sz val="11"/>
        <color theme="1"/>
        <rFont val="Calibri"/>
        <family val="2"/>
        <scheme val="minor"/>
      </rPr>
      <t>1)</t>
    </r>
    <r>
      <rPr>
        <sz val="11"/>
        <color theme="1"/>
        <rFont val="Calibri"/>
        <family val="2"/>
        <scheme val="minor"/>
      </rPr>
      <t xml:space="preserve"> As NOS1: the </t>
    </r>
    <r>
      <rPr>
        <b/>
        <sz val="11"/>
        <color theme="1"/>
        <rFont val="Calibri"/>
        <family val="2"/>
        <scheme val="minor"/>
      </rPr>
      <t>NO/cGMP/PKG</t>
    </r>
    <r>
      <rPr>
        <sz val="11"/>
        <color theme="1"/>
        <rFont val="Calibri"/>
        <family val="2"/>
        <scheme val="minor"/>
      </rPr>
      <t xml:space="preserve"> signaling pathway plays a key role in protecting human </t>
    </r>
    <r>
      <rPr>
        <b/>
        <sz val="11"/>
        <color theme="1"/>
        <rFont val="Calibri"/>
        <family val="2"/>
        <scheme val="minor"/>
      </rPr>
      <t>ovarian</t>
    </r>
    <r>
      <rPr>
        <sz val="11"/>
        <color theme="1"/>
        <rFont val="Calibri"/>
        <family val="2"/>
        <scheme val="minor"/>
      </rPr>
      <t xml:space="preserve"> cancer cells against both spontaneous and cisplatin-induced apoptosis. </t>
    </r>
    <r>
      <rPr>
        <b/>
        <sz val="11"/>
        <color theme="1"/>
        <rFont val="Calibri"/>
        <family val="2"/>
        <scheme val="minor"/>
      </rPr>
      <t xml:space="preserve">2) </t>
    </r>
    <r>
      <rPr>
        <sz val="11"/>
        <color theme="1"/>
        <rFont val="Calibri"/>
        <family val="2"/>
        <scheme val="minor"/>
      </rPr>
      <t xml:space="preserve">Basal activity of </t>
    </r>
    <r>
      <rPr>
        <b/>
        <sz val="11"/>
        <color theme="1"/>
        <rFont val="Calibri"/>
        <family val="2"/>
        <scheme val="minor"/>
      </rPr>
      <t>NO/cGMP/PKG</t>
    </r>
    <r>
      <rPr>
        <sz val="11"/>
        <color theme="1"/>
        <rFont val="Calibri"/>
        <family val="2"/>
        <scheme val="minor"/>
      </rPr>
      <t xml:space="preserve"> signaling pathway protects against spontaneous apoptosis and confers resistance to </t>
    </r>
    <r>
      <rPr>
        <b/>
        <sz val="11"/>
        <color theme="1"/>
        <rFont val="Calibri"/>
        <family val="2"/>
        <scheme val="minor"/>
      </rPr>
      <t>cisplatin</t>
    </r>
    <r>
      <rPr>
        <sz val="11"/>
        <color theme="1"/>
        <rFont val="Calibri"/>
        <family val="2"/>
        <scheme val="minor"/>
      </rPr>
      <t xml:space="preserve"> in </t>
    </r>
    <r>
      <rPr>
        <b/>
        <sz val="11"/>
        <color theme="1"/>
        <rFont val="Calibri"/>
        <family val="2"/>
        <scheme val="minor"/>
      </rPr>
      <t xml:space="preserve">ovarian </t>
    </r>
    <r>
      <rPr>
        <sz val="11"/>
        <color theme="1"/>
        <rFont val="Calibri"/>
        <family val="2"/>
        <scheme val="minor"/>
      </rPr>
      <t xml:space="preserve">cancer cells. </t>
    </r>
    <r>
      <rPr>
        <b/>
        <sz val="11"/>
        <color theme="1"/>
        <rFont val="Calibri"/>
        <family val="2"/>
        <scheme val="minor"/>
      </rPr>
      <t>3)</t>
    </r>
    <r>
      <rPr>
        <sz val="11"/>
        <color theme="1"/>
        <rFont val="Calibri"/>
        <family val="2"/>
        <scheme val="minor"/>
      </rPr>
      <t xml:space="preserve"> an important role of Src/PKG-Ialpha interaction in promoting DNA synthesis/cell proliferation in human ovarian cancer cells. </t>
    </r>
    <r>
      <rPr>
        <b/>
        <sz val="11"/>
        <color theme="1"/>
        <rFont val="Calibri"/>
        <family val="2"/>
        <scheme val="minor"/>
      </rPr>
      <t xml:space="preserve">4) </t>
    </r>
    <r>
      <rPr>
        <sz val="11"/>
        <color theme="1"/>
        <rFont val="Calibri"/>
        <family val="2"/>
        <scheme val="minor"/>
      </rPr>
      <t xml:space="preserve">Combined treatment of </t>
    </r>
    <r>
      <rPr>
        <b/>
        <sz val="11"/>
        <color theme="1"/>
        <rFont val="Calibri"/>
        <family val="2"/>
        <scheme val="minor"/>
      </rPr>
      <t>PKG</t>
    </r>
    <r>
      <rPr>
        <sz val="11"/>
        <color theme="1"/>
        <rFont val="Calibri"/>
        <family val="2"/>
        <scheme val="minor"/>
      </rPr>
      <t xml:space="preserve"> inhibitor DT-2 and </t>
    </r>
    <r>
      <rPr>
        <b/>
        <sz val="11"/>
        <color theme="1"/>
        <rFont val="Calibri"/>
        <family val="2"/>
        <scheme val="minor"/>
      </rPr>
      <t>cisplatin</t>
    </r>
    <r>
      <rPr>
        <sz val="11"/>
        <color theme="1"/>
        <rFont val="Calibri"/>
        <family val="2"/>
        <scheme val="minor"/>
      </rPr>
      <t xml:space="preserve"> increased apoptosis, showing a synergistic effect. </t>
    </r>
    <r>
      <rPr>
        <b/>
        <sz val="11"/>
        <color theme="1"/>
        <rFont val="Calibri"/>
        <family val="2"/>
        <scheme val="minor"/>
      </rPr>
      <t>5)</t>
    </r>
    <r>
      <rPr>
        <sz val="11"/>
        <color theme="1"/>
        <rFont val="Calibri"/>
        <family val="2"/>
        <scheme val="minor"/>
      </rPr>
      <t xml:space="preserve"> the </t>
    </r>
    <r>
      <rPr>
        <b/>
        <sz val="11"/>
        <color theme="1"/>
        <rFont val="Calibri"/>
        <family val="2"/>
        <scheme val="minor"/>
      </rPr>
      <t>PKG-Iα</t>
    </r>
    <r>
      <rPr>
        <sz val="11"/>
        <color theme="1"/>
        <rFont val="Calibri"/>
        <family val="2"/>
        <scheme val="minor"/>
      </rPr>
      <t xml:space="preserve"> kinase activity is necessary for maintaining higher levels of </t>
    </r>
    <r>
      <rPr>
        <b/>
        <sz val="11"/>
        <color theme="1"/>
        <rFont val="Calibri"/>
        <family val="2"/>
        <scheme val="minor"/>
      </rPr>
      <t>CREB</t>
    </r>
    <r>
      <rPr>
        <sz val="11"/>
        <color theme="1"/>
        <rFont val="Calibri"/>
        <family val="2"/>
        <scheme val="minor"/>
      </rPr>
      <t xml:space="preserve"> phosphorylation at ser133 and protein expression of </t>
    </r>
    <r>
      <rPr>
        <b/>
        <sz val="11"/>
        <color theme="1"/>
        <rFont val="Calibri"/>
        <family val="2"/>
        <scheme val="minor"/>
      </rPr>
      <t>c-IAP1</t>
    </r>
    <r>
      <rPr>
        <sz val="11"/>
        <color theme="1"/>
        <rFont val="Calibri"/>
        <family val="2"/>
        <scheme val="minor"/>
      </rPr>
      <t xml:space="preserve">, </t>
    </r>
    <r>
      <rPr>
        <b/>
        <sz val="11"/>
        <color theme="1"/>
        <rFont val="Calibri"/>
        <family val="2"/>
        <scheme val="minor"/>
      </rPr>
      <t>livin, survivin</t>
    </r>
    <r>
      <rPr>
        <sz val="11"/>
        <color theme="1"/>
        <rFont val="Calibri"/>
        <family val="2"/>
        <scheme val="minor"/>
      </rPr>
      <t xml:space="preserve">, and </t>
    </r>
    <r>
      <rPr>
        <b/>
        <sz val="11"/>
        <color theme="1"/>
        <rFont val="Calibri"/>
        <family val="2"/>
        <scheme val="minor"/>
      </rPr>
      <t>Mcl-1</t>
    </r>
    <r>
      <rPr>
        <sz val="11"/>
        <color theme="1"/>
        <rFont val="Calibri"/>
        <family val="2"/>
        <scheme val="minor"/>
      </rPr>
      <t xml:space="preserve">, in </t>
    </r>
    <r>
      <rPr>
        <b/>
        <sz val="11"/>
        <color theme="1"/>
        <rFont val="Calibri"/>
        <family val="2"/>
        <scheme val="minor"/>
      </rPr>
      <t>NSCLC</t>
    </r>
    <r>
      <rPr>
        <sz val="11"/>
        <color theme="1"/>
        <rFont val="Calibri"/>
        <family val="2"/>
        <scheme val="minor"/>
      </rPr>
      <t xml:space="preserve"> cells. </t>
    </r>
    <r>
      <rPr>
        <b/>
        <sz val="11"/>
        <color theme="1"/>
        <rFont val="Calibri"/>
        <family val="2"/>
        <scheme val="minor"/>
      </rPr>
      <t>6)</t>
    </r>
    <r>
      <rPr>
        <sz val="11"/>
        <color theme="1"/>
        <rFont val="Calibri"/>
        <family val="2"/>
        <scheme val="minor"/>
      </rPr>
      <t xml:space="preserve"> Underexpression of three miRNAs (miRNA-21, miRNA-125b, and miRNA-224) was independently associated with the chemotherapy sensitivity of patients with </t>
    </r>
    <r>
      <rPr>
        <b/>
        <sz val="11"/>
        <color theme="1"/>
        <rFont val="Calibri"/>
        <family val="2"/>
        <scheme val="minor"/>
      </rPr>
      <t>lung</t>
    </r>
    <r>
      <rPr>
        <sz val="11"/>
        <color theme="1"/>
        <rFont val="Calibri"/>
        <family val="2"/>
        <scheme val="minor"/>
      </rPr>
      <t xml:space="preserve"> adenocarcinoma: The MAPK, PI3K-Akt, Ras, and </t>
    </r>
    <r>
      <rPr>
        <b/>
        <sz val="11"/>
        <color theme="1"/>
        <rFont val="Calibri"/>
        <family val="2"/>
        <scheme val="minor"/>
      </rPr>
      <t>cGMP-PKG</t>
    </r>
    <r>
      <rPr>
        <sz val="11"/>
        <color theme="1"/>
        <rFont val="Calibri"/>
        <family val="2"/>
        <scheme val="minor"/>
      </rPr>
      <t xml:space="preserve"> signaling pathways were considered to be most probably correlated with </t>
    </r>
    <r>
      <rPr>
        <b/>
        <sz val="11"/>
        <color theme="1"/>
        <rFont val="Calibri"/>
        <family val="2"/>
        <scheme val="minor"/>
      </rPr>
      <t>platinum</t>
    </r>
    <r>
      <rPr>
        <sz val="11"/>
        <color theme="1"/>
        <rFont val="Calibri"/>
        <family val="2"/>
        <scheme val="minor"/>
      </rPr>
      <t xml:space="preserve"> resistance.</t>
    </r>
  </si>
  <si>
    <r>
      <rPr>
        <b/>
        <sz val="11"/>
        <color theme="1"/>
        <rFont val="Calibri"/>
        <family val="2"/>
        <scheme val="minor"/>
      </rPr>
      <t xml:space="preserve">1) </t>
    </r>
    <r>
      <rPr>
        <sz val="11"/>
        <color theme="1"/>
        <rFont val="Calibri"/>
        <family val="2"/>
        <scheme val="minor"/>
      </rPr>
      <t xml:space="preserve">In orthotopic mouse models of MOC, we observed a significant antitumor effect of </t>
    </r>
    <r>
      <rPr>
        <b/>
        <sz val="11"/>
        <color theme="1"/>
        <rFont val="Calibri"/>
        <family val="2"/>
        <scheme val="minor"/>
      </rPr>
      <t>PRKRA</t>
    </r>
    <r>
      <rPr>
        <sz val="11"/>
        <color theme="1"/>
        <rFont val="Calibri"/>
        <family val="2"/>
        <scheme val="minor"/>
      </rPr>
      <t xml:space="preserve"> siRNA plus </t>
    </r>
    <r>
      <rPr>
        <b/>
        <sz val="11"/>
        <color theme="1"/>
        <rFont val="Calibri"/>
        <family val="2"/>
        <scheme val="minor"/>
      </rPr>
      <t>oxaliplatin</t>
    </r>
    <r>
      <rPr>
        <sz val="11"/>
        <color theme="1"/>
        <rFont val="Calibri"/>
        <family val="2"/>
        <scheme val="minor"/>
      </rPr>
      <t xml:space="preserve">. </t>
    </r>
    <r>
      <rPr>
        <b/>
        <sz val="11"/>
        <color theme="1"/>
        <rFont val="Calibri"/>
        <family val="2"/>
        <scheme val="minor"/>
      </rPr>
      <t xml:space="preserve">2) </t>
    </r>
    <r>
      <rPr>
        <sz val="11"/>
        <color theme="1"/>
        <rFont val="Calibri"/>
        <family val="2"/>
        <scheme val="minor"/>
      </rPr>
      <t xml:space="preserve">expression of miR-515-3p was regulated by </t>
    </r>
    <r>
      <rPr>
        <b/>
        <sz val="11"/>
        <color theme="1"/>
        <rFont val="Calibri"/>
        <family val="2"/>
        <scheme val="minor"/>
      </rPr>
      <t>PACT-Dicer</t>
    </r>
    <r>
      <rPr>
        <sz val="11"/>
        <color theme="1"/>
        <rFont val="Calibri"/>
        <family val="2"/>
        <scheme val="minor"/>
      </rPr>
      <t xml:space="preserve"> interaction, and miR-515-3p increased the sensitivity of MOC to oxaliplatin. Mechanistically, miR-515-3p regulated chemosensitivity, in part, by targeting AXL. </t>
    </r>
  </si>
  <si>
    <r>
      <rPr>
        <b/>
        <sz val="11"/>
        <color theme="1"/>
        <rFont val="Calibri"/>
        <family val="2"/>
        <scheme val="minor"/>
      </rPr>
      <t>1)</t>
    </r>
    <r>
      <rPr>
        <sz val="11"/>
        <color theme="1"/>
        <rFont val="Calibri"/>
        <family val="2"/>
        <scheme val="minor"/>
      </rPr>
      <t xml:space="preserve"> CD133+ </t>
    </r>
    <r>
      <rPr>
        <b/>
        <sz val="11"/>
        <color theme="1"/>
        <rFont val="Calibri"/>
        <family val="2"/>
        <scheme val="minor"/>
      </rPr>
      <t>ovarian</t>
    </r>
    <r>
      <rPr>
        <sz val="11"/>
        <color theme="1"/>
        <rFont val="Calibri"/>
        <family val="2"/>
        <scheme val="minor"/>
      </rPr>
      <t xml:space="preserve"> cancer cells generate both CD133+ and CD133- daughter cells, whereas CD133- cells divide symmetrically. </t>
    </r>
    <r>
      <rPr>
        <b/>
        <sz val="11"/>
        <color theme="1"/>
        <rFont val="Calibri"/>
        <family val="2"/>
        <scheme val="minor"/>
      </rPr>
      <t xml:space="preserve">2) </t>
    </r>
    <r>
      <rPr>
        <sz val="11"/>
        <color theme="1"/>
        <rFont val="Calibri"/>
        <family val="2"/>
        <scheme val="minor"/>
      </rPr>
      <t xml:space="preserve">CD133+ cells exhibit enhanced resistance to </t>
    </r>
    <r>
      <rPr>
        <b/>
        <sz val="11"/>
        <color theme="1"/>
        <rFont val="Calibri"/>
        <family val="2"/>
        <scheme val="minor"/>
      </rPr>
      <t>platinum</t>
    </r>
    <r>
      <rPr>
        <sz val="11"/>
        <color theme="1"/>
        <rFont val="Calibri"/>
        <family val="2"/>
        <scheme val="minor"/>
      </rPr>
      <t xml:space="preserve">-based therapy. </t>
    </r>
    <r>
      <rPr>
        <b/>
        <sz val="11"/>
        <color theme="1"/>
        <rFont val="Calibri"/>
        <family val="2"/>
        <scheme val="minor"/>
      </rPr>
      <t xml:space="preserve">3) </t>
    </r>
    <r>
      <rPr>
        <sz val="11"/>
        <color theme="1"/>
        <rFont val="Calibri"/>
        <family val="2"/>
        <scheme val="minor"/>
      </rPr>
      <t xml:space="preserve">Sorted CD133+ ovarian cancer cells also form more aggressive tumor xenografts at a lower inoculum than their CD133- progeny. </t>
    </r>
    <r>
      <rPr>
        <b/>
        <sz val="11"/>
        <color theme="1"/>
        <rFont val="Calibri"/>
        <family val="2"/>
        <scheme val="minor"/>
      </rPr>
      <t xml:space="preserve">4) </t>
    </r>
    <r>
      <rPr>
        <sz val="11"/>
        <color theme="1"/>
        <rFont val="Calibri"/>
        <family val="2"/>
        <scheme val="minor"/>
      </rPr>
      <t xml:space="preserve">Epigenetic changes may be integral to the behavior of cancer progenitor cells and their progeny: CD133 transcription is controlled by both histone modifications and promoter </t>
    </r>
    <r>
      <rPr>
        <b/>
        <sz val="11"/>
        <color theme="1"/>
        <rFont val="Calibri"/>
        <family val="2"/>
        <scheme val="minor"/>
      </rPr>
      <t>methylation</t>
    </r>
    <r>
      <rPr>
        <sz val="11"/>
        <color theme="1"/>
        <rFont val="Calibri"/>
        <family val="2"/>
        <scheme val="minor"/>
      </rPr>
      <t xml:space="preserve">. </t>
    </r>
    <r>
      <rPr>
        <b/>
        <sz val="11"/>
        <color theme="1"/>
        <rFont val="Calibri"/>
        <family val="2"/>
        <scheme val="minor"/>
      </rPr>
      <t xml:space="preserve">5) </t>
    </r>
    <r>
      <rPr>
        <sz val="11"/>
        <color theme="1"/>
        <rFont val="Calibri"/>
        <family val="2"/>
        <scheme val="minor"/>
      </rPr>
      <t>Sorted CD133- ovarian cancer cells treated with DNA methyltransferase and histone deacetylase inhibitors show a synergistic increase in cell surface CD133 expression; DNA methylation at the ovarian tissue active P2 promoter is inversely correlated with CD133 transcription.</t>
    </r>
    <r>
      <rPr>
        <b/>
        <sz val="11"/>
        <color theme="1"/>
        <rFont val="Calibri"/>
        <family val="2"/>
        <scheme val="minor"/>
      </rPr>
      <t xml:space="preserve"> 6)</t>
    </r>
    <r>
      <rPr>
        <sz val="11"/>
        <color theme="1"/>
        <rFont val="Calibri"/>
        <family val="2"/>
        <scheme val="minor"/>
      </rPr>
      <t xml:space="preserve"> promoter methylation increases in CD133- progeny of CD133+ cells, with CD133+ cells retaining a less methylated or unmethylated state. </t>
    </r>
    <r>
      <rPr>
        <b/>
        <sz val="11"/>
        <color theme="1"/>
        <rFont val="Calibri"/>
        <family val="2"/>
        <scheme val="minor"/>
      </rPr>
      <t xml:space="preserve">7) </t>
    </r>
    <r>
      <rPr>
        <sz val="11"/>
        <color theme="1"/>
        <rFont val="Calibri"/>
        <family val="2"/>
        <scheme val="minor"/>
      </rPr>
      <t xml:space="preserve">CD133(+) cells were significantly increased in the relapsed tumors in three of six patients with lung cancer who have received cisplatin treatment. </t>
    </r>
  </si>
  <si>
    <r>
      <rPr>
        <b/>
        <sz val="11"/>
        <color theme="1"/>
        <rFont val="Calibri"/>
        <family val="2"/>
        <scheme val="minor"/>
      </rPr>
      <t xml:space="preserve">1) </t>
    </r>
    <r>
      <rPr>
        <sz val="11"/>
        <color theme="1"/>
        <rFont val="Calibri"/>
        <family val="2"/>
        <scheme val="minor"/>
      </rPr>
      <t xml:space="preserve">High </t>
    </r>
    <r>
      <rPr>
        <b/>
        <sz val="11"/>
        <color theme="1"/>
        <rFont val="Calibri"/>
        <family val="2"/>
        <scheme val="minor"/>
      </rPr>
      <t>TXR1</t>
    </r>
    <r>
      <rPr>
        <sz val="11"/>
        <color theme="1"/>
        <rFont val="Calibri"/>
        <family val="2"/>
        <scheme val="minor"/>
      </rPr>
      <t xml:space="preserve"> expression was associated with decreased PFS (P&lt;0.001) and OS (P&lt;0.001). </t>
    </r>
    <r>
      <rPr>
        <b/>
        <sz val="11"/>
        <color theme="1"/>
        <rFont val="Calibri"/>
        <family val="2"/>
        <scheme val="minor"/>
      </rPr>
      <t>2)</t>
    </r>
    <r>
      <rPr>
        <sz val="11"/>
        <color theme="1"/>
        <rFont val="Calibri"/>
        <family val="2"/>
        <scheme val="minor"/>
      </rPr>
      <t xml:space="preserve"> Multivariate analysis demonstrated that high </t>
    </r>
    <r>
      <rPr>
        <b/>
        <sz val="11"/>
        <color theme="1"/>
        <rFont val="Calibri"/>
        <family val="2"/>
        <scheme val="minor"/>
      </rPr>
      <t>PRR13</t>
    </r>
    <r>
      <rPr>
        <sz val="11"/>
        <color theme="1"/>
        <rFont val="Calibri"/>
        <family val="2"/>
        <scheme val="minor"/>
      </rPr>
      <t xml:space="preserve">/low THBS1 expression was an independent factor for decreased PFS (hazards ratio: 1.94; 95% confidence interval (CI): 1.48-2.92; P=0.008) and OS (hazard ratio: 3.89; 95% CI: 2.16-6.87; P&lt;0.001). </t>
    </r>
    <r>
      <rPr>
        <b/>
        <sz val="11"/>
        <color theme="1"/>
        <rFont val="Calibri"/>
        <family val="2"/>
        <scheme val="minor"/>
      </rPr>
      <t xml:space="preserve">3) </t>
    </r>
    <r>
      <rPr>
        <sz val="11"/>
        <color theme="1"/>
        <rFont val="Calibri"/>
        <family val="2"/>
        <scheme val="minor"/>
      </rPr>
      <t>The level of TXR1 expression was significantly higher in</t>
    </r>
    <r>
      <rPr>
        <b/>
        <sz val="11"/>
        <color theme="1"/>
        <rFont val="Calibri"/>
        <family val="2"/>
        <scheme val="minor"/>
      </rPr>
      <t xml:space="preserve"> cisplatin</t>
    </r>
    <r>
      <rPr>
        <sz val="11"/>
        <color theme="1"/>
        <rFont val="Calibri"/>
        <family val="2"/>
        <scheme val="minor"/>
      </rPr>
      <t xml:space="preserve">-resistant specimens than that in cisplatin-sensitive specimens. </t>
    </r>
    <r>
      <rPr>
        <b/>
        <sz val="11"/>
        <color theme="1"/>
        <rFont val="Calibri"/>
        <family val="2"/>
        <scheme val="minor"/>
      </rPr>
      <t>4)</t>
    </r>
    <r>
      <rPr>
        <sz val="11"/>
        <color theme="1"/>
        <rFont val="Calibri"/>
        <family val="2"/>
        <scheme val="minor"/>
      </rPr>
      <t xml:space="preserve"> TXR1 expression was elevated in a </t>
    </r>
    <r>
      <rPr>
        <b/>
        <sz val="11"/>
        <color theme="1"/>
        <rFont val="Calibri"/>
        <family val="2"/>
        <scheme val="minor"/>
      </rPr>
      <t>cisplatin</t>
    </r>
    <r>
      <rPr>
        <sz val="11"/>
        <color theme="1"/>
        <rFont val="Calibri"/>
        <family val="2"/>
        <scheme val="minor"/>
      </rPr>
      <t>-resistance subline (SGC-7901/DDP).</t>
    </r>
    <r>
      <rPr>
        <b/>
        <sz val="11"/>
        <color theme="1"/>
        <rFont val="Calibri"/>
        <family val="2"/>
        <scheme val="minor"/>
      </rPr>
      <t xml:space="preserve"> 5)</t>
    </r>
    <r>
      <rPr>
        <sz val="11"/>
        <color theme="1"/>
        <rFont val="Calibri"/>
        <family val="2"/>
        <scheme val="minor"/>
      </rPr>
      <t xml:space="preserve"> Overexpression of TXR1 induced </t>
    </r>
    <r>
      <rPr>
        <b/>
        <sz val="11"/>
        <color theme="1"/>
        <rFont val="Calibri"/>
        <family val="2"/>
        <scheme val="minor"/>
      </rPr>
      <t>cisplatin</t>
    </r>
    <r>
      <rPr>
        <sz val="11"/>
        <color theme="1"/>
        <rFont val="Calibri"/>
        <family val="2"/>
        <scheme val="minor"/>
      </rPr>
      <t xml:space="preserve"> resistance in SGC-7901 cells.</t>
    </r>
    <r>
      <rPr>
        <b/>
        <sz val="11"/>
        <color theme="1"/>
        <rFont val="Calibri"/>
        <family val="2"/>
        <scheme val="minor"/>
      </rPr>
      <t xml:space="preserve"> 6)</t>
    </r>
    <r>
      <rPr>
        <sz val="11"/>
        <color theme="1"/>
        <rFont val="Calibri"/>
        <family val="2"/>
        <scheme val="minor"/>
      </rPr>
      <t xml:space="preserve"> Downregulation of TXR1 reversed the drug resistance caused by elevation of TXR1 expression in SGC-7901/DDP cells. </t>
    </r>
    <r>
      <rPr>
        <b/>
        <sz val="11"/>
        <color theme="1"/>
        <rFont val="Calibri"/>
        <family val="2"/>
        <scheme val="minor"/>
      </rPr>
      <t xml:space="preserve">7) </t>
    </r>
    <r>
      <rPr>
        <sz val="11"/>
        <color theme="1"/>
        <rFont val="Calibri"/>
        <family val="2"/>
        <scheme val="minor"/>
      </rPr>
      <t xml:space="preserve">Animal experiments proved the effect of TXR1 in inducing cisplatin resistance in vivo. </t>
    </r>
    <r>
      <rPr>
        <b/>
        <sz val="11"/>
        <color theme="1"/>
        <rFont val="Calibri"/>
        <family val="2"/>
        <scheme val="minor"/>
      </rPr>
      <t>8)</t>
    </r>
    <r>
      <rPr>
        <sz val="11"/>
        <color theme="1"/>
        <rFont val="Calibri"/>
        <family val="2"/>
        <scheme val="minor"/>
      </rPr>
      <t xml:space="preserve"> TXR1 regulated cisplatin resistance via apoptosis. </t>
    </r>
    <r>
      <rPr>
        <b/>
        <sz val="11"/>
        <color theme="1"/>
        <rFont val="Calibri"/>
        <family val="2"/>
        <scheme val="minor"/>
      </rPr>
      <t>9) Txr1</t>
    </r>
    <r>
      <rPr>
        <sz val="11"/>
        <color theme="1"/>
        <rFont val="Calibri"/>
        <family val="2"/>
        <scheme val="minor"/>
      </rPr>
      <t xml:space="preserve"> promoted </t>
    </r>
    <r>
      <rPr>
        <b/>
        <sz val="11"/>
        <color theme="1"/>
        <rFont val="Calibri"/>
        <family val="2"/>
        <scheme val="minor"/>
      </rPr>
      <t>autophagy</t>
    </r>
    <r>
      <rPr>
        <sz val="11"/>
        <color theme="1"/>
        <rFont val="Calibri"/>
        <family val="2"/>
        <scheme val="minor"/>
      </rPr>
      <t xml:space="preserve"> through modulation of </t>
    </r>
    <r>
      <rPr>
        <b/>
        <sz val="11"/>
        <color theme="1"/>
        <rFont val="Calibri"/>
        <family val="2"/>
        <scheme val="minor"/>
      </rPr>
      <t>MEK/ERK</t>
    </r>
    <r>
      <rPr>
        <sz val="11"/>
        <color theme="1"/>
        <rFont val="Calibri"/>
        <family val="2"/>
        <scheme val="minor"/>
      </rPr>
      <t xml:space="preserve"> signaling. Deficiency of autophagy induced by Txr1 can sensitize drug-resistant cells to </t>
    </r>
    <r>
      <rPr>
        <b/>
        <sz val="11"/>
        <color theme="1"/>
        <rFont val="Calibri"/>
        <family val="2"/>
        <scheme val="minor"/>
      </rPr>
      <t>Oxaliplatin</t>
    </r>
    <r>
      <rPr>
        <sz val="11"/>
        <color theme="1"/>
        <rFont val="Calibri"/>
        <family val="2"/>
        <scheme val="minor"/>
      </rPr>
      <t xml:space="preserve">. </t>
    </r>
  </si>
  <si>
    <r>
      <rPr>
        <b/>
        <sz val="11"/>
        <color theme="1"/>
        <rFont val="Calibri"/>
        <family val="2"/>
        <scheme val="minor"/>
      </rPr>
      <t>1) Cisplatin</t>
    </r>
    <r>
      <rPr>
        <sz val="11"/>
        <color theme="1"/>
        <rFont val="Calibri"/>
        <family val="2"/>
        <scheme val="minor"/>
      </rPr>
      <t xml:space="preserve"> induced increased PAFR expression in two </t>
    </r>
    <r>
      <rPr>
        <b/>
        <sz val="11"/>
        <color theme="1"/>
        <rFont val="Calibri"/>
        <family val="2"/>
        <scheme val="minor"/>
      </rPr>
      <t>ovarian</t>
    </r>
    <r>
      <rPr>
        <sz val="11"/>
        <color theme="1"/>
        <rFont val="Calibri"/>
        <family val="2"/>
        <scheme val="minor"/>
      </rPr>
      <t xml:space="preserve"> cancer cell lines. </t>
    </r>
    <r>
      <rPr>
        <b/>
        <sz val="11"/>
        <color theme="1"/>
        <rFont val="Calibri"/>
        <family val="2"/>
        <scheme val="minor"/>
      </rPr>
      <t xml:space="preserve">2) </t>
    </r>
    <r>
      <rPr>
        <sz val="11"/>
        <color theme="1"/>
        <rFont val="Calibri"/>
        <family val="2"/>
        <scheme val="minor"/>
      </rPr>
      <t>The upregulation of PAFR by CDDP correlated with the time-dependent accumulation of NF-κB and HIF-1α in the nucleus.</t>
    </r>
    <r>
      <rPr>
        <b/>
        <sz val="11"/>
        <color theme="1"/>
        <rFont val="Calibri"/>
        <family val="2"/>
        <scheme val="minor"/>
      </rPr>
      <t xml:space="preserve"> 3) </t>
    </r>
    <r>
      <rPr>
        <sz val="11"/>
        <color theme="1"/>
        <rFont val="Calibri"/>
        <family val="2"/>
        <scheme val="minor"/>
      </rPr>
      <t xml:space="preserve">The inhibition of PAFR sensitised the ovarian cancer cells to CDDP. </t>
    </r>
    <r>
      <rPr>
        <b/>
        <sz val="11"/>
        <color theme="1"/>
        <rFont val="Calibri"/>
        <family val="2"/>
        <scheme val="minor"/>
      </rPr>
      <t xml:space="preserve">4) </t>
    </r>
    <r>
      <rPr>
        <sz val="11"/>
        <color theme="1"/>
        <rFont val="Calibri"/>
        <family val="2"/>
        <scheme val="minor"/>
      </rPr>
      <t>The PI3K and ERK pathways lie downstream of activated PAFR in CDDP-treated cells and their inhibition enhanced CDDP sensitivity.</t>
    </r>
    <r>
      <rPr>
        <b/>
        <sz val="11"/>
        <color theme="1"/>
        <rFont val="Calibri"/>
        <family val="2"/>
        <scheme val="minor"/>
      </rPr>
      <t xml:space="preserve"> 5)</t>
    </r>
    <r>
      <rPr>
        <sz val="11"/>
        <color theme="1"/>
        <rFont val="Calibri"/>
        <family val="2"/>
        <scheme val="minor"/>
      </rPr>
      <t xml:space="preserve"> co-treatment with a PAFR antagonist (Ginkgolide B) and CDDP markedly reduced tumour growth in an in vivo model of ovarian cancer.</t>
    </r>
  </si>
  <si>
    <r>
      <rPr>
        <b/>
        <sz val="11"/>
        <color theme="1"/>
        <rFont val="Calibri"/>
        <family val="2"/>
        <scheme val="minor"/>
      </rPr>
      <t>1)</t>
    </r>
    <r>
      <rPr>
        <sz val="11"/>
        <color theme="1"/>
        <rFont val="Calibri"/>
        <family val="2"/>
        <scheme val="minor"/>
      </rPr>
      <t xml:space="preserve"> In the overall series, COX-2 positivity was found in a statistically significant higher percentage of not responding cases than in patients </t>
    </r>
    <r>
      <rPr>
        <b/>
        <sz val="11"/>
        <color theme="1"/>
        <rFont val="Calibri"/>
        <family val="2"/>
        <scheme val="minor"/>
      </rPr>
      <t>responding to chemotherapy</t>
    </r>
    <r>
      <rPr>
        <sz val="11"/>
        <color theme="1"/>
        <rFont val="Calibri"/>
        <family val="2"/>
        <scheme val="minor"/>
      </rPr>
      <t xml:space="preserve"> (n = 15/21; 71.4% versus n = 17/47; 36.1%; p value = 0.0072). </t>
    </r>
    <r>
      <rPr>
        <b/>
        <sz val="11"/>
        <color theme="1"/>
        <rFont val="Calibri"/>
        <family val="2"/>
        <scheme val="minor"/>
      </rPr>
      <t>2)</t>
    </r>
    <r>
      <rPr>
        <sz val="11"/>
        <color theme="1"/>
        <rFont val="Calibri"/>
        <family val="2"/>
        <scheme val="minor"/>
      </rPr>
      <t xml:space="preserve"> A higher percentage of COX-2 positivity was found in patients unresponsive (n = 11/13; 84.6%) versus patients responsive to </t>
    </r>
    <r>
      <rPr>
        <b/>
        <sz val="11"/>
        <color theme="1"/>
        <rFont val="Calibri"/>
        <family val="2"/>
        <scheme val="minor"/>
      </rPr>
      <t>platinum</t>
    </r>
    <r>
      <rPr>
        <sz val="11"/>
        <color theme="1"/>
        <rFont val="Calibri"/>
        <family val="2"/>
        <scheme val="minor"/>
      </rPr>
      <t xml:space="preserve">-based chemotherapy (n = 9/26; 34.6%). </t>
    </r>
    <r>
      <rPr>
        <b/>
        <sz val="11"/>
        <color theme="1"/>
        <rFont val="Calibri"/>
        <family val="2"/>
        <scheme val="minor"/>
      </rPr>
      <t xml:space="preserve">3) </t>
    </r>
    <r>
      <rPr>
        <sz val="11"/>
        <color theme="1"/>
        <rFont val="Calibri"/>
        <family val="2"/>
        <scheme val="minor"/>
      </rPr>
      <t xml:space="preserve">In cases administered platinum/paclitaxel, COX-2 positivity was found in 4 out of 8 (50%) of un responsive versus 8 out of 21 (38.1%) of responsive cases. </t>
    </r>
  </si>
  <si>
    <r>
      <rPr>
        <b/>
        <sz val="11"/>
        <color theme="1"/>
        <rFont val="Calibri"/>
        <family val="2"/>
        <scheme val="minor"/>
      </rPr>
      <t xml:space="preserve">1) </t>
    </r>
    <r>
      <rPr>
        <sz val="11"/>
        <color theme="1"/>
        <rFont val="Calibri"/>
        <family val="2"/>
        <scheme val="minor"/>
      </rPr>
      <t xml:space="preserve">Sustained </t>
    </r>
    <r>
      <rPr>
        <b/>
        <sz val="11"/>
        <color theme="1"/>
        <rFont val="Calibri"/>
        <family val="2"/>
        <scheme val="minor"/>
      </rPr>
      <t>FAK</t>
    </r>
    <r>
      <rPr>
        <sz val="11"/>
        <color theme="1"/>
        <rFont val="Calibri"/>
        <family val="2"/>
        <scheme val="minor"/>
      </rPr>
      <t xml:space="preserve"> Y397 phosphorylation (pY397) observed in </t>
    </r>
    <r>
      <rPr>
        <b/>
        <sz val="11"/>
        <color theme="1"/>
        <rFont val="Calibri"/>
        <family val="2"/>
        <scheme val="minor"/>
      </rPr>
      <t>neoadjuvant</t>
    </r>
    <r>
      <rPr>
        <sz val="11"/>
        <color theme="1"/>
        <rFont val="Calibri"/>
        <family val="2"/>
        <scheme val="minor"/>
      </rPr>
      <t xml:space="preserve"> chemotherapy-resistant </t>
    </r>
    <r>
      <rPr>
        <b/>
        <sz val="11"/>
        <color theme="1"/>
        <rFont val="Calibri"/>
        <family val="2"/>
        <scheme val="minor"/>
      </rPr>
      <t xml:space="preserve">ovarian </t>
    </r>
    <r>
      <rPr>
        <sz val="11"/>
        <color theme="1"/>
        <rFont val="Calibri"/>
        <family val="2"/>
        <scheme val="minor"/>
      </rPr>
      <t>tumor patients. </t>
    </r>
    <r>
      <rPr>
        <b/>
        <sz val="11"/>
        <color theme="1"/>
        <rFont val="Calibri"/>
        <family val="2"/>
        <scheme val="minor"/>
      </rPr>
      <t xml:space="preserve">2) </t>
    </r>
    <r>
      <rPr>
        <sz val="11"/>
        <color theme="1"/>
        <rFont val="Calibri"/>
        <family val="2"/>
        <scheme val="minor"/>
      </rPr>
      <t xml:space="preserve">Combining a FAK inhibitor with platinum overcame chemoresistance and triggered cell apoptosis. </t>
    </r>
    <r>
      <rPr>
        <b/>
        <sz val="11"/>
        <color theme="1"/>
        <rFont val="Calibri"/>
        <family val="2"/>
        <scheme val="minor"/>
      </rPr>
      <t xml:space="preserve">3) </t>
    </r>
    <r>
      <rPr>
        <sz val="11"/>
        <color theme="1"/>
        <rFont val="Calibri"/>
        <family val="2"/>
        <scheme val="minor"/>
      </rPr>
      <t>PTK2 inhibition-induced sustained levels of</t>
    </r>
    <r>
      <rPr>
        <b/>
        <sz val="11"/>
        <color theme="1"/>
        <rFont val="Calibri"/>
        <family val="2"/>
        <scheme val="minor"/>
      </rPr>
      <t xml:space="preserve"> ATG3</t>
    </r>
    <r>
      <rPr>
        <sz val="11"/>
        <color theme="1"/>
        <rFont val="Calibri"/>
        <family val="2"/>
        <scheme val="minor"/>
      </rPr>
      <t xml:space="preserve"> were able to sensitize cancer cells to DNA-damaging agents such as </t>
    </r>
    <r>
      <rPr>
        <b/>
        <sz val="11"/>
        <color theme="1"/>
        <rFont val="Calibri"/>
        <family val="2"/>
        <scheme val="minor"/>
      </rPr>
      <t>cisplatin</t>
    </r>
    <r>
      <rPr>
        <sz val="11"/>
        <color theme="1"/>
        <rFont val="Calibri"/>
        <family val="2"/>
        <scheme val="minor"/>
      </rPr>
      <t xml:space="preserve">. </t>
    </r>
    <r>
      <rPr>
        <b/>
        <sz val="11"/>
        <color theme="1"/>
        <rFont val="Calibri"/>
        <family val="2"/>
        <scheme val="minor"/>
      </rPr>
      <t xml:space="preserve">4) </t>
    </r>
    <r>
      <rPr>
        <sz val="11"/>
        <color theme="1"/>
        <rFont val="Calibri"/>
        <family val="2"/>
        <scheme val="minor"/>
      </rPr>
      <t xml:space="preserve">High FAK alone or combined with low JWA expression significantly correlated with worse overall survival (OS) in </t>
    </r>
    <r>
      <rPr>
        <b/>
        <sz val="11"/>
        <color theme="1"/>
        <rFont val="Calibri"/>
        <family val="2"/>
        <scheme val="minor"/>
      </rPr>
      <t>gastric</t>
    </r>
    <r>
      <rPr>
        <sz val="11"/>
        <color theme="1"/>
        <rFont val="Calibri"/>
        <family val="2"/>
        <scheme val="minor"/>
      </rPr>
      <t xml:space="preserve"> cancer patients under adjuvant fluorouracil-leucovorin-</t>
    </r>
    <r>
      <rPr>
        <b/>
        <sz val="11"/>
        <color theme="1"/>
        <rFont val="Calibri"/>
        <family val="2"/>
        <scheme val="minor"/>
      </rPr>
      <t>oxaliplatin</t>
    </r>
    <r>
      <rPr>
        <sz val="11"/>
        <color theme="1"/>
        <rFont val="Calibri"/>
        <family val="2"/>
        <scheme val="minor"/>
      </rPr>
      <t xml:space="preserve"> treatment. </t>
    </r>
  </si>
  <si>
    <r>
      <rPr>
        <b/>
        <sz val="11"/>
        <color theme="1"/>
        <rFont val="Calibri"/>
        <family val="2"/>
        <scheme val="minor"/>
      </rPr>
      <t>1)</t>
    </r>
    <r>
      <rPr>
        <sz val="11"/>
        <color theme="1"/>
        <rFont val="Calibri"/>
        <family val="2"/>
        <scheme val="minor"/>
      </rPr>
      <t xml:space="preserve"> PTPN3 gene expression was substantially increased in both </t>
    </r>
    <r>
      <rPr>
        <b/>
        <sz val="11"/>
        <color theme="1"/>
        <rFont val="Calibri"/>
        <family val="2"/>
        <scheme val="minor"/>
      </rPr>
      <t>cisplatin</t>
    </r>
    <r>
      <rPr>
        <sz val="11"/>
        <color theme="1"/>
        <rFont val="Calibri"/>
        <family val="2"/>
        <scheme val="minor"/>
      </rPr>
      <t xml:space="preserve"> and doxorubicin-resistant </t>
    </r>
    <r>
      <rPr>
        <b/>
        <sz val="11"/>
        <color theme="1"/>
        <rFont val="Calibri"/>
        <family val="2"/>
        <scheme val="minor"/>
      </rPr>
      <t>ovarian</t>
    </r>
    <r>
      <rPr>
        <sz val="11"/>
        <color theme="1"/>
        <rFont val="Calibri"/>
        <family val="2"/>
        <scheme val="minor"/>
      </rPr>
      <t xml:space="preserve"> cancer cells. </t>
    </r>
    <r>
      <rPr>
        <b/>
        <sz val="11"/>
        <color theme="1"/>
        <rFont val="Calibri"/>
        <family val="2"/>
        <scheme val="minor"/>
      </rPr>
      <t xml:space="preserve">2) </t>
    </r>
    <r>
      <rPr>
        <sz val="11"/>
        <color theme="1"/>
        <rFont val="Calibri"/>
        <family val="2"/>
        <scheme val="minor"/>
      </rPr>
      <t xml:space="preserve">Silencing of PTPN3 restored sensitivity to cisplatin and doxorubicin in resistant ovarian cancer cells. </t>
    </r>
    <r>
      <rPr>
        <b/>
        <sz val="11"/>
        <color theme="1"/>
        <rFont val="Calibri"/>
        <family val="2"/>
        <scheme val="minor"/>
      </rPr>
      <t>3)</t>
    </r>
    <r>
      <rPr>
        <sz val="11"/>
        <color theme="1"/>
        <rFont val="Calibri"/>
        <family val="2"/>
        <scheme val="minor"/>
      </rPr>
      <t xml:space="preserve"> Down-regulation of PTPN3 also inhibited cell cycle progression, migration, stemness in vitro and the tumorigenicity of resistant ovarian cancer cells in vivo. </t>
    </r>
    <r>
      <rPr>
        <b/>
        <sz val="11"/>
        <color theme="1"/>
        <rFont val="Calibri"/>
        <family val="2"/>
        <scheme val="minor"/>
      </rPr>
      <t xml:space="preserve">4) </t>
    </r>
    <r>
      <rPr>
        <sz val="11"/>
        <color theme="1"/>
        <rFont val="Calibri"/>
        <family val="2"/>
        <scheme val="minor"/>
      </rPr>
      <t xml:space="preserve">the expression of PTPN3 was found to be regulated by miR-199 in resistant ovarian cancer cells. </t>
    </r>
  </si>
  <si>
    <r>
      <rPr>
        <b/>
        <sz val="11"/>
        <color theme="1"/>
        <rFont val="Calibri"/>
        <family val="2"/>
        <scheme val="minor"/>
      </rPr>
      <t>1) cisplatin</t>
    </r>
    <r>
      <rPr>
        <sz val="11"/>
        <color theme="1"/>
        <rFont val="Calibri"/>
        <family val="2"/>
        <scheme val="minor"/>
      </rPr>
      <t xml:space="preserve"> resistance was dependent on </t>
    </r>
    <r>
      <rPr>
        <b/>
        <sz val="11"/>
        <color theme="1"/>
        <rFont val="Calibri"/>
        <family val="2"/>
        <scheme val="minor"/>
      </rPr>
      <t>PXN</t>
    </r>
    <r>
      <rPr>
        <sz val="11"/>
        <color theme="1"/>
        <rFont val="Calibri"/>
        <family val="2"/>
        <scheme val="minor"/>
      </rPr>
      <t xml:space="preserve"> expression: PXN overexpression in TL-13 and TL-10 cells increased resistance; PXN knockdown in H23 and CL1-5 cells decreased resistance. </t>
    </r>
    <r>
      <rPr>
        <b/>
        <sz val="11"/>
        <color theme="1"/>
        <rFont val="Calibri"/>
        <family val="2"/>
        <scheme val="minor"/>
      </rPr>
      <t xml:space="preserve">2) </t>
    </r>
    <r>
      <rPr>
        <sz val="11"/>
        <color theme="1"/>
        <rFont val="Calibri"/>
        <family val="2"/>
        <scheme val="minor"/>
      </rPr>
      <t xml:space="preserve">the phosphorylation of PXN at Y118 and Y31 via the </t>
    </r>
    <r>
      <rPr>
        <b/>
        <sz val="11"/>
        <color theme="1"/>
        <rFont val="Calibri"/>
        <family val="2"/>
        <scheme val="minor"/>
      </rPr>
      <t>Src pathway</t>
    </r>
    <r>
      <rPr>
        <sz val="11"/>
        <color theme="1"/>
        <rFont val="Calibri"/>
        <family val="2"/>
        <scheme val="minor"/>
      </rPr>
      <t xml:space="preserve"> was responsible for cisplatin resistance; </t>
    </r>
    <r>
      <rPr>
        <b/>
        <sz val="11"/>
        <color theme="1"/>
        <rFont val="Calibri"/>
        <family val="2"/>
        <scheme val="minor"/>
      </rPr>
      <t>ERK activation</t>
    </r>
    <r>
      <rPr>
        <sz val="11"/>
        <color theme="1"/>
        <rFont val="Calibri"/>
        <family val="2"/>
        <scheme val="minor"/>
      </rPr>
      <t xml:space="preserve"> was also dependent on this PXN phosphorylation; </t>
    </r>
    <r>
      <rPr>
        <b/>
        <sz val="11"/>
        <color theme="1"/>
        <rFont val="Calibri"/>
        <family val="2"/>
        <scheme val="minor"/>
      </rPr>
      <t>Bcl-2</t>
    </r>
    <r>
      <rPr>
        <sz val="11"/>
        <color theme="1"/>
        <rFont val="Calibri"/>
        <family val="2"/>
        <scheme val="minor"/>
      </rPr>
      <t xml:space="preserve"> transcription was upregulated by phosphorylated PXN-mediated ERK activation via increased binding of</t>
    </r>
    <r>
      <rPr>
        <b/>
        <sz val="11"/>
        <color theme="1"/>
        <rFont val="Calibri"/>
        <family val="2"/>
        <scheme val="minor"/>
      </rPr>
      <t xml:space="preserve"> phosphorylated CREB</t>
    </r>
    <r>
      <rPr>
        <sz val="11"/>
        <color theme="1"/>
        <rFont val="Calibri"/>
        <family val="2"/>
        <scheme val="minor"/>
      </rPr>
      <t xml:space="preserve"> to the Bcl-2 promoter. </t>
    </r>
    <r>
      <rPr>
        <b/>
        <sz val="11"/>
        <color theme="1"/>
        <rFont val="Calibri"/>
        <family val="2"/>
        <scheme val="minor"/>
      </rPr>
      <t>3)</t>
    </r>
    <r>
      <rPr>
        <sz val="11"/>
        <color theme="1"/>
        <rFont val="Calibri"/>
        <family val="2"/>
        <scheme val="minor"/>
      </rPr>
      <t xml:space="preserve"> xenograft tumors induced by TL-13-overexpressing cells were successfully suppressed by cisplatin combined with Src or ERK inhibitor compared with treatment of cisplatin, Src inhibitor or ERK inhibitor alone. </t>
    </r>
    <r>
      <rPr>
        <b/>
        <sz val="11"/>
        <color theme="1"/>
        <rFont val="Calibri"/>
        <family val="2"/>
        <scheme val="minor"/>
      </rPr>
      <t>4)</t>
    </r>
    <r>
      <rPr>
        <sz val="11"/>
        <color theme="1"/>
        <rFont val="Calibri"/>
        <family val="2"/>
        <scheme val="minor"/>
      </rPr>
      <t xml:space="preserve"> A positive correlation of phosphorylated PXN with phosphorylated ERK and Bcl-2 was observed in lung tumors from </t>
    </r>
    <r>
      <rPr>
        <b/>
        <sz val="11"/>
        <color theme="1"/>
        <rFont val="Calibri"/>
        <family val="2"/>
        <scheme val="minor"/>
      </rPr>
      <t>NSCLC</t>
    </r>
    <r>
      <rPr>
        <sz val="11"/>
        <color theme="1"/>
        <rFont val="Calibri"/>
        <family val="2"/>
        <scheme val="minor"/>
      </rPr>
      <t xml:space="preserve"> patients. </t>
    </r>
    <r>
      <rPr>
        <b/>
        <sz val="11"/>
        <color theme="1"/>
        <rFont val="Calibri"/>
        <family val="2"/>
        <scheme val="minor"/>
      </rPr>
      <t xml:space="preserve">5) </t>
    </r>
    <r>
      <rPr>
        <sz val="11"/>
        <color theme="1"/>
        <rFont val="Calibri"/>
        <family val="2"/>
        <scheme val="minor"/>
      </rPr>
      <t xml:space="preserve">Patients with tumors positive for PXN, phosphorylated PXN, phosphorylated ERK and Bcl-2 more commonly showed a poorer response to </t>
    </r>
    <r>
      <rPr>
        <b/>
        <sz val="11"/>
        <color theme="1"/>
        <rFont val="Calibri"/>
        <family val="2"/>
        <scheme val="minor"/>
      </rPr>
      <t>cisplatin-based chemotherapy</t>
    </r>
    <r>
      <rPr>
        <sz val="11"/>
        <color theme="1"/>
        <rFont val="Calibri"/>
        <family val="2"/>
        <scheme val="minor"/>
      </rPr>
      <t xml:space="preserve"> than did patients with negative tumors. </t>
    </r>
  </si>
  <si>
    <r>
      <rPr>
        <b/>
        <sz val="11"/>
        <color theme="1"/>
        <rFont val="Calibri"/>
        <family val="2"/>
        <scheme val="minor"/>
      </rPr>
      <t>1) Rab18</t>
    </r>
    <r>
      <rPr>
        <sz val="11"/>
        <color theme="1"/>
        <rFont val="Calibri"/>
        <family val="2"/>
        <scheme val="minor"/>
      </rPr>
      <t xml:space="preserve"> was upregulated in 45/112 (40.2%) cases of </t>
    </r>
    <r>
      <rPr>
        <b/>
        <sz val="11"/>
        <color theme="1"/>
        <rFont val="Calibri"/>
        <family val="2"/>
        <scheme val="minor"/>
      </rPr>
      <t>HNSCC</t>
    </r>
    <r>
      <rPr>
        <sz val="11"/>
        <color theme="1"/>
        <rFont val="Calibri"/>
        <family val="2"/>
        <scheme val="minor"/>
      </rPr>
      <t xml:space="preserve"> tissues, which correlated with advanced T classification, positive nodal metastasis and tumor node metastasis (TNM) stage. </t>
    </r>
    <r>
      <rPr>
        <b/>
        <sz val="11"/>
        <color theme="1"/>
        <rFont val="Calibri"/>
        <family val="2"/>
        <scheme val="minor"/>
      </rPr>
      <t>2) Rab18</t>
    </r>
    <r>
      <rPr>
        <sz val="11"/>
        <color theme="1"/>
        <rFont val="Calibri"/>
        <family val="2"/>
        <scheme val="minor"/>
      </rPr>
      <t xml:space="preserve"> was elevated in human HNSCC tissues and correlated with poor patient survival. </t>
    </r>
    <r>
      <rPr>
        <b/>
        <sz val="11"/>
        <color theme="1"/>
        <rFont val="Calibri"/>
        <family val="2"/>
        <scheme val="minor"/>
      </rPr>
      <t>3) Rab18</t>
    </r>
    <r>
      <rPr>
        <sz val="11"/>
        <color theme="1"/>
        <rFont val="Calibri"/>
        <family val="2"/>
        <scheme val="minor"/>
      </rPr>
      <t xml:space="preserve"> overexpression increased growth rate, colony numbers, cell cycle progression and invading ability in FaDu cells. </t>
    </r>
    <r>
      <rPr>
        <b/>
        <sz val="11"/>
        <color theme="1"/>
        <rFont val="Calibri"/>
        <family val="2"/>
        <scheme val="minor"/>
      </rPr>
      <t>4) Rab18</t>
    </r>
    <r>
      <rPr>
        <sz val="11"/>
        <color theme="1"/>
        <rFont val="Calibri"/>
        <family val="2"/>
        <scheme val="minor"/>
      </rPr>
      <t xml:space="preserve"> downregulated </t>
    </r>
    <r>
      <rPr>
        <b/>
        <sz val="11"/>
        <color theme="1"/>
        <rFont val="Calibri"/>
        <family val="2"/>
        <scheme val="minor"/>
      </rPr>
      <t>cisplatin</t>
    </r>
    <r>
      <rPr>
        <sz val="11"/>
        <color theme="1"/>
        <rFont val="Calibri"/>
        <family val="2"/>
        <scheme val="minor"/>
      </rPr>
      <t xml:space="preserve">-induced apoptosis and upregulated the mitochondrial membrane potential (Δψm). </t>
    </r>
    <r>
      <rPr>
        <b/>
        <sz val="11"/>
        <color theme="1"/>
        <rFont val="Calibri"/>
        <family val="2"/>
        <scheme val="minor"/>
      </rPr>
      <t>5) Rab18</t>
    </r>
    <r>
      <rPr>
        <sz val="11"/>
        <color theme="1"/>
        <rFont val="Calibri"/>
        <family val="2"/>
        <scheme val="minor"/>
      </rPr>
      <t xml:space="preserve"> overexpression induced </t>
    </r>
    <r>
      <rPr>
        <b/>
        <sz val="11"/>
        <color theme="1"/>
        <rFont val="Calibri"/>
        <family val="2"/>
        <scheme val="minor"/>
      </rPr>
      <t>epithelial-to-mesenchymal</t>
    </r>
    <r>
      <rPr>
        <sz val="11"/>
        <color theme="1"/>
        <rFont val="Calibri"/>
        <family val="2"/>
        <scheme val="minor"/>
      </rPr>
      <t xml:space="preserve"> transition, with downregulation of E-cadherin and upregulation of N-cadherin, Vimentin and Twist. </t>
    </r>
    <r>
      <rPr>
        <b/>
        <sz val="11"/>
        <color theme="1"/>
        <rFont val="Calibri"/>
        <family val="2"/>
        <scheme val="minor"/>
      </rPr>
      <t>6) Rab18</t>
    </r>
    <r>
      <rPr>
        <sz val="11"/>
        <color theme="1"/>
        <rFont val="Calibri"/>
        <family val="2"/>
        <scheme val="minor"/>
      </rPr>
      <t xml:space="preserve"> overexpression also upregulated Survivin protein and Rab18 knockdown showed the opposite effects on these proteins. </t>
    </r>
    <r>
      <rPr>
        <b/>
        <sz val="11"/>
        <color theme="1"/>
        <rFont val="Calibri"/>
        <family val="2"/>
        <scheme val="minor"/>
      </rPr>
      <t>7)</t>
    </r>
    <r>
      <rPr>
        <sz val="11"/>
        <color theme="1"/>
        <rFont val="Calibri"/>
        <family val="2"/>
        <scheme val="minor"/>
      </rPr>
      <t xml:space="preserve"> Treatment of STAT3 inhibitor, SH-4-54, inhibited cell invasion, increased E-cadherin and downregulated N-cadherin, Twist and ﻿Survivin. SH-4-54 also abolished the effects of BCAT1 on these proteins, as well as cell invasion.</t>
    </r>
  </si>
  <si>
    <r>
      <rPr>
        <b/>
        <sz val="11"/>
        <color theme="1"/>
        <rFont val="Calibri"/>
        <family val="2"/>
        <scheme val="minor"/>
      </rPr>
      <t xml:space="preserve">1) </t>
    </r>
    <r>
      <rPr>
        <sz val="11"/>
        <color theme="1"/>
        <rFont val="Calibri"/>
        <family val="2"/>
        <scheme val="minor"/>
      </rPr>
      <t xml:space="preserve">Rab25 regulates HIF-1α protein expression in an oxygen independent manner in a panel of </t>
    </r>
    <r>
      <rPr>
        <b/>
        <sz val="11"/>
        <color theme="1"/>
        <rFont val="Calibri"/>
        <family val="2"/>
        <scheme val="minor"/>
      </rPr>
      <t>ovarian</t>
    </r>
    <r>
      <rPr>
        <sz val="11"/>
        <color theme="1"/>
        <rFont val="Calibri"/>
        <family val="2"/>
        <scheme val="minor"/>
      </rPr>
      <t xml:space="preserve"> cancer cell lines. </t>
    </r>
    <r>
      <rPr>
        <b/>
        <sz val="11"/>
        <color theme="1"/>
        <rFont val="Calibri"/>
        <family val="2"/>
        <scheme val="minor"/>
      </rPr>
      <t xml:space="preserve">2) </t>
    </r>
    <r>
      <rPr>
        <sz val="11"/>
        <color theme="1"/>
        <rFont val="Calibri"/>
        <family val="2"/>
        <scheme val="minor"/>
      </rPr>
      <t xml:space="preserve">Regulation of HIF-1α protein expression by Rab25 did not require transcriptional upregulation, but was dependent on de novo protein synthesis through the Erbb2/ERK1/2 and p70S6K/mTOR pathways. </t>
    </r>
    <r>
      <rPr>
        <b/>
        <sz val="11"/>
        <color theme="1"/>
        <rFont val="Calibri"/>
        <family val="2"/>
        <scheme val="minor"/>
      </rPr>
      <t xml:space="preserve">3) </t>
    </r>
    <r>
      <rPr>
        <sz val="11"/>
        <color theme="1"/>
        <rFont val="Calibri"/>
        <family val="2"/>
        <scheme val="minor"/>
      </rPr>
      <t xml:space="preserve">Rab25 expression induced HIF-1 transcriptional activity, increased </t>
    </r>
    <r>
      <rPr>
        <b/>
        <sz val="11"/>
        <color theme="1"/>
        <rFont val="Calibri"/>
        <family val="2"/>
        <scheme val="minor"/>
      </rPr>
      <t>cisplatin</t>
    </r>
    <r>
      <rPr>
        <sz val="11"/>
        <color theme="1"/>
        <rFont val="Calibri"/>
        <family val="2"/>
        <scheme val="minor"/>
      </rPr>
      <t xml:space="preserve"> resistance, and conferred intraperitoneal growth to the A2780 cell line in immunocompromised mice. </t>
    </r>
    <r>
      <rPr>
        <b/>
        <sz val="11"/>
        <color theme="1"/>
        <rFont val="Calibri"/>
        <family val="2"/>
        <scheme val="minor"/>
      </rPr>
      <t>4)</t>
    </r>
    <r>
      <rPr>
        <sz val="11"/>
        <color theme="1"/>
        <rFont val="Calibri"/>
        <family val="2"/>
        <scheme val="minor"/>
      </rPr>
      <t xml:space="preserve"> RAB25 mRNA and protein expression in </t>
    </r>
    <r>
      <rPr>
        <b/>
        <sz val="11"/>
        <color theme="1"/>
        <rFont val="Calibri"/>
        <family val="2"/>
        <scheme val="minor"/>
      </rPr>
      <t>prostate</t>
    </r>
    <r>
      <rPr>
        <sz val="11"/>
        <color theme="1"/>
        <rFont val="Calibri"/>
        <family val="2"/>
        <scheme val="minor"/>
      </rPr>
      <t xml:space="preserve"> cancer (PCa) tissues were both significantly higher (both P &lt; 0.001). </t>
    </r>
    <r>
      <rPr>
        <b/>
        <sz val="11"/>
        <color theme="1"/>
        <rFont val="Calibri"/>
        <family val="2"/>
        <scheme val="minor"/>
      </rPr>
      <t>5)</t>
    </r>
    <r>
      <rPr>
        <sz val="11"/>
        <color theme="1"/>
        <rFont val="Calibri"/>
        <family val="2"/>
        <scheme val="minor"/>
      </rPr>
      <t xml:space="preserve"> High Rab25 immunoreactive score (IRS)  was significantly associated with high Gleason score (P = 0.02) and distant metastasis (P = 0.01). </t>
    </r>
    <r>
      <rPr>
        <b/>
        <sz val="11"/>
        <color theme="1"/>
        <rFont val="Calibri"/>
        <family val="2"/>
        <scheme val="minor"/>
      </rPr>
      <t xml:space="preserve">6) </t>
    </r>
    <r>
      <rPr>
        <sz val="11"/>
        <color theme="1"/>
        <rFont val="Calibri"/>
        <family val="2"/>
        <scheme val="minor"/>
      </rPr>
      <t xml:space="preserve">PCa patients with high Rab25 IRS had shorter overall and biochemical recurrence-free survivals than those with low Rab25 IRS (both P &lt; 0.001). </t>
    </r>
  </si>
  <si>
    <r>
      <rPr>
        <b/>
        <sz val="11"/>
        <color theme="1"/>
        <rFont val="Calibri"/>
        <family val="2"/>
        <scheme val="minor"/>
      </rPr>
      <t>1)</t>
    </r>
    <r>
      <rPr>
        <sz val="11"/>
        <color theme="1"/>
        <rFont val="Calibri"/>
        <family val="2"/>
        <scheme val="minor"/>
      </rPr>
      <t xml:space="preserve"> Quantitative proteomic analysis identified 340 differentially expressed proteins between </t>
    </r>
    <r>
      <rPr>
        <b/>
        <sz val="11"/>
        <color theme="1"/>
        <rFont val="Calibri"/>
        <family val="2"/>
        <scheme val="minor"/>
      </rPr>
      <t>OC</t>
    </r>
    <r>
      <rPr>
        <sz val="11"/>
        <color theme="1"/>
        <rFont val="Calibri"/>
        <family val="2"/>
        <scheme val="minor"/>
      </rPr>
      <t xml:space="preserve"> A2780 and A2780-DR cells, which involve in diverse cellular processes, including metabolic process, cellular component biogenesis, cellular processes, and stress responses. </t>
    </r>
    <r>
      <rPr>
        <b/>
        <sz val="11"/>
        <color theme="1"/>
        <rFont val="Calibri"/>
        <family val="2"/>
        <scheme val="minor"/>
      </rPr>
      <t xml:space="preserve">2) </t>
    </r>
    <r>
      <rPr>
        <sz val="11"/>
        <color theme="1"/>
        <rFont val="Calibri"/>
        <family val="2"/>
        <scheme val="minor"/>
      </rPr>
      <t xml:space="preserve">Expression levels of Ras-related proteins </t>
    </r>
    <r>
      <rPr>
        <b/>
        <sz val="11"/>
        <color theme="1"/>
        <rFont val="Calibri"/>
        <family val="2"/>
        <scheme val="minor"/>
      </rPr>
      <t>Rab 5C</t>
    </r>
    <r>
      <rPr>
        <sz val="11"/>
        <color theme="1"/>
        <rFont val="Calibri"/>
        <family val="2"/>
        <scheme val="minor"/>
      </rPr>
      <t xml:space="preserve"> and </t>
    </r>
    <r>
      <rPr>
        <b/>
        <sz val="11"/>
        <color theme="1"/>
        <rFont val="Calibri"/>
        <family val="2"/>
        <scheme val="minor"/>
      </rPr>
      <t>Rab 11B</t>
    </r>
    <r>
      <rPr>
        <sz val="11"/>
        <color theme="1"/>
        <rFont val="Calibri"/>
        <family val="2"/>
        <scheme val="minor"/>
      </rPr>
      <t xml:space="preserve"> in A2780-DR cells were lower than those in A2780 cells. </t>
    </r>
    <r>
      <rPr>
        <b/>
        <sz val="11"/>
        <color theme="1"/>
        <rFont val="Calibri"/>
        <family val="2"/>
        <scheme val="minor"/>
      </rPr>
      <t>3)</t>
    </r>
    <r>
      <rPr>
        <sz val="11"/>
        <color theme="1"/>
        <rFont val="Calibri"/>
        <family val="2"/>
        <scheme val="minor"/>
      </rPr>
      <t xml:space="preserve"> (sh)RNA knockdown of Rab 5C in A2780 cells resulted in markedly increased resistance to </t>
    </r>
    <r>
      <rPr>
        <b/>
        <sz val="11"/>
        <color theme="1"/>
        <rFont val="Calibri"/>
        <family val="2"/>
        <scheme val="minor"/>
      </rPr>
      <t>cisplatin</t>
    </r>
    <r>
      <rPr>
        <sz val="11"/>
        <color theme="1"/>
        <rFont val="Calibri"/>
        <family val="2"/>
        <scheme val="minor"/>
      </rPr>
      <t xml:space="preserve"> </t>
    </r>
    <r>
      <rPr>
        <b/>
        <sz val="11"/>
        <color theme="1"/>
        <rFont val="Calibri"/>
        <family val="2"/>
        <scheme val="minor"/>
      </rPr>
      <t xml:space="preserve">4) </t>
    </r>
    <r>
      <rPr>
        <sz val="11"/>
        <color theme="1"/>
        <rFont val="Calibri"/>
        <family val="2"/>
        <scheme val="minor"/>
      </rPr>
      <t xml:space="preserve">overexpression of Rab 5C in A2780-DR cells increases sensitivity to cisplatin, demonstrating that Rab 5C-dependent </t>
    </r>
    <r>
      <rPr>
        <b/>
        <sz val="11"/>
        <color theme="1"/>
        <rFont val="Calibri"/>
        <family val="2"/>
        <scheme val="minor"/>
      </rPr>
      <t>endocytosis</t>
    </r>
    <r>
      <rPr>
        <sz val="11"/>
        <color theme="1"/>
        <rFont val="Calibri"/>
        <family val="2"/>
        <scheme val="minor"/>
      </rPr>
      <t xml:space="preserve"> plays an important role in cisplatin resistance. </t>
    </r>
  </si>
  <si>
    <r>
      <rPr>
        <b/>
        <sz val="11"/>
        <color theme="1"/>
        <rFont val="Calibri"/>
        <family val="2"/>
        <scheme val="minor"/>
      </rPr>
      <t xml:space="preserve">1) </t>
    </r>
    <r>
      <rPr>
        <sz val="11"/>
        <color theme="1"/>
        <rFont val="Calibri"/>
        <family val="2"/>
        <scheme val="minor"/>
      </rPr>
      <t xml:space="preserve">The hypoxic microenvironment promotes the release of exosomes determining the acquisition of a more aggressive phenotype and resistance to </t>
    </r>
    <r>
      <rPr>
        <b/>
        <sz val="11"/>
        <color theme="1"/>
        <rFont val="Calibri"/>
        <family val="2"/>
        <scheme val="minor"/>
      </rPr>
      <t>cisplatin</t>
    </r>
    <r>
      <rPr>
        <sz val="11"/>
        <color theme="1"/>
        <rFont val="Calibri"/>
        <family val="2"/>
        <scheme val="minor"/>
      </rPr>
      <t>.</t>
    </r>
    <r>
      <rPr>
        <b/>
        <sz val="11"/>
        <color theme="1"/>
        <rFont val="Calibri"/>
        <family val="2"/>
        <scheme val="minor"/>
      </rPr>
      <t xml:space="preserve"> 2)</t>
    </r>
    <r>
      <rPr>
        <sz val="11"/>
        <color theme="1"/>
        <rFont val="Calibri"/>
        <family val="2"/>
        <scheme val="minor"/>
      </rPr>
      <t xml:space="preserve"> In hypoxic conditions, </t>
    </r>
    <r>
      <rPr>
        <b/>
        <sz val="11"/>
        <color theme="1"/>
        <rFont val="Calibri"/>
        <family val="2"/>
        <scheme val="minor"/>
      </rPr>
      <t>ovarian</t>
    </r>
    <r>
      <rPr>
        <sz val="11"/>
        <color theme="1"/>
        <rFont val="Calibri"/>
        <family val="2"/>
        <scheme val="minor"/>
      </rPr>
      <t xml:space="preserve"> cancer cells, </t>
    </r>
    <r>
      <rPr>
        <b/>
        <sz val="11"/>
        <color theme="1"/>
        <rFont val="Calibri"/>
        <family val="2"/>
        <scheme val="minor"/>
      </rPr>
      <t>STAT3</t>
    </r>
    <r>
      <rPr>
        <sz val="11"/>
        <color theme="1"/>
        <rFont val="Calibri"/>
        <family val="2"/>
        <scheme val="minor"/>
      </rPr>
      <t xml:space="preserve"> upregulate </t>
    </r>
    <r>
      <rPr>
        <b/>
        <sz val="11"/>
        <color theme="1"/>
        <rFont val="Calibri"/>
        <family val="2"/>
        <scheme val="minor"/>
      </rPr>
      <t>RAB27</t>
    </r>
    <r>
      <rPr>
        <sz val="11"/>
        <color theme="1"/>
        <rFont val="Calibri"/>
        <family val="2"/>
        <scheme val="minor"/>
      </rPr>
      <t xml:space="preserve"> (a RAB protein controlling late endosome docking with the plasma membrane) and downregulate </t>
    </r>
    <r>
      <rPr>
        <b/>
        <sz val="11"/>
        <color theme="1"/>
        <rFont val="Calibri"/>
        <family val="2"/>
        <scheme val="minor"/>
      </rPr>
      <t>RAB7</t>
    </r>
    <r>
      <rPr>
        <sz val="11"/>
        <color theme="1"/>
        <rFont val="Calibri"/>
        <family val="2"/>
        <scheme val="minor"/>
      </rPr>
      <t xml:space="preserve">. </t>
    </r>
    <r>
      <rPr>
        <b/>
        <sz val="11"/>
        <color theme="1"/>
        <rFont val="Calibri"/>
        <family val="2"/>
        <scheme val="minor"/>
      </rPr>
      <t xml:space="preserve">3) </t>
    </r>
    <r>
      <rPr>
        <sz val="11"/>
        <color theme="1"/>
        <rFont val="Calibri"/>
        <family val="2"/>
        <scheme val="minor"/>
      </rPr>
      <t xml:space="preserve">a significant increase in the number of exosomes released in sera of </t>
    </r>
    <r>
      <rPr>
        <b/>
        <sz val="11"/>
        <color theme="1"/>
        <rFont val="Calibri"/>
        <family val="2"/>
        <scheme val="minor"/>
      </rPr>
      <t>cisplatin</t>
    </r>
    <r>
      <rPr>
        <sz val="11"/>
        <color theme="1"/>
        <rFont val="Calibri"/>
        <family val="2"/>
        <scheme val="minor"/>
      </rPr>
      <t xml:space="preserve">-resistant compared to drug sensitive patients: the analysis of cisplatin in exosomes has revelated that hypoxia impacts on the exosomal-mediated </t>
    </r>
    <r>
      <rPr>
        <b/>
        <sz val="11"/>
        <color theme="1"/>
        <rFont val="Calibri"/>
        <family val="2"/>
        <scheme val="minor"/>
      </rPr>
      <t>efflux</t>
    </r>
    <r>
      <rPr>
        <sz val="11"/>
        <color theme="1"/>
        <rFont val="Calibri"/>
        <family val="2"/>
        <scheme val="minor"/>
      </rPr>
      <t xml:space="preserve"> of cisplatin from ovarian cancer cells. </t>
    </r>
    <r>
      <rPr>
        <b/>
        <sz val="11"/>
        <color theme="1"/>
        <rFont val="Calibri"/>
        <family val="2"/>
        <scheme val="minor"/>
      </rPr>
      <t>4)</t>
    </r>
    <r>
      <rPr>
        <sz val="11"/>
        <color theme="1"/>
        <rFont val="Calibri"/>
        <family val="2"/>
        <scheme val="minor"/>
      </rPr>
      <t xml:space="preserve"> down-regulation of </t>
    </r>
    <r>
      <rPr>
        <b/>
        <sz val="11"/>
        <color theme="1"/>
        <rFont val="Calibri"/>
        <family val="2"/>
        <scheme val="minor"/>
      </rPr>
      <t>RAB7A</t>
    </r>
    <r>
      <rPr>
        <sz val="11"/>
        <color theme="1"/>
        <rFont val="Calibri"/>
        <family val="2"/>
        <scheme val="minor"/>
      </rPr>
      <t xml:space="preserve"> characterizes the chemoresistant phenotype, and that </t>
    </r>
    <r>
      <rPr>
        <b/>
        <sz val="11"/>
        <color theme="1"/>
        <rFont val="Calibri"/>
        <family val="2"/>
        <scheme val="minor"/>
      </rPr>
      <t>RAB7A</t>
    </r>
    <r>
      <rPr>
        <sz val="11"/>
        <color theme="1"/>
        <rFont val="Calibri"/>
        <family val="2"/>
        <scheme val="minor"/>
      </rPr>
      <t xml:space="preserve"> depletion increases </t>
    </r>
    <r>
      <rPr>
        <b/>
        <sz val="11"/>
        <color theme="1"/>
        <rFont val="Calibri"/>
        <family val="2"/>
        <scheme val="minor"/>
      </rPr>
      <t>CDDP</t>
    </r>
    <r>
      <rPr>
        <sz val="11"/>
        <color theme="1"/>
        <rFont val="Calibri"/>
        <family val="2"/>
        <scheme val="minor"/>
      </rPr>
      <t xml:space="preserve">-resistance while RAB7A overexpression decreases it. </t>
    </r>
    <r>
      <rPr>
        <b/>
        <sz val="11"/>
        <color theme="1"/>
        <rFont val="Calibri"/>
        <family val="2"/>
        <scheme val="minor"/>
      </rPr>
      <t>5)</t>
    </r>
    <r>
      <rPr>
        <sz val="11"/>
        <color theme="1"/>
        <rFont val="Calibri"/>
        <family val="2"/>
        <scheme val="minor"/>
      </rPr>
      <t xml:space="preserve"> increased production of extracellular vesicles is modulated by RAB7A expression levels and correlates with reduction of CDDP intracellular accumulation. </t>
    </r>
    <r>
      <rPr>
        <b/>
        <sz val="11"/>
        <color theme="1"/>
        <rFont val="Calibri"/>
        <family val="2"/>
        <scheme val="minor"/>
      </rPr>
      <t>6) RAB7A</t>
    </r>
    <r>
      <rPr>
        <sz val="11"/>
        <color theme="1"/>
        <rFont val="Calibri"/>
        <family val="2"/>
        <scheme val="minor"/>
      </rPr>
      <t xml:space="preserve"> expression in pre-chemotherapy cancer tissues may predict </t>
    </r>
    <r>
      <rPr>
        <b/>
        <sz val="11"/>
        <color theme="1"/>
        <rFont val="Calibri"/>
        <family val="2"/>
        <scheme val="minor"/>
      </rPr>
      <t>platinum</t>
    </r>
    <r>
      <rPr>
        <sz val="11"/>
        <color theme="1"/>
        <rFont val="Calibri"/>
        <family val="2"/>
        <scheme val="minor"/>
      </rPr>
      <t xml:space="preserve"> response in </t>
    </r>
    <r>
      <rPr>
        <b/>
        <sz val="11"/>
        <color theme="1"/>
        <rFont val="Calibri"/>
        <family val="2"/>
        <scheme val="minor"/>
      </rPr>
      <t>EOC</t>
    </r>
    <r>
      <rPr>
        <sz val="11"/>
        <color theme="1"/>
        <rFont val="Calibri"/>
        <family val="2"/>
        <scheme val="minor"/>
      </rPr>
      <t xml:space="preserve">. </t>
    </r>
  </si>
  <si>
    <r>
      <rPr>
        <b/>
        <sz val="11"/>
        <color theme="1"/>
        <rFont val="Calibri"/>
        <family val="2"/>
        <scheme val="minor"/>
      </rPr>
      <t xml:space="preserve">1) </t>
    </r>
    <r>
      <rPr>
        <sz val="11"/>
        <color theme="1"/>
        <rFont val="Calibri"/>
        <family val="2"/>
        <scheme val="minor"/>
      </rPr>
      <t xml:space="preserve">Expression of </t>
    </r>
    <r>
      <rPr>
        <b/>
        <sz val="11"/>
        <color theme="1"/>
        <rFont val="Calibri"/>
        <family val="2"/>
        <scheme val="minor"/>
      </rPr>
      <t xml:space="preserve">RAB8 </t>
    </r>
    <r>
      <rPr>
        <sz val="11"/>
        <color theme="1"/>
        <rFont val="Calibri"/>
        <family val="2"/>
        <scheme val="minor"/>
      </rPr>
      <t xml:space="preserve">was markedly elevated in human </t>
    </r>
    <r>
      <rPr>
        <b/>
        <sz val="11"/>
        <color theme="1"/>
        <rFont val="Calibri"/>
        <family val="2"/>
        <scheme val="minor"/>
      </rPr>
      <t>cisplatin</t>
    </r>
    <r>
      <rPr>
        <sz val="11"/>
        <color theme="1"/>
        <rFont val="Calibri"/>
        <family val="2"/>
        <scheme val="minor"/>
      </rPr>
      <t xml:space="preserve">-resistant cells. </t>
    </r>
    <r>
      <rPr>
        <b/>
        <sz val="11"/>
        <color theme="1"/>
        <rFont val="Calibri"/>
        <family val="2"/>
        <scheme val="minor"/>
      </rPr>
      <t>2) TMEM205</t>
    </r>
    <r>
      <rPr>
        <sz val="11"/>
        <color theme="1"/>
        <rFont val="Calibri"/>
        <family val="2"/>
        <scheme val="minor"/>
      </rPr>
      <t xml:space="preserve"> was co-localized with RAB8. </t>
    </r>
    <r>
      <rPr>
        <b/>
        <sz val="11"/>
        <color theme="1"/>
        <rFont val="Calibri"/>
        <family val="2"/>
        <scheme val="minor"/>
      </rPr>
      <t xml:space="preserve">3) </t>
    </r>
    <r>
      <rPr>
        <sz val="11"/>
        <color theme="1"/>
        <rFont val="Calibri"/>
        <family val="2"/>
        <scheme val="minor"/>
      </rPr>
      <t xml:space="preserve">Dual transfectants with over-expression of both TMEM205 and RAB8 were found to be up to 4-fold more resistant to cisplatin, </t>
    </r>
    <r>
      <rPr>
        <b/>
        <sz val="11"/>
        <color theme="1"/>
        <rFont val="Calibri"/>
        <family val="2"/>
        <scheme val="minor"/>
      </rPr>
      <t xml:space="preserve">4) </t>
    </r>
    <r>
      <rPr>
        <sz val="11"/>
        <color theme="1"/>
        <rFont val="Calibri"/>
        <family val="2"/>
        <scheme val="minor"/>
      </rPr>
      <t>cells transfected with RAB8 alone were ~2-fold more resistant.</t>
    </r>
  </si>
  <si>
    <r>
      <rPr>
        <b/>
        <sz val="11"/>
        <color theme="1"/>
        <rFont val="Calibri"/>
        <family val="2"/>
        <scheme val="minor"/>
      </rPr>
      <t xml:space="preserve">1) </t>
    </r>
    <r>
      <rPr>
        <sz val="11"/>
        <color theme="1"/>
        <rFont val="Calibri"/>
        <family val="2"/>
        <scheme val="minor"/>
      </rPr>
      <t xml:space="preserve">higher levels of </t>
    </r>
    <r>
      <rPr>
        <b/>
        <sz val="11"/>
        <color theme="1"/>
        <rFont val="Calibri"/>
        <family val="2"/>
        <scheme val="minor"/>
      </rPr>
      <t>RAC1</t>
    </r>
    <r>
      <rPr>
        <sz val="11"/>
        <color theme="1"/>
        <rFont val="Calibri"/>
        <family val="2"/>
        <scheme val="minor"/>
      </rPr>
      <t xml:space="preserve"> expression were associated with poorer prognosis in </t>
    </r>
    <r>
      <rPr>
        <b/>
        <sz val="11"/>
        <color theme="1"/>
        <rFont val="Calibri"/>
        <family val="2"/>
        <scheme val="minor"/>
      </rPr>
      <t>ESCC</t>
    </r>
    <r>
      <rPr>
        <sz val="11"/>
        <color theme="1"/>
        <rFont val="Calibri"/>
        <family val="2"/>
        <scheme val="minor"/>
      </rPr>
      <t xml:space="preserve"> patients. </t>
    </r>
    <r>
      <rPr>
        <b/>
        <sz val="11"/>
        <color theme="1"/>
        <rFont val="Calibri"/>
        <family val="2"/>
        <scheme val="minor"/>
      </rPr>
      <t xml:space="preserve">2) </t>
    </r>
    <r>
      <rPr>
        <sz val="11"/>
        <color theme="1"/>
        <rFont val="Calibri"/>
        <family val="2"/>
        <scheme val="minor"/>
      </rPr>
      <t xml:space="preserve">Enhanced RAC1 expression increased cell proliferation, migration, and chemoresistance in vitro. </t>
    </r>
    <r>
      <rPr>
        <b/>
        <sz val="11"/>
        <color theme="1"/>
        <rFont val="Calibri"/>
        <family val="2"/>
        <scheme val="minor"/>
      </rPr>
      <t xml:space="preserve">3) </t>
    </r>
    <r>
      <rPr>
        <sz val="11"/>
        <color theme="1"/>
        <rFont val="Calibri"/>
        <family val="2"/>
        <scheme val="minor"/>
      </rPr>
      <t xml:space="preserve">Combination therapy using RAC1 inhibitor </t>
    </r>
    <r>
      <rPr>
        <b/>
        <sz val="11"/>
        <color theme="1"/>
        <rFont val="Calibri"/>
        <family val="2"/>
        <scheme val="minor"/>
      </rPr>
      <t>EHop‐016</t>
    </r>
    <r>
      <rPr>
        <sz val="11"/>
        <color theme="1"/>
        <rFont val="Calibri"/>
        <family val="2"/>
        <scheme val="minor"/>
      </rPr>
      <t xml:space="preserve"> and </t>
    </r>
    <r>
      <rPr>
        <b/>
        <sz val="11"/>
        <color theme="1"/>
        <rFont val="Calibri"/>
        <family val="2"/>
        <scheme val="minor"/>
      </rPr>
      <t>cisplatin</t>
    </r>
    <r>
      <rPr>
        <sz val="11"/>
        <color theme="1"/>
        <rFont val="Calibri"/>
        <family val="2"/>
        <scheme val="minor"/>
      </rPr>
      <t xml:space="preserve"> significantly promoted cell viability inhibition, G2/M phase cycle arrest, and apoptosis. </t>
    </r>
    <r>
      <rPr>
        <b/>
        <sz val="11"/>
        <color theme="1"/>
        <rFont val="Calibri"/>
        <family val="2"/>
        <scheme val="minor"/>
      </rPr>
      <t>4)</t>
    </r>
    <r>
      <rPr>
        <sz val="11"/>
        <color theme="1"/>
        <rFont val="Calibri"/>
        <family val="2"/>
        <scheme val="minor"/>
      </rPr>
      <t xml:space="preserve"> Mechanistically, </t>
    </r>
    <r>
      <rPr>
        <b/>
        <sz val="11"/>
        <color theme="1"/>
        <rFont val="Calibri"/>
        <family val="2"/>
        <scheme val="minor"/>
      </rPr>
      <t>glycolysis</t>
    </r>
    <r>
      <rPr>
        <sz val="11"/>
        <color theme="1"/>
        <rFont val="Calibri"/>
        <family val="2"/>
        <scheme val="minor"/>
      </rPr>
      <t xml:space="preserve"> was significantly downregulated in the RAC1 inhibitor monotherapy group and the combination group via inhibiting </t>
    </r>
    <r>
      <rPr>
        <b/>
        <sz val="11"/>
        <color theme="1"/>
        <rFont val="Calibri"/>
        <family val="2"/>
        <scheme val="minor"/>
      </rPr>
      <t>AKT/FOXO3a</t>
    </r>
    <r>
      <rPr>
        <sz val="11"/>
        <color theme="1"/>
        <rFont val="Calibri"/>
        <family val="2"/>
        <scheme val="minor"/>
      </rPr>
      <t xml:space="preserve"> signaling. </t>
    </r>
    <r>
      <rPr>
        <b/>
        <sz val="11"/>
        <color theme="1"/>
        <rFont val="Calibri"/>
        <family val="2"/>
        <scheme val="minor"/>
      </rPr>
      <t xml:space="preserve">5) </t>
    </r>
    <r>
      <rPr>
        <sz val="11"/>
        <color theme="1"/>
        <rFont val="Calibri"/>
        <family val="2"/>
        <scheme val="minor"/>
      </rPr>
      <t xml:space="preserve">The silencing of RAC1 inhibited AKT/FOXO3a signaling and cell glycolysis while the upregulation of RAC1 produced an opposite effect. </t>
    </r>
    <r>
      <rPr>
        <b/>
        <sz val="11"/>
        <color theme="1"/>
        <rFont val="Calibri"/>
        <family val="2"/>
        <scheme val="minor"/>
      </rPr>
      <t>6)</t>
    </r>
    <r>
      <rPr>
        <sz val="11"/>
        <color theme="1"/>
        <rFont val="Calibri"/>
        <family val="2"/>
        <scheme val="minor"/>
      </rPr>
      <t xml:space="preserve"> In murine xenograft models, the tumor volume and the expression of glycolytic enzymes were significantly reduced in combination therapy when compared to each monotherapy group.</t>
    </r>
    <r>
      <rPr>
        <b/>
        <sz val="11"/>
        <color theme="1"/>
        <rFont val="Calibri"/>
        <family val="2"/>
        <scheme val="minor"/>
      </rPr>
      <t> 7)</t>
    </r>
    <r>
      <rPr>
        <sz val="11"/>
        <color theme="1"/>
        <rFont val="Calibri"/>
        <family val="2"/>
        <scheme val="minor"/>
      </rPr>
      <t xml:space="preserve"> </t>
    </r>
    <r>
      <rPr>
        <b/>
        <sz val="11"/>
        <color theme="1"/>
        <rFont val="Calibri"/>
        <family val="2"/>
        <scheme val="minor"/>
      </rPr>
      <t>CTR2</t>
    </r>
    <r>
      <rPr>
        <sz val="11"/>
        <color theme="1"/>
        <rFont val="Calibri"/>
        <family val="2"/>
        <scheme val="minor"/>
      </rPr>
      <t xml:space="preserve"> regulates the </t>
    </r>
    <r>
      <rPr>
        <b/>
        <sz val="11"/>
        <color theme="1"/>
        <rFont val="Calibri"/>
        <family val="2"/>
        <scheme val="minor"/>
      </rPr>
      <t>transport of cDDP</t>
    </r>
    <r>
      <rPr>
        <sz val="11"/>
        <color theme="1"/>
        <rFont val="Calibri"/>
        <family val="2"/>
        <scheme val="minor"/>
      </rPr>
      <t xml:space="preserve"> in part through control of the rate of macropinocytosis via activation of </t>
    </r>
    <r>
      <rPr>
        <b/>
        <sz val="11"/>
        <color theme="1"/>
        <rFont val="Calibri"/>
        <family val="2"/>
        <scheme val="minor"/>
      </rPr>
      <t>Rac1 and cdc42</t>
    </r>
    <r>
      <rPr>
        <sz val="11"/>
        <color theme="1"/>
        <rFont val="Calibri"/>
        <family val="2"/>
        <scheme val="minor"/>
      </rPr>
      <t xml:space="preserve">. </t>
    </r>
    <r>
      <rPr>
        <b/>
        <sz val="11"/>
        <color theme="1"/>
        <rFont val="Calibri"/>
        <family val="2"/>
        <scheme val="minor"/>
      </rPr>
      <t>7) Rac1</t>
    </r>
    <r>
      <rPr>
        <sz val="11"/>
        <color theme="1"/>
        <rFont val="Calibri"/>
        <family val="2"/>
        <scheme val="minor"/>
      </rPr>
      <t xml:space="preserve"> activates </t>
    </r>
    <r>
      <rPr>
        <b/>
        <sz val="11"/>
        <color theme="1"/>
        <rFont val="Calibri"/>
        <family val="2"/>
        <scheme val="minor"/>
      </rPr>
      <t>aldolase A</t>
    </r>
    <r>
      <rPr>
        <sz val="11"/>
        <color theme="1"/>
        <rFont val="Calibri"/>
        <family val="2"/>
        <scheme val="minor"/>
      </rPr>
      <t xml:space="preserve"> and </t>
    </r>
    <r>
      <rPr>
        <b/>
        <sz val="11"/>
        <color theme="1"/>
        <rFont val="Calibri"/>
        <family val="2"/>
        <scheme val="minor"/>
      </rPr>
      <t>ERK</t>
    </r>
    <r>
      <rPr>
        <sz val="11"/>
        <color theme="1"/>
        <rFont val="Calibri"/>
        <family val="2"/>
        <scheme val="minor"/>
      </rPr>
      <t xml:space="preserve"> signaling which up-regulates glycolysis and especially the non-oxidative pentose phosphate pathway </t>
    </r>
    <r>
      <rPr>
        <b/>
        <sz val="11"/>
        <color theme="1"/>
        <rFont val="Calibri"/>
        <family val="2"/>
        <scheme val="minor"/>
      </rPr>
      <t>(PPP</t>
    </r>
    <r>
      <rPr>
        <sz val="11"/>
        <color theme="1"/>
        <rFont val="Calibri"/>
        <family val="2"/>
        <scheme val="minor"/>
      </rPr>
      <t xml:space="preserve">). This leads to increased nucleotides metabolism which protects breast cancer cells from chemotherapeutic-induced DNA damage. </t>
    </r>
  </si>
  <si>
    <r>
      <rPr>
        <b/>
        <sz val="11"/>
        <color theme="1"/>
        <rFont val="Calibri"/>
        <family val="2"/>
        <scheme val="minor"/>
      </rPr>
      <t xml:space="preserve">1) </t>
    </r>
    <r>
      <rPr>
        <sz val="11"/>
        <color theme="1"/>
        <rFont val="Calibri"/>
        <family val="2"/>
        <scheme val="minor"/>
      </rPr>
      <t xml:space="preserve">A combination of cisplatin and mutant RAD50 therapy produced significant tumor cytotoxicity in vitro, with a corresponding increase in DNA damage and telomere shortening. </t>
    </r>
    <r>
      <rPr>
        <b/>
        <sz val="11"/>
        <color theme="1"/>
        <rFont val="Calibri"/>
        <family val="2"/>
        <scheme val="minor"/>
      </rPr>
      <t xml:space="preserve">2) </t>
    </r>
    <r>
      <rPr>
        <sz val="11"/>
        <color theme="1"/>
        <rFont val="Calibri"/>
        <family val="2"/>
        <scheme val="minor"/>
      </rPr>
      <t>In cisplatin-resistant human squamous cell cancer xenografts in nude mice, this combination therapy caused dramatic tumor regression with increased apoptosis. </t>
    </r>
  </si>
  <si>
    <r>
      <rPr>
        <b/>
        <sz val="11"/>
        <color theme="1"/>
        <rFont val="Calibri"/>
        <family val="2"/>
        <scheme val="minor"/>
      </rPr>
      <t>1)</t>
    </r>
    <r>
      <rPr>
        <sz val="11"/>
        <color theme="1"/>
        <rFont val="Calibri"/>
        <family val="2"/>
        <scheme val="minor"/>
      </rPr>
      <t xml:space="preserve"> Resveratrol decreases </t>
    </r>
    <r>
      <rPr>
        <b/>
        <sz val="11"/>
        <color theme="1"/>
        <rFont val="Calibri"/>
        <family val="2"/>
        <scheme val="minor"/>
      </rPr>
      <t>Rad51</t>
    </r>
    <r>
      <rPr>
        <sz val="11"/>
        <color theme="1"/>
        <rFont val="Calibri"/>
        <family val="2"/>
        <scheme val="minor"/>
      </rPr>
      <t xml:space="preserve"> expression and sensitizes </t>
    </r>
    <r>
      <rPr>
        <b/>
        <sz val="11"/>
        <color theme="1"/>
        <rFont val="Calibri"/>
        <family val="2"/>
        <scheme val="minor"/>
      </rPr>
      <t>cisplatin</t>
    </r>
    <r>
      <rPr>
        <sz val="11"/>
        <color theme="1"/>
        <rFont val="Calibri"/>
        <family val="2"/>
        <scheme val="minor"/>
      </rPr>
      <t xml:space="preserve">‑resistant MCF‑7 breast cancer cells. </t>
    </r>
    <r>
      <rPr>
        <b/>
        <sz val="11"/>
        <color theme="1"/>
        <rFont val="Calibri"/>
        <family val="2"/>
        <scheme val="minor"/>
      </rPr>
      <t>2)</t>
    </r>
    <r>
      <rPr>
        <sz val="11"/>
        <color theme="1"/>
        <rFont val="Calibri"/>
        <family val="2"/>
        <scheme val="minor"/>
      </rPr>
      <t xml:space="preserve"> </t>
    </r>
    <r>
      <rPr>
        <b/>
        <sz val="11"/>
        <color theme="1"/>
        <rFont val="Calibri"/>
        <family val="2"/>
        <scheme val="minor"/>
      </rPr>
      <t>Cisplatin</t>
    </r>
    <r>
      <rPr>
        <sz val="11"/>
        <color theme="1"/>
        <rFont val="Calibri"/>
        <family val="2"/>
        <scheme val="minor"/>
      </rPr>
      <t xml:space="preserve"> combined with </t>
    </r>
    <r>
      <rPr>
        <b/>
        <sz val="11"/>
        <color theme="1"/>
        <rFont val="Calibri"/>
        <family val="2"/>
        <scheme val="minor"/>
      </rPr>
      <t>metformin</t>
    </r>
    <r>
      <rPr>
        <sz val="11"/>
        <color theme="1"/>
        <rFont val="Calibri"/>
        <family val="2"/>
        <scheme val="minor"/>
      </rPr>
      <t xml:space="preserve"> decreased cell viability and metastatic effect more than cisplatin alone in </t>
    </r>
    <r>
      <rPr>
        <b/>
        <sz val="11"/>
        <color theme="1"/>
        <rFont val="Calibri"/>
        <family val="2"/>
        <scheme val="minor"/>
      </rPr>
      <t>TNBC</t>
    </r>
    <r>
      <rPr>
        <sz val="11"/>
        <color theme="1"/>
        <rFont val="Calibri"/>
        <family val="2"/>
        <scheme val="minor"/>
      </rPr>
      <t xml:space="preserve"> cells. </t>
    </r>
    <r>
      <rPr>
        <b/>
        <sz val="11"/>
        <color theme="1"/>
        <rFont val="Calibri"/>
        <family val="2"/>
        <scheme val="minor"/>
      </rPr>
      <t>3) Metformin</t>
    </r>
    <r>
      <rPr>
        <sz val="11"/>
        <color theme="1"/>
        <rFont val="Calibri"/>
        <family val="2"/>
        <scheme val="minor"/>
      </rPr>
      <t xml:space="preserve"> suppressed cisplatin-mediated </t>
    </r>
    <r>
      <rPr>
        <b/>
        <sz val="11"/>
        <color theme="1"/>
        <rFont val="Calibri"/>
        <family val="2"/>
        <scheme val="minor"/>
      </rPr>
      <t>RAD51</t>
    </r>
    <r>
      <rPr>
        <sz val="11"/>
        <color theme="1"/>
        <rFont val="Calibri"/>
        <family val="2"/>
        <scheme val="minor"/>
      </rPr>
      <t xml:space="preserve"> upregulation by decreasing RAD51 protein stability and increasing its ubiquitination. </t>
    </r>
    <r>
      <rPr>
        <b/>
        <sz val="11"/>
        <color theme="1"/>
        <rFont val="Calibri"/>
        <family val="2"/>
        <scheme val="minor"/>
      </rPr>
      <t>4)</t>
    </r>
    <r>
      <rPr>
        <sz val="11"/>
        <color theme="1"/>
        <rFont val="Calibri"/>
        <family val="2"/>
        <scheme val="minor"/>
      </rPr>
      <t xml:space="preserve"> cisplatin increased RAD51 expression in an ERK-dependent manner. </t>
    </r>
    <r>
      <rPr>
        <b/>
        <sz val="11"/>
        <color theme="1"/>
        <rFont val="Calibri"/>
        <family val="2"/>
        <scheme val="minor"/>
      </rPr>
      <t>5)</t>
    </r>
    <r>
      <rPr>
        <sz val="11"/>
        <color theme="1"/>
        <rFont val="Calibri"/>
        <family val="2"/>
        <scheme val="minor"/>
      </rPr>
      <t xml:space="preserve">Overexpression of </t>
    </r>
    <r>
      <rPr>
        <b/>
        <sz val="11"/>
        <color theme="1"/>
        <rFont val="Calibri"/>
        <family val="2"/>
        <scheme val="minor"/>
      </rPr>
      <t>RAD51</t>
    </r>
    <r>
      <rPr>
        <sz val="11"/>
        <color theme="1"/>
        <rFont val="Calibri"/>
        <family val="2"/>
        <scheme val="minor"/>
      </rPr>
      <t xml:space="preserve"> blocked the metformin-induced inhibition of cell migration and invasion, </t>
    </r>
    <r>
      <rPr>
        <b/>
        <sz val="11"/>
        <color theme="1"/>
        <rFont val="Calibri"/>
        <family val="2"/>
        <scheme val="minor"/>
      </rPr>
      <t>6) RAD51</t>
    </r>
    <r>
      <rPr>
        <sz val="11"/>
        <color theme="1"/>
        <rFont val="Calibri"/>
        <family val="2"/>
        <scheme val="minor"/>
      </rPr>
      <t xml:space="preserve"> knockdown enhanced cisplatin activity. </t>
    </r>
    <r>
      <rPr>
        <b/>
        <sz val="11"/>
        <color theme="1"/>
        <rFont val="Calibri"/>
        <family val="2"/>
        <scheme val="minor"/>
      </rPr>
      <t xml:space="preserve">7) </t>
    </r>
    <r>
      <rPr>
        <sz val="11"/>
        <color theme="1"/>
        <rFont val="Calibri"/>
        <family val="2"/>
        <scheme val="minor"/>
      </rPr>
      <t xml:space="preserve">the combination of metformin and cisplatin exhibited a synergistic anticancer effect in an orthotopic murine model of 4T1 breast cancer in vivo. </t>
    </r>
    <r>
      <rPr>
        <b/>
        <sz val="11"/>
        <color theme="1"/>
        <rFont val="Calibri"/>
        <family val="2"/>
        <scheme val="minor"/>
      </rPr>
      <t>8)</t>
    </r>
    <r>
      <rPr>
        <sz val="11"/>
        <color theme="1"/>
        <rFont val="Calibri"/>
        <family val="2"/>
        <scheme val="minor"/>
      </rPr>
      <t xml:space="preserve"> miR-506 expression was closely associated with progression-free survival and overall survival in two independent patient cohorts totaling 598 epithelial </t>
    </r>
    <r>
      <rPr>
        <b/>
        <sz val="11"/>
        <color theme="1"/>
        <rFont val="Calibri"/>
        <family val="2"/>
        <scheme val="minor"/>
      </rPr>
      <t>ovarian</t>
    </r>
    <r>
      <rPr>
        <sz val="11"/>
        <color theme="1"/>
        <rFont val="Calibri"/>
        <family val="2"/>
        <scheme val="minor"/>
      </rPr>
      <t xml:space="preserve"> cancer cases.</t>
    </r>
    <r>
      <rPr>
        <b/>
        <sz val="11"/>
        <color theme="1"/>
        <rFont val="Calibri"/>
        <family val="2"/>
        <scheme val="minor"/>
      </rPr>
      <t xml:space="preserve"> 9) </t>
    </r>
    <r>
      <rPr>
        <sz val="11"/>
        <color theme="1"/>
        <rFont val="Calibri"/>
        <family val="2"/>
        <scheme val="minor"/>
      </rPr>
      <t xml:space="preserve">miR-506 could augment the response to </t>
    </r>
    <r>
      <rPr>
        <b/>
        <sz val="11"/>
        <color theme="1"/>
        <rFont val="Calibri"/>
        <family val="2"/>
        <scheme val="minor"/>
      </rPr>
      <t>cisplatin</t>
    </r>
    <r>
      <rPr>
        <sz val="11"/>
        <color theme="1"/>
        <rFont val="Calibri"/>
        <family val="2"/>
        <scheme val="minor"/>
      </rPr>
      <t xml:space="preserve"> and olaparib through targeting </t>
    </r>
    <r>
      <rPr>
        <b/>
        <sz val="11"/>
        <color theme="1"/>
        <rFont val="Calibri"/>
        <family val="2"/>
        <scheme val="minor"/>
      </rPr>
      <t>RAD51</t>
    </r>
    <r>
      <rPr>
        <sz val="11"/>
        <color theme="1"/>
        <rFont val="Calibri"/>
        <family val="2"/>
        <scheme val="minor"/>
      </rPr>
      <t xml:space="preserve"> and suppressing homologous recombination in a panel of ovarian cancer cell lines. </t>
    </r>
    <r>
      <rPr>
        <b/>
        <sz val="11"/>
        <color theme="1"/>
        <rFont val="Calibri"/>
        <family val="2"/>
        <scheme val="minor"/>
      </rPr>
      <t xml:space="preserve">10) </t>
    </r>
    <r>
      <rPr>
        <sz val="11"/>
        <color theme="1"/>
        <rFont val="Calibri"/>
        <family val="2"/>
        <scheme val="minor"/>
      </rPr>
      <t xml:space="preserve">Systemic delivery of miR-506 in an orthotopic ovarian cancer mouse model significantly augmented the cisplatin response, thus recapitulating the clinical observation. </t>
    </r>
  </si>
  <si>
    <r>
      <rPr>
        <b/>
        <sz val="11"/>
        <color theme="1"/>
        <rFont val="Calibri"/>
        <family val="2"/>
        <scheme val="minor"/>
      </rPr>
      <t>1)</t>
    </r>
    <r>
      <rPr>
        <sz val="11"/>
        <color theme="1"/>
        <rFont val="Calibri"/>
        <family val="2"/>
        <scheme val="minor"/>
      </rPr>
      <t xml:space="preserve"> RAD52(-/-) cells were not hypersensitive to DNA damages induced by gamma-irradiation, methyl methanesulfonate, or </t>
    </r>
    <r>
      <rPr>
        <b/>
        <sz val="11"/>
        <color theme="1"/>
        <rFont val="Calibri"/>
        <family val="2"/>
        <scheme val="minor"/>
      </rPr>
      <t>cisplatin</t>
    </r>
    <r>
      <rPr>
        <sz val="11"/>
        <color theme="1"/>
        <rFont val="Calibri"/>
        <family val="2"/>
        <scheme val="minor"/>
      </rPr>
      <t xml:space="preserve">. </t>
    </r>
    <r>
      <rPr>
        <b/>
        <sz val="11"/>
        <color theme="1"/>
        <rFont val="Calibri"/>
        <family val="2"/>
        <scheme val="minor"/>
      </rPr>
      <t>2)</t>
    </r>
    <r>
      <rPr>
        <sz val="11"/>
        <color theme="1"/>
        <rFont val="Calibri"/>
        <family val="2"/>
        <scheme val="minor"/>
      </rPr>
      <t xml:space="preserve"> In the absence of BRCA2, the cell is more dependent on residual repair via Rad52, which makes </t>
    </r>
    <r>
      <rPr>
        <b/>
        <sz val="11"/>
        <color theme="1"/>
        <rFont val="Calibri"/>
        <family val="2"/>
        <scheme val="minor"/>
      </rPr>
      <t>Rad52</t>
    </r>
    <r>
      <rPr>
        <sz val="11"/>
        <color theme="1"/>
        <rFont val="Calibri"/>
        <family val="2"/>
        <scheme val="minor"/>
      </rPr>
      <t xml:space="preserve"> a target for therapy in BRCA-deficient tumors. </t>
    </r>
    <r>
      <rPr>
        <b/>
        <sz val="11"/>
        <color theme="1"/>
        <rFont val="Calibri"/>
        <family val="2"/>
        <scheme val="minor"/>
      </rPr>
      <t>3)</t>
    </r>
    <r>
      <rPr>
        <sz val="11"/>
        <color theme="1"/>
        <rFont val="Calibri"/>
        <family val="2"/>
        <scheme val="minor"/>
      </rPr>
      <t xml:space="preserve"> combined disruption of </t>
    </r>
    <r>
      <rPr>
        <b/>
        <sz val="11"/>
        <color theme="1"/>
        <rFont val="Calibri"/>
        <family val="2"/>
        <scheme val="minor"/>
      </rPr>
      <t>RAD52</t>
    </r>
    <r>
      <rPr>
        <sz val="11"/>
        <color theme="1"/>
        <rFont val="Calibri"/>
        <family val="2"/>
        <scheme val="minor"/>
      </rPr>
      <t xml:space="preserve"> and </t>
    </r>
    <r>
      <rPr>
        <b/>
        <sz val="11"/>
        <color theme="1"/>
        <rFont val="Calibri"/>
        <family val="2"/>
        <scheme val="minor"/>
      </rPr>
      <t>POLQ</t>
    </r>
    <r>
      <rPr>
        <sz val="11"/>
        <color theme="1"/>
        <rFont val="Calibri"/>
        <family val="2"/>
        <scheme val="minor"/>
      </rPr>
      <t xml:space="preserve"> causes at least additive hypersensitivity to cisplatin, and a synthetic reduction in replication fork restart velocity: </t>
    </r>
    <r>
      <rPr>
        <b/>
        <sz val="11"/>
        <color theme="1"/>
        <rFont val="Calibri"/>
        <family val="2"/>
        <scheme val="minor"/>
      </rPr>
      <t>RAD52</t>
    </r>
    <r>
      <rPr>
        <sz val="11"/>
        <color theme="1"/>
        <rFont val="Calibri"/>
        <family val="2"/>
        <scheme val="minor"/>
      </rPr>
      <t xml:space="preserve"> is particularly important for repair using ≥ 50 nt repeat sequences that flank the DSB. </t>
    </r>
    <r>
      <rPr>
        <b/>
        <sz val="11"/>
        <color theme="1"/>
        <rFont val="Calibri"/>
        <family val="2"/>
        <scheme val="minor"/>
      </rPr>
      <t>4)</t>
    </r>
    <r>
      <rPr>
        <sz val="11"/>
        <color theme="1"/>
        <rFont val="Calibri"/>
        <family val="2"/>
        <scheme val="minor"/>
      </rPr>
      <t xml:space="preserve"> rs10774474 SNP which located in the 5'-flanking region of</t>
    </r>
    <r>
      <rPr>
        <b/>
        <sz val="11"/>
        <color theme="1"/>
        <rFont val="Calibri"/>
        <family val="2"/>
        <scheme val="minor"/>
      </rPr>
      <t xml:space="preserve"> RAD52</t>
    </r>
    <r>
      <rPr>
        <sz val="11"/>
        <color theme="1"/>
        <rFont val="Calibri"/>
        <family val="2"/>
        <scheme val="minor"/>
      </rPr>
      <t xml:space="preserve"> was significantly associated with platinum-based chemotherapy response of of small cell </t>
    </r>
    <r>
      <rPr>
        <b/>
        <sz val="11"/>
        <color theme="1"/>
        <rFont val="Calibri"/>
        <family val="2"/>
        <scheme val="minor"/>
      </rPr>
      <t>lung</t>
    </r>
    <r>
      <rPr>
        <sz val="11"/>
        <color theme="1"/>
        <rFont val="Calibri"/>
        <family val="2"/>
        <scheme val="minor"/>
      </rPr>
      <t xml:space="preserve"> cancer (</t>
    </r>
    <r>
      <rPr>
        <b/>
        <sz val="11"/>
        <color theme="1"/>
        <rFont val="Calibri"/>
        <family val="2"/>
        <scheme val="minor"/>
      </rPr>
      <t>SCLC</t>
    </r>
    <r>
      <rPr>
        <sz val="11"/>
        <color theme="1"/>
        <rFont val="Calibri"/>
        <family val="2"/>
        <scheme val="minor"/>
      </rPr>
      <t>).</t>
    </r>
  </si>
  <si>
    <r>
      <rPr>
        <b/>
        <sz val="11"/>
        <color theme="1"/>
        <rFont val="Calibri"/>
        <family val="2"/>
        <scheme val="minor"/>
      </rPr>
      <t>1)</t>
    </r>
    <r>
      <rPr>
        <sz val="11"/>
        <color theme="1"/>
        <rFont val="Calibri"/>
        <family val="2"/>
        <scheme val="minor"/>
      </rPr>
      <t xml:space="preserve"> A total of 54 </t>
    </r>
    <r>
      <rPr>
        <b/>
        <sz val="11"/>
        <color theme="1"/>
        <rFont val="Calibri"/>
        <family val="2"/>
        <scheme val="minor"/>
      </rPr>
      <t>head and neck</t>
    </r>
    <r>
      <rPr>
        <sz val="11"/>
        <color theme="1"/>
        <rFont val="Calibri"/>
        <family val="2"/>
        <scheme val="minor"/>
      </rPr>
      <t xml:space="preserve"> squamous cell carcinoma patients were treated with frontline systemic chemotherapy composed of docetaxel (60 mg/m(2)) and</t>
    </r>
    <r>
      <rPr>
        <b/>
        <sz val="11"/>
        <color theme="1"/>
        <rFont val="Calibri"/>
        <family val="2"/>
        <scheme val="minor"/>
      </rPr>
      <t xml:space="preserve"> cisplatin</t>
    </r>
    <r>
      <rPr>
        <sz val="11"/>
        <color theme="1"/>
        <rFont val="Calibri"/>
        <family val="2"/>
        <scheme val="minor"/>
      </rPr>
      <t xml:space="preserve"> (65 mg/m(2)), every 3 weeks for up to 6 cycles. The expression levels of ERCC1 and RASSF1A were evaluated in the available 36 prechemotherapy samples. </t>
    </r>
    <r>
      <rPr>
        <b/>
        <sz val="11"/>
        <color theme="1"/>
        <rFont val="Calibri"/>
        <family val="2"/>
        <scheme val="minor"/>
      </rPr>
      <t xml:space="preserve">2) </t>
    </r>
    <r>
      <rPr>
        <sz val="11"/>
        <color theme="1"/>
        <rFont val="Calibri"/>
        <family val="2"/>
        <scheme val="minor"/>
      </rPr>
      <t xml:space="preserve">The status of low ERCC1 and high </t>
    </r>
    <r>
      <rPr>
        <b/>
        <sz val="11"/>
        <color theme="1"/>
        <rFont val="Calibri"/>
        <family val="2"/>
        <scheme val="minor"/>
      </rPr>
      <t>RASSF1A</t>
    </r>
    <r>
      <rPr>
        <sz val="11"/>
        <color theme="1"/>
        <rFont val="Calibri"/>
        <family val="2"/>
        <scheme val="minor"/>
      </rPr>
      <t xml:space="preserve"> expression was an independent favorable prognostic factor for OS in multivariate analysis (p = 0.043; hazard ratio, 7.224; 95% CI, 1.060-49.217). </t>
    </r>
    <r>
      <rPr>
        <b/>
        <sz val="11"/>
        <color theme="1"/>
        <rFont val="Calibri"/>
        <family val="2"/>
        <scheme val="minor"/>
      </rPr>
      <t xml:space="preserve">3) </t>
    </r>
    <r>
      <rPr>
        <sz val="11"/>
        <color theme="1"/>
        <rFont val="Calibri"/>
        <family val="2"/>
        <scheme val="minor"/>
      </rPr>
      <t xml:space="preserve">Decitabine augments cytotoxicity of </t>
    </r>
    <r>
      <rPr>
        <b/>
        <sz val="11"/>
        <color theme="1"/>
        <rFont val="Calibri"/>
        <family val="2"/>
        <scheme val="minor"/>
      </rPr>
      <t>cisplatin</t>
    </r>
    <r>
      <rPr>
        <sz val="11"/>
        <color theme="1"/>
        <rFont val="Calibri"/>
        <family val="2"/>
        <scheme val="minor"/>
      </rPr>
      <t xml:space="preserve"> and doxorubicin to </t>
    </r>
    <r>
      <rPr>
        <b/>
        <sz val="11"/>
        <color theme="1"/>
        <rFont val="Calibri"/>
        <family val="2"/>
        <scheme val="minor"/>
      </rPr>
      <t>bladder</t>
    </r>
    <r>
      <rPr>
        <sz val="11"/>
        <color theme="1"/>
        <rFont val="Calibri"/>
        <family val="2"/>
        <scheme val="minor"/>
      </rPr>
      <t xml:space="preserve"> cancer cells by activating hippo pathway through </t>
    </r>
    <r>
      <rPr>
        <b/>
        <sz val="11"/>
        <color theme="1"/>
        <rFont val="Calibri"/>
        <family val="2"/>
        <scheme val="minor"/>
      </rPr>
      <t>RASSF1A</t>
    </r>
    <r>
      <rPr>
        <sz val="11"/>
        <color theme="1"/>
        <rFont val="Calibri"/>
        <family val="2"/>
        <scheme val="minor"/>
      </rPr>
      <t xml:space="preserve">. </t>
    </r>
    <r>
      <rPr>
        <b/>
        <sz val="11"/>
        <color theme="1"/>
        <rFont val="Calibri"/>
        <family val="2"/>
        <scheme val="minor"/>
      </rPr>
      <t>4) RASSF1A</t>
    </r>
    <r>
      <rPr>
        <sz val="11"/>
        <color theme="1"/>
        <rFont val="Calibri"/>
        <family val="2"/>
        <scheme val="minor"/>
      </rPr>
      <t xml:space="preserve"> forms a DNA damage-regulated complex with the key DNA repair protein xeroderma pigmentosum A (XPA). XPA requires RASSF1A to exert full repair activity, and RASSF1A-deficient cells exhibit an impaired ability to repair DNA during cisplatin treatment. </t>
    </r>
  </si>
  <si>
    <r>
      <rPr>
        <b/>
        <sz val="11"/>
        <color theme="1"/>
        <rFont val="Calibri"/>
        <family val="2"/>
        <scheme val="minor"/>
      </rPr>
      <t>1) SPF45</t>
    </r>
    <r>
      <rPr>
        <sz val="11"/>
        <color theme="1"/>
        <rFont val="Calibri"/>
        <family val="2"/>
        <scheme val="minor"/>
      </rPr>
      <t xml:space="preserve"> overexpression conferred 3- to 21-fold resistance to </t>
    </r>
    <r>
      <rPr>
        <b/>
        <sz val="11"/>
        <color theme="1"/>
        <rFont val="Calibri"/>
        <family val="2"/>
        <scheme val="minor"/>
      </rPr>
      <t>carboplatin</t>
    </r>
    <r>
      <rPr>
        <sz val="11"/>
        <color theme="1"/>
        <rFont val="Calibri"/>
        <family val="2"/>
        <scheme val="minor"/>
      </rPr>
      <t xml:space="preserve">, vinorelbine, doxorubicin, etoposide, mitoxantrone, and vincristine in A2780 </t>
    </r>
    <r>
      <rPr>
        <b/>
        <sz val="11"/>
        <color theme="1"/>
        <rFont val="Calibri"/>
        <family val="2"/>
        <scheme val="minor"/>
      </rPr>
      <t>ovarian</t>
    </r>
    <r>
      <rPr>
        <sz val="11"/>
        <color theme="1"/>
        <rFont val="Calibri"/>
        <family val="2"/>
        <scheme val="minor"/>
      </rPr>
      <t xml:space="preserve"> carcinoma cells. </t>
    </r>
    <r>
      <rPr>
        <b/>
        <sz val="11"/>
        <color theme="1"/>
        <rFont val="Calibri"/>
        <family val="2"/>
        <scheme val="minor"/>
      </rPr>
      <t>2)</t>
    </r>
    <r>
      <rPr>
        <sz val="11"/>
        <color theme="1"/>
        <rFont val="Calibri"/>
        <family val="2"/>
        <scheme val="minor"/>
      </rPr>
      <t xml:space="preserve"> Knockdown of </t>
    </r>
    <r>
      <rPr>
        <b/>
        <sz val="11"/>
        <color theme="1"/>
        <rFont val="Calibri"/>
        <family val="2"/>
        <scheme val="minor"/>
      </rPr>
      <t>SPF45</t>
    </r>
    <r>
      <rPr>
        <sz val="11"/>
        <color theme="1"/>
        <rFont val="Calibri"/>
        <family val="2"/>
        <scheme val="minor"/>
      </rPr>
      <t xml:space="preserve"> in parental A2780 cells using a hammerhead ribozyme sensitized A2780 cells to etoposide. </t>
    </r>
    <r>
      <rPr>
        <b/>
        <sz val="11"/>
        <color theme="1"/>
        <rFont val="Calibri"/>
        <family val="2"/>
        <scheme val="minor"/>
      </rPr>
      <t>3)</t>
    </r>
    <r>
      <rPr>
        <sz val="11"/>
        <color theme="1"/>
        <rFont val="Calibri"/>
        <family val="2"/>
        <scheme val="minor"/>
      </rPr>
      <t xml:space="preserve"> the selective estrogen receptor (ER) modulators tamoxifen and LY117018 (a raloxifene analogue) partially reversed SPF45-mediated drug resistance to mitoxantrone in A2780-SPF45 cells.</t>
    </r>
    <r>
      <rPr>
        <b/>
        <sz val="11"/>
        <color theme="1"/>
        <rFont val="Calibri"/>
        <family val="2"/>
        <scheme val="minor"/>
      </rPr>
      <t xml:space="preserve"> 4) </t>
    </r>
    <r>
      <rPr>
        <sz val="11"/>
        <color theme="1"/>
        <rFont val="Calibri"/>
        <family val="2"/>
        <scheme val="minor"/>
      </rPr>
      <t xml:space="preserve">Quantitative PCR showed that ERbeta but not ERalpha was expressed in A2780 transfectants. </t>
    </r>
    <r>
      <rPr>
        <b/>
        <sz val="11"/>
        <color theme="1"/>
        <rFont val="Calibri"/>
        <family val="2"/>
        <scheme val="minor"/>
      </rPr>
      <t xml:space="preserve">5) </t>
    </r>
    <r>
      <rPr>
        <sz val="11"/>
        <color theme="1"/>
        <rFont val="Calibri"/>
        <family val="2"/>
        <scheme val="minor"/>
      </rPr>
      <t xml:space="preserve">Coimmunoprecipitation experiments suggest that SPF45 and ERbeta physically interact in vivo. </t>
    </r>
  </si>
  <si>
    <r>
      <rPr>
        <b/>
        <sz val="11"/>
        <color theme="1"/>
        <rFont val="Calibri"/>
        <family val="2"/>
        <scheme val="minor"/>
      </rPr>
      <t xml:space="preserve">1) </t>
    </r>
    <r>
      <rPr>
        <sz val="11"/>
        <color theme="1"/>
        <rFont val="Calibri"/>
        <family val="2"/>
        <scheme val="minor"/>
      </rPr>
      <t xml:space="preserve">Increased RBM3 </t>
    </r>
    <r>
      <rPr>
        <b/>
        <sz val="11"/>
        <color theme="1"/>
        <rFont val="Calibri"/>
        <family val="2"/>
        <scheme val="minor"/>
      </rPr>
      <t xml:space="preserve">mRNA </t>
    </r>
    <r>
      <rPr>
        <sz val="11"/>
        <color theme="1"/>
        <rFont val="Calibri"/>
        <family val="2"/>
        <scheme val="minor"/>
      </rPr>
      <t xml:space="preserve">expression was associated with a prolonged RFS (HR = 0.64, 95% CI = 0.47-0.86, p = 0.003) and OS (HR = 0.64, 95% CI = 0.44-0.95, p = 0.024) in Cohort I. </t>
    </r>
    <r>
      <rPr>
        <b/>
        <sz val="11"/>
        <color theme="1"/>
        <rFont val="Calibri"/>
        <family val="2"/>
        <scheme val="minor"/>
      </rPr>
      <t xml:space="preserve">2) </t>
    </r>
    <r>
      <rPr>
        <sz val="11"/>
        <color theme="1"/>
        <rFont val="Calibri"/>
        <family val="2"/>
        <scheme val="minor"/>
      </rPr>
      <t xml:space="preserve">Multivariate analysis confirmed that RBM3 mRNA expression was an independent predictor of a prolonged RFS, (HR = 0.61, 95% CI = 0.44-0.84, p = 0.003) and OS (HR = 0.62, 95% CI = 0.41-0.95; p = 0.028) in Cohort I. </t>
    </r>
    <r>
      <rPr>
        <b/>
        <sz val="11"/>
        <color theme="1"/>
        <rFont val="Calibri"/>
        <family val="2"/>
        <scheme val="minor"/>
      </rPr>
      <t>3)</t>
    </r>
    <r>
      <rPr>
        <sz val="11"/>
        <color theme="1"/>
        <rFont val="Calibri"/>
        <family val="2"/>
        <scheme val="minor"/>
      </rPr>
      <t xml:space="preserve"> In Cohort II, RBM3 </t>
    </r>
    <r>
      <rPr>
        <b/>
        <sz val="11"/>
        <color theme="1"/>
        <rFont val="Calibri"/>
        <family val="2"/>
        <scheme val="minor"/>
      </rPr>
      <t>protein</t>
    </r>
    <r>
      <rPr>
        <sz val="11"/>
        <color theme="1"/>
        <rFont val="Calibri"/>
        <family val="2"/>
        <scheme val="minor"/>
      </rPr>
      <t xml:space="preserve"> expression was associated with a prolonged OS (HR = 0.53, 95% CI = 0.35-0.79, p = 0.002) confirmed by multivariate analysis (HR = 0.61, 95% CI = 0.40-0.92, p = 0.017). </t>
    </r>
    <r>
      <rPr>
        <b/>
        <sz val="11"/>
        <color theme="1"/>
        <rFont val="Calibri"/>
        <family val="2"/>
        <scheme val="minor"/>
      </rPr>
      <t xml:space="preserve">4) </t>
    </r>
    <r>
      <rPr>
        <sz val="11"/>
        <color theme="1"/>
        <rFont val="Calibri"/>
        <family val="2"/>
        <scheme val="minor"/>
      </rPr>
      <t xml:space="preserve">RBM3 mRNA and protein expression levels were significantly higher in the cisplatin sensitive A2780 cell line compared to the cisplatin resistant A2780-Cp70 derivative. </t>
    </r>
    <r>
      <rPr>
        <b/>
        <sz val="11"/>
        <color theme="1"/>
        <rFont val="Calibri"/>
        <family val="2"/>
        <scheme val="minor"/>
      </rPr>
      <t xml:space="preserve">5) </t>
    </r>
    <r>
      <rPr>
        <sz val="11"/>
        <color theme="1"/>
        <rFont val="Calibri"/>
        <family val="2"/>
        <scheme val="minor"/>
      </rPr>
      <t>siRNA-mediated silencing of RBM3 expression in the A2780 cells resulted in a decreased sensitivity to cisplatin as demonstrated by increased cell viability and reduced proportion of cells arrested in the G2/M-phase.</t>
    </r>
  </si>
  <si>
    <r>
      <rPr>
        <b/>
        <sz val="11"/>
        <color theme="1"/>
        <rFont val="Calibri"/>
        <family val="2"/>
        <scheme val="minor"/>
      </rPr>
      <t xml:space="preserve">1) </t>
    </r>
    <r>
      <rPr>
        <sz val="11"/>
        <color theme="1"/>
        <rFont val="Calibri"/>
        <family val="2"/>
        <scheme val="minor"/>
      </rPr>
      <t xml:space="preserve">Loss of RBMS3 in </t>
    </r>
    <r>
      <rPr>
        <b/>
        <sz val="11"/>
        <color theme="1"/>
        <rFont val="Calibri"/>
        <family val="2"/>
        <scheme val="minor"/>
      </rPr>
      <t>EOC</t>
    </r>
    <r>
      <rPr>
        <sz val="11"/>
        <color theme="1"/>
        <rFont val="Calibri"/>
        <family val="2"/>
        <scheme val="minor"/>
      </rPr>
      <t xml:space="preserve"> was correlated with the overall and relapse-free survival. </t>
    </r>
    <r>
      <rPr>
        <b/>
        <sz val="11"/>
        <color theme="1"/>
        <rFont val="Calibri"/>
        <family val="2"/>
        <scheme val="minor"/>
      </rPr>
      <t xml:space="preserve">2) </t>
    </r>
    <r>
      <rPr>
        <sz val="11"/>
        <color theme="1"/>
        <rFont val="Calibri"/>
        <family val="2"/>
        <scheme val="minor"/>
      </rPr>
      <t xml:space="preserve">Genetic ablation of RBMS3 significantly enhanced, whereas restoration of RBMS3 reduced, the chemoresistance ability of EOC cells both in vitro and in vivo. </t>
    </r>
    <r>
      <rPr>
        <b/>
        <sz val="11"/>
        <color theme="1"/>
        <rFont val="Calibri"/>
        <family val="2"/>
        <scheme val="minor"/>
      </rPr>
      <t xml:space="preserve">3) </t>
    </r>
    <r>
      <rPr>
        <sz val="11"/>
        <color theme="1"/>
        <rFont val="Calibri"/>
        <family val="2"/>
        <scheme val="minor"/>
      </rPr>
      <t xml:space="preserve">RBMS3 inhibited β-catenin/CBP signaling through directly associating with and stabilizing multiple negative regulators, including DKK3, AXIN1, BACH1, and NFAT5, via competitively preventing the </t>
    </r>
    <r>
      <rPr>
        <b/>
        <sz val="11"/>
        <color theme="1"/>
        <rFont val="Calibri"/>
        <family val="2"/>
        <scheme val="minor"/>
      </rPr>
      <t>miR-126-5p</t>
    </r>
    <r>
      <rPr>
        <sz val="11"/>
        <color theme="1"/>
        <rFont val="Calibri"/>
        <family val="2"/>
        <scheme val="minor"/>
      </rPr>
      <t xml:space="preserve">-mediated repression of these transcripts. </t>
    </r>
    <r>
      <rPr>
        <b/>
        <sz val="11"/>
        <color theme="1"/>
        <rFont val="Calibri"/>
        <family val="2"/>
        <scheme val="minor"/>
      </rPr>
      <t>4) c</t>
    </r>
    <r>
      <rPr>
        <sz val="11"/>
        <color theme="1"/>
        <rFont val="Calibri"/>
        <family val="2"/>
        <scheme val="minor"/>
      </rPr>
      <t xml:space="preserve">otherapy of CBP/β-catenin antagonist PRI-724 induced sensitization of RBMS3-deleted EOC to </t>
    </r>
    <r>
      <rPr>
        <b/>
        <sz val="11"/>
        <color theme="1"/>
        <rFont val="Calibri"/>
        <family val="2"/>
        <scheme val="minor"/>
      </rPr>
      <t>platinum</t>
    </r>
    <r>
      <rPr>
        <sz val="11"/>
        <color theme="1"/>
        <rFont val="Calibri"/>
        <family val="2"/>
        <scheme val="minor"/>
      </rPr>
      <t xml:space="preserve"> therapy.</t>
    </r>
  </si>
  <si>
    <r>
      <rPr>
        <b/>
        <sz val="11"/>
        <color theme="1"/>
        <rFont val="Calibri"/>
        <family val="2"/>
        <scheme val="minor"/>
      </rPr>
      <t>1)</t>
    </r>
    <r>
      <rPr>
        <sz val="11"/>
        <color theme="1"/>
        <rFont val="Calibri"/>
        <family val="2"/>
        <scheme val="minor"/>
      </rPr>
      <t xml:space="preserve"> Comparing the proteomes of paired primary and recurrent post-chemotherapy ovarian high-grade serous carcinomas from nine ovarian cancer </t>
    </r>
    <r>
      <rPr>
        <b/>
        <sz val="11"/>
        <color theme="1"/>
        <rFont val="Calibri"/>
        <family val="2"/>
        <scheme val="minor"/>
      </rPr>
      <t>patient</t>
    </r>
    <r>
      <rPr>
        <sz val="11"/>
        <color theme="1"/>
        <rFont val="Calibri"/>
        <family val="2"/>
        <scheme val="minor"/>
      </rPr>
      <t xml:space="preserve">s: more than half of the recurrent tumors expressed higher levels of several proteins including CP, FN1, SYK, CD97, AIF1, WNK1, SERPINA3, APOD, URP2, STAT5B and </t>
    </r>
    <r>
      <rPr>
        <b/>
        <sz val="11"/>
        <color theme="1"/>
        <rFont val="Calibri"/>
        <family val="2"/>
        <scheme val="minor"/>
      </rPr>
      <t>RELA</t>
    </r>
    <r>
      <rPr>
        <sz val="11"/>
        <color theme="1"/>
        <rFont val="Calibri"/>
        <family val="2"/>
        <scheme val="minor"/>
      </rPr>
      <t xml:space="preserve"> (NF-kappaB p65). </t>
    </r>
    <r>
      <rPr>
        <b/>
        <sz val="11"/>
        <color theme="1"/>
        <rFont val="Calibri"/>
        <family val="2"/>
        <scheme val="minor"/>
      </rPr>
      <t>2)</t>
    </r>
    <r>
      <rPr>
        <sz val="11"/>
        <color theme="1"/>
        <rFont val="Calibri"/>
        <family val="2"/>
        <scheme val="minor"/>
      </rPr>
      <t xml:space="preserve"> Simultaneous knockdown of RELA and STAT5B was most effective in sensitizing tumor cells for carboplatin treatment. </t>
    </r>
    <r>
      <rPr>
        <b/>
        <sz val="11"/>
        <color theme="1"/>
        <rFont val="Calibri"/>
        <family val="2"/>
        <scheme val="minor"/>
      </rPr>
      <t xml:space="preserve">3) </t>
    </r>
    <r>
      <rPr>
        <sz val="11"/>
        <color theme="1"/>
        <rFont val="Calibri"/>
        <family val="2"/>
        <scheme val="minor"/>
      </rPr>
      <t xml:space="preserve">the NF-kappaB inhibitor, BMS-345541, and the STAT5 inhibitor, Dasatinib, significantly enhanced cell sensitivity to carboplatin. </t>
    </r>
    <r>
      <rPr>
        <b/>
        <sz val="11"/>
        <color theme="1"/>
        <rFont val="Calibri"/>
        <family val="2"/>
        <scheme val="minor"/>
      </rPr>
      <t xml:space="preserve">4) </t>
    </r>
    <r>
      <rPr>
        <sz val="11"/>
        <color theme="1"/>
        <rFont val="Calibri"/>
        <family val="2"/>
        <scheme val="minor"/>
      </rPr>
      <t xml:space="preserve">augmented Bcl-xL expression was detected in carboplatin-resistant cells. </t>
    </r>
    <r>
      <rPr>
        <b/>
        <sz val="11"/>
        <color theme="1"/>
        <rFont val="Calibri"/>
        <family val="2"/>
        <scheme val="minor"/>
      </rPr>
      <t xml:space="preserve">5) </t>
    </r>
    <r>
      <rPr>
        <sz val="11"/>
        <color theme="1"/>
        <rFont val="Calibri"/>
        <family val="2"/>
        <scheme val="minor"/>
      </rPr>
      <t xml:space="preserve">Combined ectopic expression of RELA and STAT5B enhanced Bcl-xL promoter activity while treatment with BMS-345541 and Dasatinib decreased it. </t>
    </r>
    <r>
      <rPr>
        <b/>
        <sz val="11"/>
        <color theme="1"/>
        <rFont val="Calibri"/>
        <family val="2"/>
        <scheme val="minor"/>
      </rPr>
      <t>6)</t>
    </r>
    <r>
      <rPr>
        <sz val="11"/>
        <color theme="1"/>
        <rFont val="Calibri"/>
        <family val="2"/>
        <scheme val="minor"/>
      </rPr>
      <t xml:space="preserve"> Chromatin immunoprecipitation of the Bcl-X promoter region using a STAT5 antibody showed induction of RELA and STAT5 DNA-binding segments both in naïve cells treated with a high concentration of carboplatin as well as in carboplatin-resistant cells.</t>
    </r>
  </si>
  <si>
    <r>
      <rPr>
        <b/>
        <sz val="11"/>
        <color theme="1"/>
        <rFont val="Calibri"/>
        <family val="2"/>
        <scheme val="minor"/>
      </rPr>
      <t xml:space="preserve">1) </t>
    </r>
    <r>
      <rPr>
        <sz val="11"/>
        <color theme="1"/>
        <rFont val="Calibri"/>
        <family val="2"/>
        <scheme val="minor"/>
      </rPr>
      <t xml:space="preserve">Transcription factors </t>
    </r>
    <r>
      <rPr>
        <b/>
        <sz val="11"/>
        <color theme="1"/>
        <rFont val="Calibri"/>
        <family val="2"/>
        <scheme val="minor"/>
      </rPr>
      <t>p65</t>
    </r>
    <r>
      <rPr>
        <sz val="11"/>
        <color theme="1"/>
        <rFont val="Calibri"/>
        <family val="2"/>
        <scheme val="minor"/>
      </rPr>
      <t xml:space="preserve"> and </t>
    </r>
    <r>
      <rPr>
        <b/>
        <sz val="11"/>
        <color theme="1"/>
        <rFont val="Calibri"/>
        <family val="2"/>
        <scheme val="minor"/>
      </rPr>
      <t>RelB</t>
    </r>
    <r>
      <rPr>
        <sz val="11"/>
        <color theme="1"/>
        <rFont val="Calibri"/>
        <family val="2"/>
        <scheme val="minor"/>
      </rPr>
      <t xml:space="preserve"> were coexpressed with </t>
    </r>
    <r>
      <rPr>
        <b/>
        <sz val="11"/>
        <color theme="1"/>
        <rFont val="Calibri"/>
        <family val="2"/>
        <scheme val="minor"/>
      </rPr>
      <t>IkappaB kinase alpha</t>
    </r>
    <r>
      <rPr>
        <sz val="11"/>
        <color theme="1"/>
        <rFont val="Calibri"/>
        <family val="2"/>
        <scheme val="minor"/>
      </rPr>
      <t xml:space="preserve">. </t>
    </r>
    <r>
      <rPr>
        <b/>
        <sz val="11"/>
        <color theme="1"/>
        <rFont val="Calibri"/>
        <family val="2"/>
        <scheme val="minor"/>
      </rPr>
      <t xml:space="preserve">2) </t>
    </r>
    <r>
      <rPr>
        <sz val="11"/>
        <color theme="1"/>
        <rFont val="Calibri"/>
        <family val="2"/>
        <scheme val="minor"/>
      </rPr>
      <t xml:space="preserve">A significant association of </t>
    </r>
    <r>
      <rPr>
        <b/>
        <sz val="11"/>
        <color theme="1"/>
        <rFont val="Calibri"/>
        <family val="2"/>
        <scheme val="minor"/>
      </rPr>
      <t>p50</t>
    </r>
    <r>
      <rPr>
        <sz val="11"/>
        <color theme="1"/>
        <rFont val="Calibri"/>
        <family val="2"/>
        <scheme val="minor"/>
      </rPr>
      <t xml:space="preserve"> with poor overall survival was observed in a cohort of 33 patients who subsequently received combined paclitaxel, </t>
    </r>
    <r>
      <rPr>
        <b/>
        <sz val="11"/>
        <color theme="1"/>
        <rFont val="Calibri"/>
        <family val="2"/>
        <scheme val="minor"/>
      </rPr>
      <t>cisplatin</t>
    </r>
    <r>
      <rPr>
        <sz val="11"/>
        <color theme="1"/>
        <rFont val="Calibri"/>
        <family val="2"/>
        <scheme val="minor"/>
      </rPr>
      <t xml:space="preserve">, and cyclophosphamide. </t>
    </r>
    <r>
      <rPr>
        <b/>
        <sz val="11"/>
        <color theme="1"/>
        <rFont val="Calibri"/>
        <family val="2"/>
        <scheme val="minor"/>
      </rPr>
      <t>3) TRAF3</t>
    </r>
    <r>
      <rPr>
        <sz val="11"/>
        <color theme="1"/>
        <rFont val="Calibri"/>
        <family val="2"/>
        <scheme val="minor"/>
      </rPr>
      <t xml:space="preserve">-deficient HPV+ tumors and cell lines exhibit increased expression of alternative NF-κB pathway components and transcription factors </t>
    </r>
    <r>
      <rPr>
        <b/>
        <sz val="11"/>
        <color theme="1"/>
        <rFont val="Calibri"/>
        <family val="2"/>
        <scheme val="minor"/>
      </rPr>
      <t>NF-κB2/RELB</t>
    </r>
    <r>
      <rPr>
        <sz val="11"/>
        <color theme="1"/>
        <rFont val="Calibri"/>
        <family val="2"/>
        <scheme val="minor"/>
      </rPr>
      <t xml:space="preserve">. Overexpression of TRAF3 inhibited NF-κB2/RELB expression, nuclear localization, and NF-κB reporter activity, as well as resistance to TNFα and </t>
    </r>
    <r>
      <rPr>
        <b/>
        <sz val="11"/>
        <color theme="1"/>
        <rFont val="Calibri"/>
        <family val="2"/>
        <scheme val="minor"/>
      </rPr>
      <t>cisplatin</t>
    </r>
    <r>
      <rPr>
        <sz val="11"/>
        <color theme="1"/>
        <rFont val="Calibri"/>
        <family val="2"/>
        <scheme val="minor"/>
      </rPr>
      <t>.</t>
    </r>
  </si>
  <si>
    <r>
      <rPr>
        <b/>
        <sz val="11"/>
        <color theme="1"/>
        <rFont val="Calibri"/>
        <family val="2"/>
        <scheme val="minor"/>
      </rPr>
      <t>1)</t>
    </r>
    <r>
      <rPr>
        <sz val="11"/>
        <color theme="1"/>
        <rFont val="Calibri"/>
        <family val="2"/>
        <scheme val="minor"/>
      </rPr>
      <t xml:space="preserve"> Overexpression of </t>
    </r>
    <r>
      <rPr>
        <b/>
        <sz val="11"/>
        <color theme="1"/>
        <rFont val="Calibri"/>
        <family val="2"/>
        <scheme val="minor"/>
      </rPr>
      <t>REV1</t>
    </r>
    <r>
      <rPr>
        <sz val="11"/>
        <color theme="1"/>
        <rFont val="Calibri"/>
        <family val="2"/>
        <scheme val="minor"/>
      </rPr>
      <t xml:space="preserve"> in </t>
    </r>
    <r>
      <rPr>
        <b/>
        <sz val="11"/>
        <color theme="1"/>
        <rFont val="Calibri"/>
        <family val="2"/>
        <scheme val="minor"/>
      </rPr>
      <t>ovarian</t>
    </r>
    <r>
      <rPr>
        <sz val="11"/>
        <color theme="1"/>
        <rFont val="Calibri"/>
        <family val="2"/>
        <scheme val="minor"/>
      </rPr>
      <t xml:space="preserve"> carcinoma 2008 cells results in resistance to </t>
    </r>
    <r>
      <rPr>
        <b/>
        <sz val="11"/>
        <color theme="1"/>
        <rFont val="Calibri"/>
        <family val="2"/>
        <scheme val="minor"/>
      </rPr>
      <t>CDDP</t>
    </r>
    <r>
      <rPr>
        <sz val="11"/>
        <color theme="1"/>
        <rFont val="Calibri"/>
        <family val="2"/>
        <scheme val="minor"/>
      </rPr>
      <t xml:space="preserve">.  </t>
    </r>
    <r>
      <rPr>
        <b/>
        <sz val="11"/>
        <color theme="1"/>
        <rFont val="Calibri"/>
        <family val="2"/>
        <scheme val="minor"/>
      </rPr>
      <t xml:space="preserve">2) </t>
    </r>
    <r>
      <rPr>
        <sz val="11"/>
        <color theme="1"/>
        <rFont val="Calibri"/>
        <family val="2"/>
        <scheme val="minor"/>
      </rPr>
      <t xml:space="preserve">The hREV1-transfected sublines were 1.5- to 1.8-fold better than the parental 2008 cells at managing </t>
    </r>
    <r>
      <rPr>
        <b/>
        <sz val="11"/>
        <color theme="1"/>
        <rFont val="Calibri"/>
        <family val="2"/>
        <scheme val="minor"/>
      </rPr>
      <t>DDP adducts</t>
    </r>
    <r>
      <rPr>
        <sz val="11"/>
        <color theme="1"/>
        <rFont val="Calibri"/>
        <family val="2"/>
        <scheme val="minor"/>
      </rPr>
      <t xml:space="preserve"> as assessed by their ability to express Renilla reniformis luciferase from a vector that had been extensively loaded with DDP adducts before transfection. </t>
    </r>
    <r>
      <rPr>
        <b/>
        <sz val="11"/>
        <color theme="1"/>
        <rFont val="Calibri"/>
        <family val="2"/>
        <scheme val="minor"/>
      </rPr>
      <t>3)</t>
    </r>
    <r>
      <rPr>
        <sz val="11"/>
        <color theme="1"/>
        <rFont val="Calibri"/>
        <family val="2"/>
        <scheme val="minor"/>
      </rPr>
      <t xml:space="preserve"> MLAF50 inhibited the interaction of REV1 UBM2 with ubiquitin and prevented chromatin localization of REV1 induced by cisplatin in U2OS cells. </t>
    </r>
    <r>
      <rPr>
        <b/>
        <sz val="11"/>
        <color theme="1"/>
        <rFont val="Calibri"/>
        <family val="2"/>
        <scheme val="minor"/>
      </rPr>
      <t>4)</t>
    </r>
    <r>
      <rPr>
        <sz val="11"/>
        <color theme="1"/>
        <rFont val="Calibri"/>
        <family val="2"/>
        <scheme val="minor"/>
      </rPr>
      <t xml:space="preserve"> In cells, one of the compound prevented recruitment of REV1 to PCNA foci on chromatin upon cisplatin treatment, delayed removal of UV-induced cyclopyrimidine dimers from nuclei, prevented UV-induced mutation of HPRT gene, and diminished clonogenic survival of cells that were challenged by cyclophosphamide or </t>
    </r>
    <r>
      <rPr>
        <b/>
        <sz val="11"/>
        <color theme="1"/>
        <rFont val="Calibri"/>
        <family val="2"/>
        <scheme val="minor"/>
      </rPr>
      <t>cisplatin</t>
    </r>
    <r>
      <rPr>
        <sz val="11"/>
        <color theme="1"/>
        <rFont val="Calibri"/>
        <family val="2"/>
        <scheme val="minor"/>
      </rPr>
      <t xml:space="preserve">. </t>
    </r>
    <r>
      <rPr>
        <b/>
        <sz val="11"/>
        <color theme="1"/>
        <rFont val="Calibri"/>
        <family val="2"/>
        <scheme val="minor"/>
      </rPr>
      <t>5)</t>
    </r>
    <r>
      <rPr>
        <sz val="11"/>
        <color theme="1"/>
        <rFont val="Calibri"/>
        <family val="2"/>
        <scheme val="minor"/>
      </rPr>
      <t xml:space="preserve"> To investigate if </t>
    </r>
    <r>
      <rPr>
        <b/>
        <sz val="11"/>
        <color theme="1"/>
        <rFont val="Calibri"/>
        <family val="2"/>
        <scheme val="minor"/>
      </rPr>
      <t>REV1</t>
    </r>
    <r>
      <rPr>
        <sz val="11"/>
        <color theme="1"/>
        <rFont val="Calibri"/>
        <family val="2"/>
        <scheme val="minor"/>
      </rPr>
      <t xml:space="preserve"> and </t>
    </r>
    <r>
      <rPr>
        <b/>
        <sz val="11"/>
        <color theme="1"/>
        <rFont val="Calibri"/>
        <family val="2"/>
        <scheme val="minor"/>
      </rPr>
      <t>REV3L</t>
    </r>
    <r>
      <rPr>
        <sz val="11"/>
        <color theme="1"/>
        <rFont val="Calibri"/>
        <family val="2"/>
        <scheme val="minor"/>
      </rPr>
      <t xml:space="preserve"> polymorphisms influence survival of </t>
    </r>
    <r>
      <rPr>
        <b/>
        <sz val="11"/>
        <color theme="1"/>
        <rFont val="Calibri"/>
        <family val="2"/>
        <scheme val="minor"/>
      </rPr>
      <t>osteosarcoma</t>
    </r>
    <r>
      <rPr>
        <sz val="11"/>
        <color theme="1"/>
        <rFont val="Calibri"/>
        <family val="2"/>
        <scheme val="minor"/>
      </rPr>
      <t xml:space="preserve"> patients treated with</t>
    </r>
    <r>
      <rPr>
        <b/>
        <sz val="11"/>
        <color theme="1"/>
        <rFont val="Calibri"/>
        <family val="2"/>
        <scheme val="minor"/>
      </rPr>
      <t xml:space="preserve"> cisplatin-based chemotherapy: c</t>
    </r>
    <r>
      <rPr>
        <sz val="11"/>
        <color theme="1"/>
        <rFont val="Calibri"/>
        <family val="2"/>
        <scheme val="minor"/>
      </rPr>
      <t xml:space="preserve">arriers of at least one polymorphic REV1 rs3087403 allele had significantly shorter EFS and overall survival (OS). Combination of REV1 rs3087403 and REV3L rs462779 polymorphisms was also significantly associated with shorter OS and shorter EFS. </t>
    </r>
  </si>
  <si>
    <r>
      <rPr>
        <b/>
        <sz val="11"/>
        <color theme="1"/>
        <rFont val="Calibri"/>
        <family val="2"/>
        <scheme val="minor"/>
      </rPr>
      <t>1)</t>
    </r>
    <r>
      <rPr>
        <sz val="11"/>
        <color theme="1"/>
        <rFont val="Calibri"/>
        <family val="2"/>
        <scheme val="minor"/>
      </rPr>
      <t xml:space="preserve"> The influence of genetic variability in translesion polymerases </t>
    </r>
    <r>
      <rPr>
        <b/>
        <sz val="11"/>
        <color theme="1"/>
        <rFont val="Calibri"/>
        <family val="2"/>
        <scheme val="minor"/>
      </rPr>
      <t>REV1</t>
    </r>
    <r>
      <rPr>
        <sz val="11"/>
        <color theme="1"/>
        <rFont val="Calibri"/>
        <family val="2"/>
        <scheme val="minor"/>
      </rPr>
      <t xml:space="preserve"> and </t>
    </r>
    <r>
      <rPr>
        <b/>
        <sz val="11"/>
        <color theme="1"/>
        <rFont val="Calibri"/>
        <family val="2"/>
        <scheme val="minor"/>
      </rPr>
      <t>REV3L</t>
    </r>
    <r>
      <rPr>
        <sz val="11"/>
        <color theme="1"/>
        <rFont val="Calibri"/>
        <family val="2"/>
        <scheme val="minor"/>
      </rPr>
      <t xml:space="preserve"> on the outcome of </t>
    </r>
    <r>
      <rPr>
        <b/>
        <sz val="11"/>
        <color theme="1"/>
        <rFont val="Calibri"/>
        <family val="2"/>
        <scheme val="minor"/>
      </rPr>
      <t>cisplatin</t>
    </r>
    <r>
      <rPr>
        <sz val="11"/>
        <color theme="1"/>
        <rFont val="Calibri"/>
        <family val="2"/>
        <scheme val="minor"/>
      </rPr>
      <t xml:space="preserve"> treatment in malignant </t>
    </r>
    <r>
      <rPr>
        <b/>
        <sz val="11"/>
        <color theme="1"/>
        <rFont val="Calibri"/>
        <family val="2"/>
        <scheme val="minor"/>
      </rPr>
      <t>mesothelioma</t>
    </r>
    <r>
      <rPr>
        <sz val="11"/>
        <color theme="1"/>
        <rFont val="Calibri"/>
        <family val="2"/>
        <scheme val="minor"/>
      </rPr>
      <t xml:space="preserve"> patients:  REV3L rs465646, rs462779 and REV3L CCGG haplotype were significantly associated with longer overall survival (p = 0.007, p = 0.022 and p = 0.013, respectively). </t>
    </r>
    <r>
      <rPr>
        <b/>
        <sz val="11"/>
        <color theme="1"/>
        <rFont val="Calibri"/>
        <family val="2"/>
        <scheme val="minor"/>
      </rPr>
      <t>2)</t>
    </r>
    <r>
      <rPr>
        <sz val="11"/>
        <color theme="1"/>
        <rFont val="Calibri"/>
        <family val="2"/>
        <scheme val="minor"/>
      </rPr>
      <t xml:space="preserve"> </t>
    </r>
    <r>
      <rPr>
        <b/>
        <sz val="11"/>
        <color theme="1"/>
        <rFont val="Calibri"/>
        <family val="2"/>
        <scheme val="minor"/>
      </rPr>
      <t>cisplatin</t>
    </r>
    <r>
      <rPr>
        <sz val="11"/>
        <color theme="1"/>
        <rFont val="Calibri"/>
        <family val="2"/>
        <scheme val="minor"/>
      </rPr>
      <t xml:space="preserve"> induced the expression of REV3L by recruiting Sp1 to its promoter. </t>
    </r>
    <r>
      <rPr>
        <b/>
        <sz val="11"/>
        <color theme="1"/>
        <rFont val="Calibri"/>
        <family val="2"/>
        <scheme val="minor"/>
      </rPr>
      <t xml:space="preserve">3) </t>
    </r>
    <r>
      <rPr>
        <sz val="11"/>
        <color theme="1"/>
        <rFont val="Calibri"/>
        <family val="2"/>
        <scheme val="minor"/>
      </rPr>
      <t xml:space="preserve">Similar results were obtained when the ability of the cells to express luciferase from a </t>
    </r>
    <r>
      <rPr>
        <b/>
        <sz val="11"/>
        <color theme="1"/>
        <rFont val="Calibri"/>
        <family val="2"/>
        <scheme val="minor"/>
      </rPr>
      <t>platinated</t>
    </r>
    <r>
      <rPr>
        <sz val="11"/>
        <color theme="1"/>
        <rFont val="Calibri"/>
        <family val="2"/>
        <scheme val="minor"/>
      </rPr>
      <t xml:space="preserve"> plasmid was measured. </t>
    </r>
    <r>
      <rPr>
        <b/>
        <sz val="11"/>
        <color theme="1"/>
        <rFont val="Calibri"/>
        <family val="2"/>
        <scheme val="minor"/>
      </rPr>
      <t>4)</t>
    </r>
    <r>
      <rPr>
        <sz val="11"/>
        <color theme="1"/>
        <rFont val="Calibri"/>
        <family val="2"/>
        <scheme val="minor"/>
      </rPr>
      <t xml:space="preserve"> REV3L overexpression or REV3L plus REV7L significantly enhanced the reporter activity. </t>
    </r>
    <r>
      <rPr>
        <b/>
        <sz val="11"/>
        <color theme="1"/>
        <rFont val="Calibri"/>
        <family val="2"/>
        <scheme val="minor"/>
      </rPr>
      <t>5)</t>
    </r>
    <r>
      <rPr>
        <sz val="11"/>
        <color theme="1"/>
        <rFont val="Calibri"/>
        <family val="2"/>
        <scheme val="minor"/>
      </rPr>
      <t xml:space="preserve"> shRNA-REV3L </t>
    </r>
    <r>
      <rPr>
        <b/>
        <sz val="11"/>
        <color theme="1"/>
        <rFont val="Calibri"/>
        <family val="2"/>
        <scheme val="minor"/>
      </rPr>
      <t>NSCLC</t>
    </r>
    <r>
      <rPr>
        <sz val="11"/>
        <color theme="1"/>
        <rFont val="Calibri"/>
        <family val="2"/>
        <scheme val="minor"/>
      </rPr>
      <t xml:space="preserve"> H1299 cells reversed the effects. </t>
    </r>
    <r>
      <rPr>
        <b/>
        <sz val="11"/>
        <color theme="1"/>
        <rFont val="Calibri"/>
        <family val="2"/>
        <scheme val="minor"/>
      </rPr>
      <t xml:space="preserve">6) </t>
    </r>
    <r>
      <rPr>
        <sz val="11"/>
        <color theme="1"/>
        <rFont val="Calibri"/>
        <family val="2"/>
        <scheme val="minor"/>
      </rPr>
      <t xml:space="preserve">a forced expression of REV3L conferred the resistance of H1299 cells to cisplatin, whereas the knockdown of REV3L sensitized cisplatin efficacy in H1299 cells. </t>
    </r>
    <r>
      <rPr>
        <b/>
        <sz val="11"/>
        <color theme="1"/>
        <rFont val="Calibri"/>
        <family val="2"/>
        <scheme val="minor"/>
      </rPr>
      <t xml:space="preserve">7) </t>
    </r>
    <r>
      <rPr>
        <sz val="11"/>
        <color theme="1"/>
        <rFont val="Calibri"/>
        <family val="2"/>
        <scheme val="minor"/>
      </rPr>
      <t xml:space="preserve">A </t>
    </r>
    <r>
      <rPr>
        <b/>
        <sz val="11"/>
        <color theme="1"/>
        <rFont val="Calibri"/>
        <family val="2"/>
        <scheme val="minor"/>
      </rPr>
      <t>glioma</t>
    </r>
    <r>
      <rPr>
        <sz val="11"/>
        <color theme="1"/>
        <rFont val="Calibri"/>
        <family val="2"/>
        <scheme val="minor"/>
      </rPr>
      <t xml:space="preserve"> cell model: upregulation of </t>
    </r>
    <r>
      <rPr>
        <b/>
        <sz val="11"/>
        <color theme="1"/>
        <rFont val="Calibri"/>
        <family val="2"/>
        <scheme val="minor"/>
      </rPr>
      <t>REV3L</t>
    </r>
    <r>
      <rPr>
        <sz val="11"/>
        <color theme="1"/>
        <rFont val="Calibri"/>
        <family val="2"/>
        <scheme val="minor"/>
      </rPr>
      <t xml:space="preserve"> markedly attenuated </t>
    </r>
    <r>
      <rPr>
        <b/>
        <sz val="11"/>
        <color theme="1"/>
        <rFont val="Calibri"/>
        <family val="2"/>
        <scheme val="minor"/>
      </rPr>
      <t>cisplatin</t>
    </r>
    <r>
      <rPr>
        <sz val="11"/>
        <color theme="1"/>
        <rFont val="Calibri"/>
        <family val="2"/>
        <scheme val="minor"/>
      </rPr>
      <t xml:space="preserve">-induced apoptosis of the mitochondrial apoptotic pathway. </t>
    </r>
    <r>
      <rPr>
        <b/>
        <sz val="11"/>
        <color theme="1"/>
        <rFont val="Calibri"/>
        <family val="2"/>
        <scheme val="minor"/>
      </rPr>
      <t xml:space="preserve">8) </t>
    </r>
    <r>
      <rPr>
        <sz val="11"/>
        <color theme="1"/>
        <rFont val="Calibri"/>
        <family val="2"/>
        <scheme val="minor"/>
      </rPr>
      <t xml:space="preserve">Downregulation of </t>
    </r>
    <r>
      <rPr>
        <b/>
        <sz val="11"/>
        <color theme="1"/>
        <rFont val="Calibri"/>
        <family val="2"/>
        <scheme val="minor"/>
      </rPr>
      <t>REV3L</t>
    </r>
    <r>
      <rPr>
        <sz val="11"/>
        <color theme="1"/>
        <rFont val="Calibri"/>
        <family val="2"/>
        <scheme val="minor"/>
      </rPr>
      <t xml:space="preserve"> expression significantly enhanced the sensitivity of glioma cells to cisplatin. </t>
    </r>
    <r>
      <rPr>
        <b/>
        <sz val="11"/>
        <color theme="1"/>
        <rFont val="Calibri"/>
        <family val="2"/>
        <scheme val="minor"/>
      </rPr>
      <t xml:space="preserve">8) </t>
    </r>
    <r>
      <rPr>
        <sz val="11"/>
        <color theme="1"/>
        <rFont val="Calibri"/>
        <family val="2"/>
        <scheme val="minor"/>
      </rPr>
      <t xml:space="preserve">REV3L may potentially contribute to gliomagenesis and play a crucial role in regulating cellular response to the DNA cross-linking agent cisplatin. </t>
    </r>
  </si>
  <si>
    <r>
      <rPr>
        <b/>
        <sz val="11"/>
        <color theme="1"/>
        <rFont val="Calibri"/>
        <family val="2"/>
        <scheme val="minor"/>
      </rPr>
      <t>1) RGS2, RGS5, RGS10</t>
    </r>
    <r>
      <rPr>
        <sz val="11"/>
        <color theme="1"/>
        <rFont val="Calibri"/>
        <family val="2"/>
        <scheme val="minor"/>
      </rPr>
      <t xml:space="preserve"> and </t>
    </r>
    <r>
      <rPr>
        <b/>
        <sz val="11"/>
        <color theme="1"/>
        <rFont val="Calibri"/>
        <family val="2"/>
        <scheme val="minor"/>
      </rPr>
      <t>RGS17</t>
    </r>
    <r>
      <rPr>
        <sz val="11"/>
        <color theme="1"/>
        <rFont val="Calibri"/>
        <family val="2"/>
        <scheme val="minor"/>
      </rPr>
      <t xml:space="preserve"> transcripts are expressed at significantly lower levels in cells resistant to chemotherapy compared with parental, chemo-sensitive cells in gene expression datasets of multiple models of chemoresistance. </t>
    </r>
    <r>
      <rPr>
        <b/>
        <sz val="11"/>
        <color theme="1"/>
        <rFont val="Calibri"/>
        <family val="2"/>
        <scheme val="minor"/>
      </rPr>
      <t xml:space="preserve">2) </t>
    </r>
    <r>
      <rPr>
        <sz val="11"/>
        <color theme="1"/>
        <rFont val="Calibri"/>
        <family val="2"/>
        <scheme val="minor"/>
      </rPr>
      <t xml:space="preserve">exposure of SKOV-3 cells to cytotoxic chemotherapy causes acute, persistent downregulation of </t>
    </r>
    <r>
      <rPr>
        <b/>
        <sz val="11"/>
        <color theme="1"/>
        <rFont val="Calibri"/>
        <family val="2"/>
        <scheme val="minor"/>
      </rPr>
      <t>RGS10</t>
    </r>
    <r>
      <rPr>
        <sz val="11"/>
        <color theme="1"/>
        <rFont val="Calibri"/>
        <family val="2"/>
        <scheme val="minor"/>
      </rPr>
      <t xml:space="preserve"> and </t>
    </r>
    <r>
      <rPr>
        <b/>
        <sz val="11"/>
        <color theme="1"/>
        <rFont val="Calibri"/>
        <family val="2"/>
        <scheme val="minor"/>
      </rPr>
      <t>RGS17</t>
    </r>
    <r>
      <rPr>
        <sz val="11"/>
        <color theme="1"/>
        <rFont val="Calibri"/>
        <family val="2"/>
        <scheme val="minor"/>
      </rPr>
      <t xml:space="preserve"> transcript expression. </t>
    </r>
    <r>
      <rPr>
        <b/>
        <sz val="11"/>
        <color theme="1"/>
        <rFont val="Calibri"/>
        <family val="2"/>
        <scheme val="minor"/>
      </rPr>
      <t xml:space="preserve">3) </t>
    </r>
    <r>
      <rPr>
        <sz val="11"/>
        <color theme="1"/>
        <rFont val="Calibri"/>
        <family val="2"/>
        <scheme val="minor"/>
      </rPr>
      <t xml:space="preserve">Direct inhibition of </t>
    </r>
    <r>
      <rPr>
        <b/>
        <sz val="11"/>
        <color theme="1"/>
        <rFont val="Calibri"/>
        <family val="2"/>
        <scheme val="minor"/>
      </rPr>
      <t>RGS10</t>
    </r>
    <r>
      <rPr>
        <sz val="11"/>
        <color theme="1"/>
        <rFont val="Calibri"/>
        <family val="2"/>
        <scheme val="minor"/>
      </rPr>
      <t xml:space="preserve"> or </t>
    </r>
    <r>
      <rPr>
        <b/>
        <sz val="11"/>
        <color theme="1"/>
        <rFont val="Calibri"/>
        <family val="2"/>
        <scheme val="minor"/>
      </rPr>
      <t>RGS17</t>
    </r>
    <r>
      <rPr>
        <sz val="11"/>
        <color theme="1"/>
        <rFont val="Calibri"/>
        <family val="2"/>
        <scheme val="minor"/>
      </rPr>
      <t xml:space="preserve"> expression using siRNA knock-down significantly reduces chemotherapy-induced cell toxicity. </t>
    </r>
    <r>
      <rPr>
        <b/>
        <sz val="11"/>
        <color theme="1"/>
        <rFont val="Calibri"/>
        <family val="2"/>
        <scheme val="minor"/>
      </rPr>
      <t>4)</t>
    </r>
    <r>
      <rPr>
        <sz val="11"/>
        <color theme="1"/>
        <rFont val="Calibri"/>
        <family val="2"/>
        <scheme val="minor"/>
      </rPr>
      <t xml:space="preserve"> The effects of </t>
    </r>
    <r>
      <rPr>
        <b/>
        <sz val="11"/>
        <color theme="1"/>
        <rFont val="Calibri"/>
        <family val="2"/>
        <scheme val="minor"/>
      </rPr>
      <t>cisplatin</t>
    </r>
    <r>
      <rPr>
        <sz val="11"/>
        <color theme="1"/>
        <rFont val="Calibri"/>
        <family val="2"/>
        <scheme val="minor"/>
      </rPr>
      <t xml:space="preserve">, vincristine, and docetaxel are inhibited following </t>
    </r>
    <r>
      <rPr>
        <b/>
        <sz val="11"/>
        <color theme="1"/>
        <rFont val="Calibri"/>
        <family val="2"/>
        <scheme val="minor"/>
      </rPr>
      <t>RGS10</t>
    </r>
    <r>
      <rPr>
        <sz val="11"/>
        <color theme="1"/>
        <rFont val="Calibri"/>
        <family val="2"/>
        <scheme val="minor"/>
      </rPr>
      <t xml:space="preserve"> and RGS17 knock-down in cell viability assays and phosphatidyl serine externalization assays in SKOV-3 cells and MDR-HeyA8 cells. </t>
    </r>
    <r>
      <rPr>
        <b/>
        <sz val="11"/>
        <color theme="1"/>
        <rFont val="Calibri"/>
        <family val="2"/>
        <scheme val="minor"/>
      </rPr>
      <t>5) AKT</t>
    </r>
    <r>
      <rPr>
        <sz val="11"/>
        <color theme="1"/>
        <rFont val="Calibri"/>
        <family val="2"/>
        <scheme val="minor"/>
      </rPr>
      <t xml:space="preserve"> activation is higher following </t>
    </r>
    <r>
      <rPr>
        <b/>
        <sz val="11"/>
        <color theme="1"/>
        <rFont val="Calibri"/>
        <family val="2"/>
        <scheme val="minor"/>
      </rPr>
      <t>RGS10</t>
    </r>
    <r>
      <rPr>
        <sz val="11"/>
        <color theme="1"/>
        <rFont val="Calibri"/>
        <family val="2"/>
        <scheme val="minor"/>
      </rPr>
      <t xml:space="preserve"> knock-down </t>
    </r>
    <r>
      <rPr>
        <b/>
        <sz val="11"/>
        <color theme="1"/>
        <rFont val="Calibri"/>
        <family val="2"/>
        <scheme val="minor"/>
      </rPr>
      <t xml:space="preserve">6) </t>
    </r>
    <r>
      <rPr>
        <sz val="11"/>
        <color theme="1"/>
        <rFont val="Calibri"/>
        <family val="2"/>
        <scheme val="minor"/>
      </rPr>
      <t>RGS 10 and RGS17 overexpression blocked LPA mediated activation of AKT, suggesting that RGS proteins may blunt AKT survival pathways</t>
    </r>
    <r>
      <rPr>
        <b/>
        <sz val="11"/>
        <color theme="1"/>
        <rFont val="Calibri"/>
        <family val="2"/>
        <scheme val="minor"/>
      </rPr>
      <t>. 7)</t>
    </r>
    <r>
      <rPr>
        <sz val="11"/>
        <color theme="1"/>
        <rFont val="Calibri"/>
        <family val="2"/>
        <scheme val="minor"/>
      </rPr>
      <t xml:space="preserve"> The suppression of RGS10 is due to DNA hypermethylation and histone deacetylation. </t>
    </r>
  </si>
  <si>
    <r>
      <rPr>
        <b/>
        <sz val="11"/>
        <color theme="1"/>
        <rFont val="Calibri"/>
        <family val="2"/>
        <scheme val="minor"/>
      </rPr>
      <t xml:space="preserve">1) </t>
    </r>
    <r>
      <rPr>
        <sz val="11"/>
        <color theme="1"/>
        <rFont val="Calibri"/>
        <family val="2"/>
        <scheme val="minor"/>
      </rPr>
      <t xml:space="preserve">Rho/ROCK pathway inhibition by fasudil, an orally administered inhibitor of Rho kinases, enhanced </t>
    </r>
    <r>
      <rPr>
        <b/>
        <sz val="11"/>
        <color theme="1"/>
        <rFont val="Calibri"/>
        <family val="2"/>
        <scheme val="minor"/>
      </rPr>
      <t>cisplatin</t>
    </r>
    <r>
      <rPr>
        <sz val="11"/>
        <color theme="1"/>
        <rFont val="Calibri"/>
        <family val="2"/>
        <scheme val="minor"/>
      </rPr>
      <t xml:space="preserve">-induced growth inhibition and apoptosis in human </t>
    </r>
    <r>
      <rPr>
        <b/>
        <sz val="11"/>
        <color theme="1"/>
        <rFont val="Calibri"/>
        <family val="2"/>
        <scheme val="minor"/>
      </rPr>
      <t xml:space="preserve">ovarian </t>
    </r>
    <r>
      <rPr>
        <sz val="11"/>
        <color theme="1"/>
        <rFont val="Calibri"/>
        <family val="2"/>
        <scheme val="minor"/>
      </rPr>
      <t xml:space="preserve">cancer cell lines. </t>
    </r>
    <r>
      <rPr>
        <b/>
        <sz val="11"/>
        <color theme="1"/>
        <rFont val="Calibri"/>
        <family val="2"/>
        <scheme val="minor"/>
      </rPr>
      <t xml:space="preserve">2) </t>
    </r>
    <r>
      <rPr>
        <sz val="11"/>
        <color theme="1"/>
        <rFont val="Calibri"/>
        <family val="2"/>
        <scheme val="minor"/>
      </rPr>
      <t xml:space="preserve">Fasudil inhibited hypoxia inducible factor (HIF)-1α protein expression. </t>
    </r>
    <r>
      <rPr>
        <b/>
        <sz val="11"/>
        <color theme="1"/>
        <rFont val="Calibri"/>
        <family val="2"/>
        <scheme val="minor"/>
      </rPr>
      <t xml:space="preserve">3) </t>
    </r>
    <r>
      <rPr>
        <sz val="11"/>
        <color theme="1"/>
        <rFont val="Calibri"/>
        <family val="2"/>
        <scheme val="minor"/>
      </rPr>
      <t xml:space="preserve">Knockdown of RhoA, ROCK1 or ROCK2 also attenuated the expression of HIF-1α. </t>
    </r>
    <r>
      <rPr>
        <b/>
        <sz val="11"/>
        <color theme="1"/>
        <rFont val="Calibri"/>
        <family val="2"/>
        <scheme val="minor"/>
      </rPr>
      <t>4)</t>
    </r>
    <r>
      <rPr>
        <sz val="11"/>
        <color theme="1"/>
        <rFont val="Calibri"/>
        <family val="2"/>
        <scheme val="minor"/>
      </rPr>
      <t xml:space="preserve"> knockdown of HIF-1α using siRNA enhanced cisplatin-induced growth inhibition and apoptosis as did inhibition of the Rho/ROCK pathway by fasudil, the Rho/ROCK inhibitor Y27632, or by Rho/ROCK knockdown. </t>
    </r>
    <r>
      <rPr>
        <b/>
        <sz val="11"/>
        <color theme="1"/>
        <rFont val="Calibri"/>
        <family val="2"/>
        <scheme val="minor"/>
      </rPr>
      <t xml:space="preserve">5) </t>
    </r>
    <r>
      <rPr>
        <sz val="11"/>
        <color theme="1"/>
        <rFont val="Calibri"/>
        <family val="2"/>
        <scheme val="minor"/>
      </rPr>
      <t xml:space="preserve">RhoA overexpression are associated with poor survival of patients with hepatocellular carcinoma. </t>
    </r>
    <r>
      <rPr>
        <b/>
        <sz val="11"/>
        <color theme="1"/>
        <rFont val="Calibri"/>
        <family val="2"/>
        <scheme val="minor"/>
      </rPr>
      <t>6)</t>
    </r>
    <r>
      <rPr>
        <sz val="11"/>
        <color theme="1"/>
        <rFont val="Calibri"/>
        <family val="2"/>
        <scheme val="minor"/>
      </rPr>
      <t xml:space="preserve"> Cisplatin treatment increased RhoA and ROCK activity accompanied by the reduced tyrosine phosphorylation of SHP2, which was reversed by LM11A-31. </t>
    </r>
    <r>
      <rPr>
        <b/>
        <sz val="11"/>
        <color theme="1"/>
        <rFont val="Calibri"/>
        <family val="2"/>
        <scheme val="minor"/>
      </rPr>
      <t xml:space="preserve">7) </t>
    </r>
    <r>
      <rPr>
        <sz val="11"/>
        <color theme="1"/>
        <rFont val="Calibri"/>
        <family val="2"/>
        <scheme val="minor"/>
      </rPr>
      <t>phosphorylation of ezrin by ROCK via Fas receptor is involved in the early steps of cisplatin-induced apoptosis.</t>
    </r>
  </si>
  <si>
    <r>
      <rPr>
        <b/>
        <sz val="11"/>
        <color theme="1"/>
        <rFont val="Calibri"/>
        <family val="2"/>
        <scheme val="minor"/>
      </rPr>
      <t>1)</t>
    </r>
    <r>
      <rPr>
        <sz val="11"/>
        <color theme="1"/>
        <rFont val="Calibri"/>
        <family val="2"/>
        <scheme val="minor"/>
      </rPr>
      <t xml:space="preserve"> In an unbiased genome-wide RNAi screen we identified </t>
    </r>
    <r>
      <rPr>
        <b/>
        <sz val="11"/>
        <color theme="1"/>
        <rFont val="Calibri"/>
        <family val="2"/>
        <scheme val="minor"/>
      </rPr>
      <t>RhoJ</t>
    </r>
    <r>
      <rPr>
        <sz val="11"/>
        <color theme="1"/>
        <rFont val="Calibri"/>
        <family val="2"/>
        <scheme val="minor"/>
      </rPr>
      <t xml:space="preserve"> and its effector</t>
    </r>
    <r>
      <rPr>
        <b/>
        <sz val="11"/>
        <color theme="1"/>
        <rFont val="Calibri"/>
        <family val="2"/>
        <scheme val="minor"/>
      </rPr>
      <t xml:space="preserve"> Pak1</t>
    </r>
    <r>
      <rPr>
        <sz val="11"/>
        <color theme="1"/>
        <rFont val="Calibri"/>
        <family val="2"/>
        <scheme val="minor"/>
      </rPr>
      <t xml:space="preserve">, as key modulators of </t>
    </r>
    <r>
      <rPr>
        <b/>
        <sz val="11"/>
        <color theme="1"/>
        <rFont val="Calibri"/>
        <family val="2"/>
        <scheme val="minor"/>
      </rPr>
      <t>melanoma</t>
    </r>
    <r>
      <rPr>
        <sz val="11"/>
        <color theme="1"/>
        <rFont val="Calibri"/>
        <family val="2"/>
        <scheme val="minor"/>
      </rPr>
      <t xml:space="preserve"> cell sensitivity to DNA damage (including </t>
    </r>
    <r>
      <rPr>
        <b/>
        <sz val="11"/>
        <color theme="1"/>
        <rFont val="Calibri"/>
        <family val="2"/>
        <scheme val="minor"/>
      </rPr>
      <t>CDDP</t>
    </r>
    <r>
      <rPr>
        <sz val="11"/>
        <color theme="1"/>
        <rFont val="Calibri"/>
        <family val="2"/>
        <scheme val="minor"/>
      </rPr>
      <t>). </t>
    </r>
    <r>
      <rPr>
        <b/>
        <sz val="11"/>
        <color theme="1"/>
        <rFont val="Calibri"/>
        <family val="2"/>
        <scheme val="minor"/>
      </rPr>
      <t>2) RhoJ</t>
    </r>
    <r>
      <rPr>
        <sz val="11"/>
        <color theme="1"/>
        <rFont val="Calibri"/>
        <family val="2"/>
        <scheme val="minor"/>
      </rPr>
      <t xml:space="preserve"> activates </t>
    </r>
    <r>
      <rPr>
        <b/>
        <sz val="11"/>
        <color theme="1"/>
        <rFont val="Calibri"/>
        <family val="2"/>
        <scheme val="minor"/>
      </rPr>
      <t>Pak1</t>
    </r>
    <r>
      <rPr>
        <sz val="11"/>
        <color theme="1"/>
        <rFont val="Calibri"/>
        <family val="2"/>
        <scheme val="minor"/>
      </rPr>
      <t xml:space="preserve"> in response to drug-induced DNA damage, which then uncouples </t>
    </r>
    <r>
      <rPr>
        <b/>
        <sz val="11"/>
        <color theme="1"/>
        <rFont val="Calibri"/>
        <family val="2"/>
        <scheme val="minor"/>
      </rPr>
      <t>ATR</t>
    </r>
    <r>
      <rPr>
        <sz val="11"/>
        <color theme="1"/>
        <rFont val="Calibri"/>
        <family val="2"/>
        <scheme val="minor"/>
      </rPr>
      <t xml:space="preserve"> from its downstream effectors, ultimately resulting in a blunted DNA damage response (DDR). </t>
    </r>
    <r>
      <rPr>
        <b/>
        <sz val="11"/>
        <color theme="1"/>
        <rFont val="Calibri"/>
        <family val="2"/>
        <scheme val="minor"/>
      </rPr>
      <t>3)</t>
    </r>
    <r>
      <rPr>
        <sz val="11"/>
        <color theme="1"/>
        <rFont val="Calibri"/>
        <family val="2"/>
        <scheme val="minor"/>
      </rPr>
      <t xml:space="preserve"> In addition, ATR suppression leads to the decreased phosphorylation of </t>
    </r>
    <r>
      <rPr>
        <b/>
        <sz val="11"/>
        <color theme="1"/>
        <rFont val="Calibri"/>
        <family val="2"/>
        <scheme val="minor"/>
      </rPr>
      <t>ATF2</t>
    </r>
    <r>
      <rPr>
        <sz val="11"/>
        <color theme="1"/>
        <rFont val="Calibri"/>
        <family val="2"/>
        <scheme val="minor"/>
      </rPr>
      <t>, and consequent increased expression of the melanocyte survival gene</t>
    </r>
    <r>
      <rPr>
        <b/>
        <sz val="11"/>
        <color theme="1"/>
        <rFont val="Calibri"/>
        <family val="2"/>
        <scheme val="minor"/>
      </rPr>
      <t xml:space="preserve"> Sox10</t>
    </r>
    <r>
      <rPr>
        <sz val="11"/>
        <color theme="1"/>
        <rFont val="Calibri"/>
        <family val="2"/>
        <scheme val="minor"/>
      </rPr>
      <t xml:space="preserve"> resulting in a higher DDR threshold required to engage melanoma cell death. </t>
    </r>
    <r>
      <rPr>
        <b/>
        <sz val="11"/>
        <color theme="1"/>
        <rFont val="Calibri"/>
        <family val="2"/>
        <scheme val="minor"/>
      </rPr>
      <t>4)</t>
    </r>
    <r>
      <rPr>
        <sz val="11"/>
        <color theme="1"/>
        <rFont val="Calibri"/>
        <family val="2"/>
        <scheme val="minor"/>
      </rPr>
      <t xml:space="preserve"> In the setting of normal melanocyte behavior, this regulatory relationship may facilitate appropriate epidermal melanization in response to UV-induced DNA damage. </t>
    </r>
    <r>
      <rPr>
        <b/>
        <sz val="11"/>
        <color theme="1"/>
        <rFont val="Calibri"/>
        <family val="2"/>
        <scheme val="minor"/>
      </rPr>
      <t>5)</t>
    </r>
    <r>
      <rPr>
        <sz val="11"/>
        <color theme="1"/>
        <rFont val="Calibri"/>
        <family val="2"/>
        <scheme val="minor"/>
      </rPr>
      <t xml:space="preserve"> pathological pathway activation during oncogenic transformation produces a tumor that is intrinsically resistant to chemotherapy and has the propensity to accumulate additional mutations. </t>
    </r>
  </si>
  <si>
    <r>
      <rPr>
        <b/>
        <sz val="11"/>
        <color theme="1"/>
        <rFont val="Calibri"/>
        <family val="2"/>
        <scheme val="minor"/>
      </rPr>
      <t xml:space="preserve">1) </t>
    </r>
    <r>
      <rPr>
        <sz val="11"/>
        <color theme="1"/>
        <rFont val="Calibri"/>
        <family val="2"/>
        <scheme val="minor"/>
      </rPr>
      <t xml:space="preserve">RIF1 expression was significantly associated with the response of </t>
    </r>
    <r>
      <rPr>
        <b/>
        <sz val="11"/>
        <color theme="1"/>
        <rFont val="Calibri"/>
        <family val="2"/>
        <scheme val="minor"/>
      </rPr>
      <t>ovarian</t>
    </r>
    <r>
      <rPr>
        <sz val="11"/>
        <color theme="1"/>
        <rFont val="Calibri"/>
        <family val="2"/>
        <scheme val="minor"/>
      </rPr>
      <t xml:space="preserve"> patients to platinum-based chemotherapy (P&lt; 0.01). </t>
    </r>
    <r>
      <rPr>
        <b/>
        <sz val="11"/>
        <color theme="1"/>
        <rFont val="Calibri"/>
        <family val="2"/>
        <scheme val="minor"/>
      </rPr>
      <t xml:space="preserve">2) </t>
    </r>
    <r>
      <rPr>
        <sz val="11"/>
        <color theme="1"/>
        <rFont val="Calibri"/>
        <family val="2"/>
        <scheme val="minor"/>
      </rPr>
      <t xml:space="preserve">In cohorts from online databases, high expression of RIF1 was associated with higher mortality of EOC patients based on platinum chemotherapy (P &lt; 0.01). </t>
    </r>
    <r>
      <rPr>
        <b/>
        <sz val="11"/>
        <color theme="1"/>
        <rFont val="Calibri"/>
        <family val="2"/>
        <scheme val="minor"/>
      </rPr>
      <t>3)</t>
    </r>
    <r>
      <rPr>
        <sz val="11"/>
        <color theme="1"/>
        <rFont val="Calibri"/>
        <family val="2"/>
        <scheme val="minor"/>
      </rPr>
      <t xml:space="preserve"> RIF1 knockdown increased sensitivity to cisplatin in EOC in vitro and in vivo. </t>
    </r>
    <r>
      <rPr>
        <b/>
        <sz val="11"/>
        <color theme="1"/>
        <rFont val="Calibri"/>
        <family val="2"/>
        <scheme val="minor"/>
      </rPr>
      <t xml:space="preserve">4) </t>
    </r>
    <r>
      <rPr>
        <sz val="11"/>
        <color theme="1"/>
        <rFont val="Calibri"/>
        <family val="2"/>
        <scheme val="minor"/>
      </rPr>
      <t>Deletion of RIF1 impaired the NER activity by inhibiting the NER proteins in ovarian cancer cells.</t>
    </r>
    <r>
      <rPr>
        <b/>
        <sz val="11"/>
        <color theme="1"/>
        <rFont val="Calibri"/>
        <family val="2"/>
        <scheme val="minor"/>
      </rPr>
      <t xml:space="preserve"> 5) </t>
    </r>
    <r>
      <rPr>
        <sz val="11"/>
        <color theme="1"/>
        <rFont val="Calibri"/>
        <family val="2"/>
        <scheme val="minor"/>
      </rPr>
      <t>knockdown of RIF1 enhanced cisplatin-induced apoptosis.</t>
    </r>
  </si>
  <si>
    <r>
      <rPr>
        <b/>
        <sz val="11"/>
        <color theme="1"/>
        <rFont val="Calibri"/>
        <family val="2"/>
        <scheme val="minor"/>
      </rPr>
      <t xml:space="preserve">1) </t>
    </r>
    <r>
      <rPr>
        <sz val="11"/>
        <color theme="1"/>
        <rFont val="Calibri"/>
        <family val="2"/>
        <scheme val="minor"/>
      </rPr>
      <t xml:space="preserve">the activity of the NF-κB signaling pathway and K63-linked </t>
    </r>
    <r>
      <rPr>
        <b/>
        <sz val="11"/>
        <color theme="1"/>
        <rFont val="Calibri"/>
        <family val="2"/>
        <scheme val="minor"/>
      </rPr>
      <t>ubiquitination</t>
    </r>
    <r>
      <rPr>
        <sz val="11"/>
        <color theme="1"/>
        <rFont val="Calibri"/>
        <family val="2"/>
        <scheme val="minor"/>
      </rPr>
      <t xml:space="preserve"> of </t>
    </r>
    <r>
      <rPr>
        <b/>
        <sz val="11"/>
        <color theme="1"/>
        <rFont val="Calibri"/>
        <family val="2"/>
        <scheme val="minor"/>
      </rPr>
      <t>RIP1</t>
    </r>
    <r>
      <rPr>
        <sz val="11"/>
        <color theme="1"/>
        <rFont val="Calibri"/>
        <family val="2"/>
        <scheme val="minor"/>
      </rPr>
      <t xml:space="preserve"> was higher in </t>
    </r>
    <r>
      <rPr>
        <b/>
        <sz val="11"/>
        <color theme="1"/>
        <rFont val="Calibri"/>
        <family val="2"/>
        <scheme val="minor"/>
      </rPr>
      <t>cisplatin-resistant</t>
    </r>
    <r>
      <rPr>
        <sz val="11"/>
        <color theme="1"/>
        <rFont val="Calibri"/>
        <family val="2"/>
        <scheme val="minor"/>
      </rPr>
      <t xml:space="preserve"> ovarian (SKOV3/DDP) cells compared with parental cells. </t>
    </r>
    <r>
      <rPr>
        <b/>
        <sz val="11"/>
        <color theme="1"/>
        <rFont val="Calibri"/>
        <family val="2"/>
        <scheme val="minor"/>
      </rPr>
      <t>2)</t>
    </r>
    <r>
      <rPr>
        <sz val="11"/>
        <color theme="1"/>
        <rFont val="Calibri"/>
        <family val="2"/>
        <scheme val="minor"/>
      </rPr>
      <t xml:space="preserve"> deletion of the ZZ domain of </t>
    </r>
    <r>
      <rPr>
        <b/>
        <sz val="11"/>
        <color theme="1"/>
        <rFont val="Calibri"/>
        <family val="2"/>
        <scheme val="minor"/>
      </rPr>
      <t>p62</t>
    </r>
    <r>
      <rPr>
        <sz val="11"/>
        <color theme="1"/>
        <rFont val="Calibri"/>
        <family val="2"/>
        <scheme val="minor"/>
      </rPr>
      <t xml:space="preserve"> that interacts with </t>
    </r>
    <r>
      <rPr>
        <b/>
        <sz val="11"/>
        <color theme="1"/>
        <rFont val="Calibri"/>
        <family val="2"/>
        <scheme val="minor"/>
      </rPr>
      <t>RIP1</t>
    </r>
    <r>
      <rPr>
        <sz val="11"/>
        <color theme="1"/>
        <rFont val="Calibri"/>
        <family val="2"/>
        <scheme val="minor"/>
      </rPr>
      <t xml:space="preserve"> in SKOV3 cells markedly decreased </t>
    </r>
    <r>
      <rPr>
        <b/>
        <sz val="11"/>
        <color theme="1"/>
        <rFont val="Calibri"/>
        <family val="2"/>
        <scheme val="minor"/>
      </rPr>
      <t>K63-linked ubiquitination of RIP1</t>
    </r>
    <r>
      <rPr>
        <sz val="11"/>
        <color theme="1"/>
        <rFont val="Calibri"/>
        <family val="2"/>
        <scheme val="minor"/>
      </rPr>
      <t xml:space="preserve"> and inhibited the activation of the NF-κB signaling pathway. </t>
    </r>
    <r>
      <rPr>
        <b/>
        <sz val="11"/>
        <color theme="1"/>
        <rFont val="Calibri"/>
        <family val="2"/>
        <scheme val="minor"/>
      </rPr>
      <t>3)</t>
    </r>
    <r>
      <rPr>
        <sz val="11"/>
        <color theme="1"/>
        <rFont val="Calibri"/>
        <family val="2"/>
        <scheme val="minor"/>
      </rPr>
      <t xml:space="preserve"> loss of the ZZ domain from </t>
    </r>
    <r>
      <rPr>
        <b/>
        <sz val="11"/>
        <color theme="1"/>
        <rFont val="Calibri"/>
        <family val="2"/>
        <scheme val="minor"/>
      </rPr>
      <t>p62</t>
    </r>
    <r>
      <rPr>
        <sz val="11"/>
        <color theme="1"/>
        <rFont val="Calibri"/>
        <family val="2"/>
        <scheme val="minor"/>
      </rPr>
      <t xml:space="preserve"> led to poor proliferative capacity and high levels of apoptosis in SKOV3 cells and made them more sensitive to cisplatin treatment. </t>
    </r>
    <r>
      <rPr>
        <b/>
        <sz val="11"/>
        <color theme="1"/>
        <rFont val="Calibri"/>
        <family val="2"/>
        <scheme val="minor"/>
      </rPr>
      <t>4)</t>
    </r>
    <r>
      <rPr>
        <sz val="11"/>
        <color theme="1"/>
        <rFont val="Calibri"/>
        <family val="2"/>
        <scheme val="minor"/>
      </rPr>
      <t xml:space="preserve"> In lung cancer cells, knockdown of RIP1 substantially increased cisplatin-induced apoptotic cytotoxicity, which was associated with robust JNK activation. </t>
    </r>
  </si>
  <si>
    <r>
      <rPr>
        <b/>
        <sz val="11"/>
        <color theme="1"/>
        <rFont val="Calibri"/>
        <family val="2"/>
        <scheme val="minor"/>
      </rPr>
      <t>1)</t>
    </r>
    <r>
      <rPr>
        <sz val="11"/>
        <color theme="1"/>
        <rFont val="Calibri"/>
        <family val="2"/>
        <scheme val="minor"/>
      </rPr>
      <t xml:space="preserve"> </t>
    </r>
    <r>
      <rPr>
        <b/>
        <sz val="11"/>
        <color theme="1"/>
        <rFont val="Calibri"/>
        <family val="2"/>
        <scheme val="minor"/>
      </rPr>
      <t>RIP3</t>
    </r>
    <r>
      <rPr>
        <sz val="11"/>
        <color theme="1"/>
        <rFont val="Calibri"/>
        <family val="2"/>
        <scheme val="minor"/>
      </rPr>
      <t xml:space="preserve"> is downregulated in </t>
    </r>
    <r>
      <rPr>
        <b/>
        <sz val="11"/>
        <color theme="1"/>
        <rFont val="Calibri"/>
        <family val="2"/>
        <scheme val="minor"/>
      </rPr>
      <t>esophageal squamous</t>
    </r>
    <r>
      <rPr>
        <sz val="11"/>
        <color theme="1"/>
        <rFont val="Calibri"/>
        <family val="2"/>
        <scheme val="minor"/>
      </rPr>
      <t xml:space="preserve"> cell carcinoma (ESCC )and associated with poor clinical outcome and poor response to chemotherapy. </t>
    </r>
    <r>
      <rPr>
        <b/>
        <sz val="11"/>
        <color theme="1"/>
        <rFont val="Calibri"/>
        <family val="2"/>
        <scheme val="minor"/>
      </rPr>
      <t xml:space="preserve">2) </t>
    </r>
    <r>
      <rPr>
        <sz val="11"/>
        <color theme="1"/>
        <rFont val="Calibri"/>
        <family val="2"/>
        <scheme val="minor"/>
      </rPr>
      <t xml:space="preserve">Loss of RIP3 expression confers a moderate amount of cisplatin resistance; re-expression of kinase-dead RIP3 also restored </t>
    </r>
    <r>
      <rPr>
        <b/>
        <sz val="11"/>
        <color theme="1"/>
        <rFont val="Calibri"/>
        <family val="2"/>
        <scheme val="minor"/>
      </rPr>
      <t xml:space="preserve">cisplatin </t>
    </r>
    <r>
      <rPr>
        <sz val="11"/>
        <color theme="1"/>
        <rFont val="Calibri"/>
        <family val="2"/>
        <scheme val="minor"/>
      </rPr>
      <t xml:space="preserve">sensitivity. </t>
    </r>
  </si>
  <si>
    <r>
      <rPr>
        <b/>
        <sz val="11"/>
        <color theme="1"/>
        <rFont val="Calibri"/>
        <family val="2"/>
        <scheme val="minor"/>
      </rPr>
      <t>1) RNASET2</t>
    </r>
    <r>
      <rPr>
        <sz val="11"/>
        <color theme="1"/>
        <rFont val="Calibri"/>
        <family val="2"/>
        <scheme val="minor"/>
      </rPr>
      <t xml:space="preserve"> and GGNBP2 mRNA levels were significantly lower in A2780-CBP (carboplatin-resistant) and A2780-DDP (cisplatin-resistant) ovarian cancer cells than in the parental A2780 cells </t>
    </r>
    <r>
      <rPr>
        <b/>
        <sz val="11"/>
        <color theme="1"/>
        <rFont val="Calibri"/>
        <family val="2"/>
        <scheme val="minor"/>
      </rPr>
      <t xml:space="preserve">2) </t>
    </r>
    <r>
      <rPr>
        <sz val="11"/>
        <color theme="1"/>
        <rFont val="Calibri"/>
        <family val="2"/>
        <scheme val="minor"/>
      </rPr>
      <t xml:space="preserve">were downregulated in drug-resistant ovarian cancer tissues compared with their drug-sensitive counterparts. </t>
    </r>
    <r>
      <rPr>
        <b/>
        <sz val="11"/>
        <color theme="1"/>
        <rFont val="Calibri"/>
        <family val="2"/>
        <scheme val="minor"/>
      </rPr>
      <t>3)</t>
    </r>
    <r>
      <rPr>
        <sz val="11"/>
        <color theme="1"/>
        <rFont val="Calibri"/>
        <family val="2"/>
        <scheme val="minor"/>
      </rPr>
      <t xml:space="preserve"> consistent with the expression profiles  retrieved from the Gene Expression Omnibus Profiles database. </t>
    </r>
    <r>
      <rPr>
        <b/>
        <sz val="11"/>
        <color theme="1"/>
        <rFont val="Calibri"/>
        <family val="2"/>
        <scheme val="minor"/>
      </rPr>
      <t xml:space="preserve">4) </t>
    </r>
    <r>
      <rPr>
        <sz val="11"/>
        <color theme="1"/>
        <rFont val="Calibri"/>
        <family val="2"/>
        <scheme val="minor"/>
      </rPr>
      <t>Transfection of RNASET2 into ovarian tumor cell lines suppressed their tumorigenicity in nude mice and induced marked cell senescence during in vitro growth</t>
    </r>
  </si>
  <si>
    <r>
      <rPr>
        <b/>
        <sz val="11"/>
        <color theme="1"/>
        <rFont val="Calibri"/>
        <family val="2"/>
        <scheme val="minor"/>
      </rPr>
      <t xml:space="preserve">1) </t>
    </r>
    <r>
      <rPr>
        <sz val="11"/>
        <color theme="1"/>
        <rFont val="Calibri"/>
        <family val="2"/>
        <scheme val="minor"/>
      </rPr>
      <t>ring finger protein 2 (</t>
    </r>
    <r>
      <rPr>
        <b/>
        <sz val="11"/>
        <color theme="1"/>
        <rFont val="Calibri"/>
        <family val="2"/>
        <scheme val="minor"/>
      </rPr>
      <t>RNF2</t>
    </r>
    <r>
      <rPr>
        <sz val="11"/>
        <color theme="1"/>
        <rFont val="Calibri"/>
        <family val="2"/>
        <scheme val="minor"/>
      </rPr>
      <t xml:space="preserve">) is highly expressed in </t>
    </r>
    <r>
      <rPr>
        <b/>
        <sz val="11"/>
        <color theme="1"/>
        <rFont val="Calibri"/>
        <family val="2"/>
        <scheme val="minor"/>
      </rPr>
      <t>OC</t>
    </r>
    <r>
      <rPr>
        <sz val="11"/>
        <color theme="1"/>
        <rFont val="Calibri"/>
        <family val="2"/>
        <scheme val="minor"/>
      </rPr>
      <t xml:space="preserve"> cells.  </t>
    </r>
    <r>
      <rPr>
        <b/>
        <sz val="11"/>
        <color theme="1"/>
        <rFont val="Calibri"/>
        <family val="2"/>
        <scheme val="minor"/>
      </rPr>
      <t xml:space="preserve">2) </t>
    </r>
    <r>
      <rPr>
        <sz val="11"/>
        <color theme="1"/>
        <rFont val="Calibri"/>
        <family val="2"/>
        <scheme val="minor"/>
      </rPr>
      <t xml:space="preserve">the protein levels of RNF2, p-p38, and p-ERK significantly increased in cisplatin-resistant OC tissues (all P &lt; 0.05), while the protein levels of p38 and ERK displayed no obvious difference (both P &gt; 0.05).  </t>
    </r>
    <r>
      <rPr>
        <b/>
        <sz val="11"/>
        <color theme="1"/>
        <rFont val="Calibri"/>
        <family val="2"/>
        <scheme val="minor"/>
      </rPr>
      <t>3)</t>
    </r>
    <r>
      <rPr>
        <sz val="11"/>
        <color theme="1"/>
        <rFont val="Calibri"/>
        <family val="2"/>
        <scheme val="minor"/>
      </rPr>
      <t xml:space="preserve"> RNF2 is the target gene of miR-139-5p. </t>
    </r>
    <r>
      <rPr>
        <b/>
        <sz val="11"/>
        <color theme="1"/>
        <rFont val="Calibri"/>
        <family val="2"/>
        <scheme val="minor"/>
      </rPr>
      <t xml:space="preserve">4) </t>
    </r>
    <r>
      <rPr>
        <sz val="11"/>
        <color theme="1"/>
        <rFont val="Calibri"/>
        <family val="2"/>
        <scheme val="minor"/>
      </rPr>
      <t xml:space="preserve">MAPK activation and RNF2 were related to </t>
    </r>
    <r>
      <rPr>
        <b/>
        <sz val="11"/>
        <color theme="1"/>
        <rFont val="Calibri"/>
        <family val="2"/>
        <scheme val="minor"/>
      </rPr>
      <t>cisplatin</t>
    </r>
    <r>
      <rPr>
        <sz val="11"/>
        <color theme="1"/>
        <rFont val="Calibri"/>
        <family val="2"/>
        <scheme val="minor"/>
      </rPr>
      <t xml:space="preserve"> resistance of OC. </t>
    </r>
    <r>
      <rPr>
        <b/>
        <sz val="11"/>
        <color theme="1"/>
        <rFont val="Calibri"/>
        <family val="2"/>
        <scheme val="minor"/>
      </rPr>
      <t xml:space="preserve">5) </t>
    </r>
    <r>
      <rPr>
        <sz val="11"/>
        <color theme="1"/>
        <rFont val="Calibri"/>
        <family val="2"/>
        <scheme val="minor"/>
      </rPr>
      <t xml:space="preserve">miR-139-5p was downregulated in cisplatin-resistant OC tissues, </t>
    </r>
    <r>
      <rPr>
        <b/>
        <sz val="11"/>
        <color theme="1"/>
        <rFont val="Calibri"/>
        <family val="2"/>
        <scheme val="minor"/>
      </rPr>
      <t>6)</t>
    </r>
    <r>
      <rPr>
        <sz val="11"/>
        <color theme="1"/>
        <rFont val="Calibri"/>
        <family val="2"/>
        <scheme val="minor"/>
      </rPr>
      <t xml:space="preserve"> miR-139-5p overexpression could inhibit cell vitality, reduce cisplatin resistance, and promote apoptosis of OC cells. </t>
    </r>
    <r>
      <rPr>
        <b/>
        <sz val="11"/>
        <color theme="1"/>
        <rFont val="Calibri"/>
        <family val="2"/>
        <scheme val="minor"/>
      </rPr>
      <t xml:space="preserve">7) </t>
    </r>
    <r>
      <rPr>
        <sz val="11"/>
        <color theme="1"/>
        <rFont val="Calibri"/>
        <family val="2"/>
        <scheme val="minor"/>
      </rPr>
      <t xml:space="preserve">miR-139-5p combined with MAPK inhibitors more obviously reduced cisplatin resistance of OC. </t>
    </r>
  </si>
  <si>
    <r>
      <rPr>
        <b/>
        <sz val="11"/>
        <color theme="1"/>
        <rFont val="Calibri"/>
        <family val="2"/>
        <scheme val="minor"/>
      </rPr>
      <t>1)</t>
    </r>
    <r>
      <rPr>
        <sz val="11"/>
        <color theme="1"/>
        <rFont val="Calibri"/>
        <family val="2"/>
        <scheme val="minor"/>
      </rPr>
      <t xml:space="preserve"> </t>
    </r>
    <r>
      <rPr>
        <b/>
        <sz val="11"/>
        <color theme="1"/>
        <rFont val="Calibri"/>
        <family val="2"/>
        <scheme val="minor"/>
      </rPr>
      <t>ROR1</t>
    </r>
    <r>
      <rPr>
        <sz val="11"/>
        <color theme="1"/>
        <rFont val="Calibri"/>
        <family val="2"/>
        <scheme val="minor"/>
      </rPr>
      <t xml:space="preserve"> and </t>
    </r>
    <r>
      <rPr>
        <b/>
        <sz val="11"/>
        <color theme="1"/>
        <rFont val="Calibri"/>
        <family val="2"/>
        <scheme val="minor"/>
      </rPr>
      <t>ROR2</t>
    </r>
    <r>
      <rPr>
        <sz val="11"/>
        <color theme="1"/>
        <rFont val="Calibri"/>
        <family val="2"/>
        <scheme val="minor"/>
      </rPr>
      <t xml:space="preserve"> expression is increased in </t>
    </r>
    <r>
      <rPr>
        <b/>
        <sz val="11"/>
        <color theme="1"/>
        <rFont val="Calibri"/>
        <family val="2"/>
        <scheme val="minor"/>
      </rPr>
      <t>OC</t>
    </r>
    <r>
      <rPr>
        <sz val="11"/>
        <color theme="1"/>
        <rFont val="Calibri"/>
        <family val="2"/>
        <scheme val="minor"/>
      </rPr>
      <t xml:space="preserve"> A2780-cis cells, alongside β-catenin-independent Wnt targets. </t>
    </r>
    <r>
      <rPr>
        <b/>
        <sz val="11"/>
        <color theme="1"/>
        <rFont val="Calibri"/>
        <family val="2"/>
        <scheme val="minor"/>
      </rPr>
      <t>2)</t>
    </r>
    <r>
      <rPr>
        <sz val="11"/>
        <color theme="1"/>
        <rFont val="Calibri"/>
        <family val="2"/>
        <scheme val="minor"/>
      </rPr>
      <t xml:space="preserve"> Knockdown of ROR1 and ROR2 significantly inhibited cell migration and invasion and simultaneous knockdown of ROR1 and ROR2 significantly sensitised cells to </t>
    </r>
    <r>
      <rPr>
        <b/>
        <sz val="11"/>
        <color theme="1"/>
        <rFont val="Calibri"/>
        <family val="2"/>
        <scheme val="minor"/>
      </rPr>
      <t>cisplatin</t>
    </r>
    <r>
      <rPr>
        <sz val="11"/>
        <color theme="1"/>
        <rFont val="Calibri"/>
        <family val="2"/>
        <scheme val="minor"/>
      </rPr>
      <t>, whilereas ROR overexpression in the parental cell line increased cell invasion. </t>
    </r>
  </si>
  <si>
    <r>
      <rPr>
        <b/>
        <sz val="11"/>
        <color theme="1"/>
        <rFont val="Calibri"/>
        <family val="2"/>
        <scheme val="minor"/>
      </rPr>
      <t xml:space="preserve">1) </t>
    </r>
    <r>
      <rPr>
        <sz val="11"/>
        <color theme="1"/>
        <rFont val="Calibri"/>
        <family val="2"/>
        <scheme val="minor"/>
      </rPr>
      <t xml:space="preserve">Of patients with </t>
    </r>
    <r>
      <rPr>
        <b/>
        <sz val="11"/>
        <color theme="1"/>
        <rFont val="Calibri"/>
        <family val="2"/>
        <scheme val="minor"/>
      </rPr>
      <t>platinum</t>
    </r>
    <r>
      <rPr>
        <sz val="11"/>
        <color theme="1"/>
        <rFont val="Calibri"/>
        <family val="2"/>
        <scheme val="minor"/>
      </rPr>
      <t xml:space="preserve">-sensitive and -resistant </t>
    </r>
    <r>
      <rPr>
        <b/>
        <sz val="11"/>
        <color theme="1"/>
        <rFont val="Calibri"/>
        <family val="2"/>
        <scheme val="minor"/>
      </rPr>
      <t>ovarian</t>
    </r>
    <r>
      <rPr>
        <sz val="11"/>
        <color theme="1"/>
        <rFont val="Calibri"/>
        <family val="2"/>
        <scheme val="minor"/>
      </rPr>
      <t xml:space="preserve"> cancer (total cohort  = 53), the development of platinum resistance correlated with upregulation of ROR2, whereas GREB1</t>
    </r>
    <r>
      <rPr>
        <b/>
        <sz val="11"/>
        <color theme="1"/>
        <rFont val="Calibri"/>
        <family val="2"/>
        <scheme val="minor"/>
      </rPr>
      <t xml:space="preserve"> </t>
    </r>
    <r>
      <rPr>
        <sz val="11"/>
        <color theme="1"/>
        <rFont val="Calibri"/>
        <family val="2"/>
        <scheme val="minor"/>
      </rPr>
      <t xml:space="preserve">was downregulated. </t>
    </r>
    <r>
      <rPr>
        <b/>
        <sz val="11"/>
        <color theme="1"/>
        <rFont val="Calibri"/>
        <family val="2"/>
        <scheme val="minor"/>
      </rPr>
      <t xml:space="preserve">2) </t>
    </r>
    <r>
      <rPr>
        <sz val="11"/>
        <color theme="1"/>
        <rFont val="Calibri"/>
        <family val="2"/>
        <scheme val="minor"/>
      </rPr>
      <t xml:space="preserve">high levels of ROR2 in platinum-resistant samples were associated with upregulation of Wnt5a, STAT3 and NF-kB levels, suggesting that a crosstalk between the non-canonical Wnt5a-ROR2 and STAT3/NF-kB signaling pathways. </t>
    </r>
    <r>
      <rPr>
        <b/>
        <sz val="11"/>
        <color theme="1"/>
        <rFont val="Calibri"/>
        <family val="2"/>
        <scheme val="minor"/>
      </rPr>
      <t>3) U</t>
    </r>
    <r>
      <rPr>
        <sz val="11"/>
        <color theme="1"/>
        <rFont val="Calibri"/>
        <family val="2"/>
        <scheme val="minor"/>
      </rPr>
      <t xml:space="preserve">pregulation of ROR2, Wnt5a, STAT3 and NF-kB was further detected in a platinum-resistant cell-line model. </t>
    </r>
  </si>
  <si>
    <r>
      <rPr>
        <b/>
        <sz val="11"/>
        <color theme="1"/>
        <rFont val="Calibri"/>
        <family val="2"/>
        <scheme val="minor"/>
      </rPr>
      <t>1)</t>
    </r>
    <r>
      <rPr>
        <sz val="11"/>
        <color theme="1"/>
        <rFont val="Calibri"/>
        <family val="2"/>
        <scheme val="minor"/>
      </rPr>
      <t xml:space="preserve"> Expression of </t>
    </r>
    <r>
      <rPr>
        <b/>
        <sz val="11"/>
        <color theme="1"/>
        <rFont val="Calibri"/>
        <family val="2"/>
        <scheme val="minor"/>
      </rPr>
      <t>RORC</t>
    </r>
    <r>
      <rPr>
        <sz val="11"/>
        <color theme="1"/>
        <rFont val="Calibri"/>
        <family val="2"/>
        <scheme val="minor"/>
      </rPr>
      <t xml:space="preserve"> is lost in tumor tissues of </t>
    </r>
    <r>
      <rPr>
        <b/>
        <sz val="11"/>
        <color theme="1"/>
        <rFont val="Calibri"/>
        <family val="2"/>
        <scheme val="minor"/>
      </rPr>
      <t>bladder</t>
    </r>
    <r>
      <rPr>
        <sz val="11"/>
        <color theme="1"/>
        <rFont val="Calibri"/>
        <family val="2"/>
        <scheme val="minor"/>
      </rPr>
      <t xml:space="preserve"> cancer patients. </t>
    </r>
    <r>
      <rPr>
        <b/>
        <sz val="11"/>
        <color theme="1"/>
        <rFont val="Calibri"/>
        <family val="2"/>
        <scheme val="minor"/>
      </rPr>
      <t xml:space="preserve">2) </t>
    </r>
    <r>
      <rPr>
        <sz val="11"/>
        <color theme="1"/>
        <rFont val="Calibri"/>
        <family val="2"/>
        <scheme val="minor"/>
      </rPr>
      <t xml:space="preserve">Enhanced expression of RORC suppressed cell proliferation and glucose metabolism and increased </t>
    </r>
    <r>
      <rPr>
        <b/>
        <sz val="11"/>
        <color theme="1"/>
        <rFont val="Calibri"/>
        <family val="2"/>
        <scheme val="minor"/>
      </rPr>
      <t>cisplatin</t>
    </r>
    <r>
      <rPr>
        <sz val="11"/>
        <color theme="1"/>
        <rFont val="Calibri"/>
        <family val="2"/>
        <scheme val="minor"/>
      </rPr>
      <t xml:space="preserve">-induced apoptosis in vitro and in vivo. </t>
    </r>
    <r>
      <rPr>
        <b/>
        <sz val="11"/>
        <color theme="1"/>
        <rFont val="Calibri"/>
        <family val="2"/>
        <scheme val="minor"/>
      </rPr>
      <t>3)</t>
    </r>
    <r>
      <rPr>
        <sz val="11"/>
        <color theme="1"/>
        <rFont val="Calibri"/>
        <family val="2"/>
        <scheme val="minor"/>
      </rPr>
      <t xml:space="preserve"> RORC bound the promoter region of programmed death ligand-1 (</t>
    </r>
    <r>
      <rPr>
        <b/>
        <sz val="11"/>
        <color theme="1"/>
        <rFont val="Calibri"/>
        <family val="2"/>
        <scheme val="minor"/>
      </rPr>
      <t>PD-L1</t>
    </r>
    <r>
      <rPr>
        <sz val="11"/>
        <color theme="1"/>
        <rFont val="Calibri"/>
        <family val="2"/>
        <scheme val="minor"/>
      </rPr>
      <t xml:space="preserve">) and negatively regulated </t>
    </r>
    <r>
      <rPr>
        <b/>
        <sz val="11"/>
        <color theme="1"/>
        <rFont val="Calibri"/>
        <family val="2"/>
        <scheme val="minor"/>
      </rPr>
      <t>PD-L1</t>
    </r>
    <r>
      <rPr>
        <sz val="11"/>
        <color theme="1"/>
        <rFont val="Calibri"/>
        <family val="2"/>
        <scheme val="minor"/>
      </rPr>
      <t xml:space="preserve"> expression. </t>
    </r>
    <r>
      <rPr>
        <b/>
        <sz val="11"/>
        <color theme="1"/>
        <rFont val="Calibri"/>
        <family val="2"/>
        <scheme val="minor"/>
      </rPr>
      <t xml:space="preserve">4) </t>
    </r>
    <r>
      <rPr>
        <sz val="11"/>
        <color theme="1"/>
        <rFont val="Calibri"/>
        <family val="2"/>
        <scheme val="minor"/>
      </rPr>
      <t>PD-L1 directly interacted with integrin β6 (</t>
    </r>
    <r>
      <rPr>
        <b/>
        <sz val="11"/>
        <color theme="1"/>
        <rFont val="Calibri"/>
        <family val="2"/>
        <scheme val="minor"/>
      </rPr>
      <t>ITGB6</t>
    </r>
    <r>
      <rPr>
        <sz val="11"/>
        <color theme="1"/>
        <rFont val="Calibri"/>
        <family val="2"/>
        <scheme val="minor"/>
      </rPr>
      <t xml:space="preserve">) and activated the ITGB6/FAK signaling pathway. </t>
    </r>
    <r>
      <rPr>
        <b/>
        <sz val="11"/>
        <color theme="1"/>
        <rFont val="Calibri"/>
        <family val="2"/>
        <scheme val="minor"/>
      </rPr>
      <t xml:space="preserve">5) </t>
    </r>
    <r>
      <rPr>
        <sz val="11"/>
        <color theme="1"/>
        <rFont val="Calibri"/>
        <family val="2"/>
        <scheme val="minor"/>
      </rPr>
      <t xml:space="preserve">RORC prevented the nuclear translocation of </t>
    </r>
    <r>
      <rPr>
        <b/>
        <sz val="11"/>
        <color theme="1"/>
        <rFont val="Calibri"/>
        <family val="2"/>
        <scheme val="minor"/>
      </rPr>
      <t>STAT3</t>
    </r>
    <r>
      <rPr>
        <sz val="11"/>
        <color theme="1"/>
        <rFont val="Calibri"/>
        <family val="2"/>
        <scheme val="minor"/>
      </rPr>
      <t xml:space="preserve"> via suppression of the PD-L1/ITGB6 signaling pathway, which further inhibited bladder cell proliferation and glucose metabolism and increased cisplatin-induced apoptosis. </t>
    </r>
  </si>
  <si>
    <r>
      <rPr>
        <b/>
        <sz val="11"/>
        <color theme="1"/>
        <rFont val="Calibri"/>
        <family val="2"/>
        <scheme val="minor"/>
      </rPr>
      <t>1)</t>
    </r>
    <r>
      <rPr>
        <sz val="11"/>
        <color theme="1"/>
        <rFont val="Calibri"/>
        <family val="2"/>
        <scheme val="minor"/>
      </rPr>
      <t xml:space="preserve"> Our data revealed a striking correlation among these </t>
    </r>
    <r>
      <rPr>
        <b/>
        <sz val="11"/>
        <color theme="1"/>
        <rFont val="Calibri"/>
        <family val="2"/>
        <scheme val="minor"/>
      </rPr>
      <t xml:space="preserve">HGSOC </t>
    </r>
    <r>
      <rPr>
        <sz val="11"/>
        <color theme="1"/>
        <rFont val="Calibri"/>
        <family val="2"/>
        <scheme val="minor"/>
      </rPr>
      <t>cell lines between </t>
    </r>
    <r>
      <rPr>
        <b/>
        <sz val="11"/>
        <color theme="1"/>
        <rFont val="Calibri"/>
        <family val="2"/>
        <scheme val="minor"/>
      </rPr>
      <t>cisplatin</t>
    </r>
    <r>
      <rPr>
        <sz val="11"/>
        <color theme="1"/>
        <rFont val="Calibri"/>
        <family val="2"/>
        <scheme val="minor"/>
      </rPr>
      <t xml:space="preserve"> sensitivity and the inability to efficiently repair DNA via NER, specifically during S phase. </t>
    </r>
    <r>
      <rPr>
        <b/>
        <sz val="11"/>
        <color theme="1"/>
        <rFont val="Calibri"/>
        <family val="2"/>
        <scheme val="minor"/>
      </rPr>
      <t xml:space="preserve">2) </t>
    </r>
    <r>
      <rPr>
        <sz val="11"/>
        <color theme="1"/>
        <rFont val="Calibri"/>
        <family val="2"/>
        <scheme val="minor"/>
      </rPr>
      <t xml:space="preserve">Such defects in NER were attributable to </t>
    </r>
    <r>
      <rPr>
        <b/>
        <sz val="11"/>
        <color theme="1"/>
        <rFont val="Calibri"/>
        <family val="2"/>
        <scheme val="minor"/>
      </rPr>
      <t>RPA</t>
    </r>
    <r>
      <rPr>
        <sz val="11"/>
        <color theme="1"/>
        <rFont val="Calibri"/>
        <family val="2"/>
        <scheme val="minor"/>
      </rPr>
      <t xml:space="preserve"> exhaustion arising from aberrant activation of DNA replication origins during replication stress. </t>
    </r>
    <r>
      <rPr>
        <b/>
        <sz val="11"/>
        <color theme="1"/>
        <rFont val="Calibri"/>
        <family val="2"/>
        <scheme val="minor"/>
      </rPr>
      <t xml:space="preserve">3) </t>
    </r>
    <r>
      <rPr>
        <sz val="11"/>
        <color theme="1"/>
        <rFont val="Calibri"/>
        <family val="2"/>
        <scheme val="minor"/>
      </rPr>
      <t xml:space="preserve">Reduced RPA availability promoted Mre11-dependent degradation of nascent DNA at stalled RF in cell lines exhibiting elevated sensitivity to cisplatin. </t>
    </r>
    <r>
      <rPr>
        <b/>
        <sz val="11"/>
        <color theme="1"/>
        <rFont val="Calibri"/>
        <family val="2"/>
        <scheme val="minor"/>
      </rPr>
      <t xml:space="preserve">4) </t>
    </r>
    <r>
      <rPr>
        <sz val="11"/>
        <color theme="1"/>
        <rFont val="Calibri"/>
        <family val="2"/>
        <scheme val="minor"/>
      </rPr>
      <t xml:space="preserve">Strikingly, defective S-phase NER, RF instability, and cisplatin sensitivity could all be rescued by ectopic overexpression of RPA. </t>
    </r>
  </si>
  <si>
    <r>
      <rPr>
        <b/>
        <sz val="11"/>
        <color theme="1"/>
        <rFont val="Calibri"/>
        <family val="2"/>
        <scheme val="minor"/>
      </rPr>
      <t>1)</t>
    </r>
    <r>
      <rPr>
        <sz val="11"/>
        <color theme="1"/>
        <rFont val="Calibri"/>
        <family val="2"/>
        <scheme val="minor"/>
      </rPr>
      <t xml:space="preserve"> DNA polymerase eta (</t>
    </r>
    <r>
      <rPr>
        <b/>
        <sz val="11"/>
        <color theme="1"/>
        <rFont val="Calibri"/>
        <family val="2"/>
        <scheme val="minor"/>
      </rPr>
      <t>poleta</t>
    </r>
    <r>
      <rPr>
        <sz val="11"/>
        <color theme="1"/>
        <rFont val="Calibri"/>
        <family val="2"/>
        <scheme val="minor"/>
      </rPr>
      <t xml:space="preserve">)-deficient cells are more sensitive to both drugs than are normal cells. </t>
    </r>
    <r>
      <rPr>
        <b/>
        <sz val="11"/>
        <color theme="1"/>
        <rFont val="Calibri"/>
        <family val="2"/>
        <scheme val="minor"/>
      </rPr>
      <t xml:space="preserve">2) </t>
    </r>
    <r>
      <rPr>
        <sz val="11"/>
        <color theme="1"/>
        <rFont val="Calibri"/>
        <family val="2"/>
        <scheme val="minor"/>
      </rPr>
      <t xml:space="preserve">In poleta-deficient cells, drug treatment leads to prolonged S-phase arrest, and increased phosphorylation of </t>
    </r>
    <r>
      <rPr>
        <b/>
        <sz val="11"/>
        <color theme="1"/>
        <rFont val="Calibri"/>
        <family val="2"/>
        <scheme val="minor"/>
      </rPr>
      <t>PIKK</t>
    </r>
    <r>
      <rPr>
        <sz val="11"/>
        <color theme="1"/>
        <rFont val="Calibri"/>
        <family val="2"/>
        <scheme val="minor"/>
      </rPr>
      <t xml:space="preserve"> substrates </t>
    </r>
    <r>
      <rPr>
        <b/>
        <sz val="11"/>
        <color theme="1"/>
        <rFont val="Calibri"/>
        <family val="2"/>
        <scheme val="minor"/>
      </rPr>
      <t>Chk1, p95/Nbs1</t>
    </r>
    <r>
      <rPr>
        <sz val="11"/>
        <color theme="1"/>
        <rFont val="Calibri"/>
        <family val="2"/>
        <scheme val="minor"/>
      </rPr>
      <t xml:space="preserve"> and </t>
    </r>
    <r>
      <rPr>
        <b/>
        <sz val="11"/>
        <color theme="1"/>
        <rFont val="Calibri"/>
        <family val="2"/>
        <scheme val="minor"/>
      </rPr>
      <t>RPA2</t>
    </r>
    <r>
      <rPr>
        <sz val="11"/>
        <color theme="1"/>
        <rFont val="Calibri"/>
        <family val="2"/>
        <scheme val="minor"/>
      </rPr>
      <t xml:space="preserve">. </t>
    </r>
    <r>
      <rPr>
        <b/>
        <sz val="11"/>
        <color theme="1"/>
        <rFont val="Calibri"/>
        <family val="2"/>
        <scheme val="minor"/>
      </rPr>
      <t>3) Cisplatin</t>
    </r>
    <r>
      <rPr>
        <sz val="11"/>
        <color theme="1"/>
        <rFont val="Calibri"/>
        <family val="2"/>
        <scheme val="minor"/>
      </rPr>
      <t xml:space="preserve">-induced </t>
    </r>
    <r>
      <rPr>
        <b/>
        <sz val="11"/>
        <color theme="1"/>
        <rFont val="Calibri"/>
        <family val="2"/>
        <scheme val="minor"/>
      </rPr>
      <t>DNA-PK</t>
    </r>
    <r>
      <rPr>
        <sz val="11"/>
        <color theme="1"/>
        <rFont val="Calibri"/>
        <family val="2"/>
        <scheme val="minor"/>
      </rPr>
      <t xml:space="preserve">-dependent hyperphosphorylation of </t>
    </r>
    <r>
      <rPr>
        <b/>
        <sz val="11"/>
        <color theme="1"/>
        <rFont val="Calibri"/>
        <family val="2"/>
        <scheme val="minor"/>
      </rPr>
      <t>RPA2</t>
    </r>
    <r>
      <rPr>
        <sz val="11"/>
        <color theme="1"/>
        <rFont val="Calibri"/>
        <family val="2"/>
        <scheme val="minor"/>
      </rPr>
      <t xml:space="preserve"> on serine 4/serine 8 occurs after recruitment of RPA to chromatin. </t>
    </r>
    <r>
      <rPr>
        <b/>
        <sz val="11"/>
        <color theme="1"/>
        <rFont val="Calibri"/>
        <family val="2"/>
        <scheme val="minor"/>
      </rPr>
      <t xml:space="preserve">4) </t>
    </r>
    <r>
      <rPr>
        <sz val="11"/>
        <color theme="1"/>
        <rFont val="Calibri"/>
        <family val="2"/>
        <scheme val="minor"/>
      </rPr>
      <t xml:space="preserve">The absence of </t>
    </r>
    <r>
      <rPr>
        <b/>
        <sz val="11"/>
        <color theme="1"/>
        <rFont val="Calibri"/>
        <family val="2"/>
        <scheme val="minor"/>
      </rPr>
      <t>RPA2</t>
    </r>
    <r>
      <rPr>
        <sz val="11"/>
        <color theme="1"/>
        <rFont val="Calibri"/>
        <family val="2"/>
        <scheme val="minor"/>
      </rPr>
      <t xml:space="preserve"> hyperphosphorylation upon </t>
    </r>
    <r>
      <rPr>
        <b/>
        <sz val="11"/>
        <color theme="1"/>
        <rFont val="Calibri"/>
        <family val="2"/>
        <scheme val="minor"/>
      </rPr>
      <t>cisplatin</t>
    </r>
    <r>
      <rPr>
        <sz val="11"/>
        <color theme="1"/>
        <rFont val="Calibri"/>
        <family val="2"/>
        <scheme val="minor"/>
      </rPr>
      <t xml:space="preserve"> correlated with a defect in cell-cycle progression and cell survival in </t>
    </r>
    <r>
      <rPr>
        <b/>
        <sz val="11"/>
        <color theme="1"/>
        <rFont val="Calibri"/>
        <family val="2"/>
        <scheme val="minor"/>
      </rPr>
      <t>HNSCC</t>
    </r>
    <r>
      <rPr>
        <sz val="11"/>
        <color theme="1"/>
        <rFont val="Calibri"/>
        <family val="2"/>
        <scheme val="minor"/>
      </rPr>
      <t xml:space="preserve"> cells.</t>
    </r>
  </si>
  <si>
    <r>
      <rPr>
        <b/>
        <sz val="11"/>
        <color theme="1"/>
        <rFont val="Calibri"/>
        <family val="2"/>
        <scheme val="minor"/>
      </rPr>
      <t xml:space="preserve">1) </t>
    </r>
    <r>
      <rPr>
        <sz val="11"/>
        <color theme="1"/>
        <rFont val="Calibri"/>
        <family val="2"/>
        <scheme val="minor"/>
      </rPr>
      <t xml:space="preserve">Transfection of either the </t>
    </r>
    <r>
      <rPr>
        <b/>
        <sz val="11"/>
        <color theme="1"/>
        <rFont val="Calibri"/>
        <family val="2"/>
        <scheme val="minor"/>
      </rPr>
      <t>RPL36</t>
    </r>
    <r>
      <rPr>
        <sz val="11"/>
        <color theme="1"/>
        <rFont val="Calibri"/>
        <family val="2"/>
        <scheme val="minor"/>
      </rPr>
      <t xml:space="preserve"> cDNA or HSP10 cDNA conferred on KB-3-1 cells 2.5- to 3-fold resistance to </t>
    </r>
    <r>
      <rPr>
        <b/>
        <sz val="11"/>
        <color theme="1"/>
        <rFont val="Calibri"/>
        <family val="2"/>
        <scheme val="minor"/>
      </rPr>
      <t>cisplatin</t>
    </r>
    <r>
      <rPr>
        <sz val="11"/>
        <color theme="1"/>
        <rFont val="Calibri"/>
        <family val="2"/>
        <scheme val="minor"/>
      </rPr>
      <t xml:space="preserve"> by clonogenic assays. </t>
    </r>
  </si>
  <si>
    <r>
      <rPr>
        <b/>
        <sz val="11"/>
        <color theme="1"/>
        <rFont val="Calibri"/>
        <family val="2"/>
        <scheme val="minor"/>
      </rPr>
      <t>1)</t>
    </r>
    <r>
      <rPr>
        <sz val="11"/>
        <color theme="1"/>
        <rFont val="Calibri"/>
        <family val="2"/>
        <scheme val="minor"/>
      </rPr>
      <t xml:space="preserve"> depletion of </t>
    </r>
    <r>
      <rPr>
        <b/>
        <sz val="11"/>
        <color theme="1"/>
        <rFont val="Calibri"/>
        <family val="2"/>
        <scheme val="minor"/>
      </rPr>
      <t>L37</t>
    </r>
    <r>
      <rPr>
        <sz val="11"/>
        <color theme="1"/>
        <rFont val="Calibri"/>
        <family val="2"/>
        <scheme val="minor"/>
      </rPr>
      <t xml:space="preserve"> leads to cell cycle arrest in a L11- and p53-dependent manner. </t>
    </r>
    <r>
      <rPr>
        <b/>
        <sz val="11"/>
        <color theme="1"/>
        <rFont val="Calibri"/>
        <family val="2"/>
        <scheme val="minor"/>
      </rPr>
      <t>2)</t>
    </r>
    <r>
      <rPr>
        <sz val="11"/>
        <color theme="1"/>
        <rFont val="Calibri"/>
        <family val="2"/>
        <scheme val="minor"/>
      </rPr>
      <t xml:space="preserve"> some genotoxic insults, namely UV light and </t>
    </r>
    <r>
      <rPr>
        <b/>
        <sz val="11"/>
        <color theme="1"/>
        <rFont val="Calibri"/>
        <family val="2"/>
        <scheme val="minor"/>
      </rPr>
      <t>cisplatin</t>
    </r>
    <r>
      <rPr>
        <sz val="11"/>
        <color theme="1"/>
        <rFont val="Calibri"/>
        <family val="2"/>
        <scheme val="minor"/>
      </rPr>
      <t xml:space="preserve">, lead to proteasomal degradation of L37 in the nucleoplasm and to the ensuing L11-dependent stabilization of p53. </t>
    </r>
    <r>
      <rPr>
        <b/>
        <sz val="11"/>
        <color theme="1"/>
        <rFont val="Calibri"/>
        <family val="2"/>
        <scheme val="minor"/>
      </rPr>
      <t>3)</t>
    </r>
    <r>
      <rPr>
        <sz val="11"/>
        <color theme="1"/>
        <rFont val="Calibri"/>
        <family val="2"/>
        <scheme val="minor"/>
      </rPr>
      <t xml:space="preserve"> Ectopic L37 overexpression can attenuate the DNA damage response mediated by p53. </t>
    </r>
  </si>
  <si>
    <r>
      <rPr>
        <b/>
        <sz val="11"/>
        <color theme="1"/>
        <rFont val="Calibri"/>
        <family val="2"/>
        <scheme val="minor"/>
      </rPr>
      <t xml:space="preserve">1) </t>
    </r>
    <r>
      <rPr>
        <sz val="11"/>
        <color theme="1"/>
        <rFont val="Calibri"/>
        <family val="2"/>
        <scheme val="minor"/>
      </rPr>
      <t xml:space="preserve">high expression of RPS4X was associated with a lower risk of death and later disease progression (HR = 0.713, P = 0.001 and HR = 0.761, P = 0.001, respectively) as compared to low expression of RPS4X. </t>
    </r>
    <r>
      <rPr>
        <b/>
        <sz val="11"/>
        <color theme="1"/>
        <rFont val="Calibri"/>
        <family val="2"/>
        <scheme val="minor"/>
      </rPr>
      <t xml:space="preserve">2) </t>
    </r>
    <r>
      <rPr>
        <sz val="11"/>
        <color theme="1"/>
        <rFont val="Calibri"/>
        <family val="2"/>
        <scheme val="minor"/>
      </rPr>
      <t xml:space="preserve">YB-1 was not significantly associated with either recurrence or survival time in this cohort. </t>
    </r>
    <r>
      <rPr>
        <b/>
        <sz val="11"/>
        <color theme="1"/>
        <rFont val="Calibri"/>
        <family val="2"/>
        <scheme val="minor"/>
      </rPr>
      <t>3)</t>
    </r>
    <r>
      <rPr>
        <sz val="11"/>
        <color theme="1"/>
        <rFont val="Calibri"/>
        <family val="2"/>
        <scheme val="minor"/>
      </rPr>
      <t xml:space="preserve"> siRNA knockdown of RPS4X in two different ovarian cancer cell lines reduced their proliferative growth rate and increased their resistance to </t>
    </r>
    <r>
      <rPr>
        <b/>
        <sz val="11"/>
        <color theme="1"/>
        <rFont val="Calibri"/>
        <family val="2"/>
        <scheme val="minor"/>
      </rPr>
      <t>cisplatin</t>
    </r>
    <r>
      <rPr>
        <sz val="11"/>
        <color theme="1"/>
        <rFont val="Calibri"/>
        <family val="2"/>
        <scheme val="minor"/>
      </rPr>
      <t>.</t>
    </r>
  </si>
  <si>
    <r>
      <rPr>
        <b/>
        <sz val="11"/>
        <color theme="1"/>
        <rFont val="Calibri"/>
        <family val="2"/>
        <scheme val="minor"/>
      </rPr>
      <t>1) RSK1</t>
    </r>
    <r>
      <rPr>
        <sz val="11"/>
        <color theme="1"/>
        <rFont val="Calibri"/>
        <family val="2"/>
        <scheme val="minor"/>
      </rPr>
      <t xml:space="preserve"> and </t>
    </r>
    <r>
      <rPr>
        <b/>
        <sz val="11"/>
        <color theme="1"/>
        <rFont val="Calibri"/>
        <family val="2"/>
        <scheme val="minor"/>
      </rPr>
      <t>RSK2</t>
    </r>
    <r>
      <rPr>
        <sz val="11"/>
        <color theme="1"/>
        <rFont val="Calibri"/>
        <family val="2"/>
        <scheme val="minor"/>
      </rPr>
      <t xml:space="preserve"> activate pro-survival proteins </t>
    </r>
    <r>
      <rPr>
        <b/>
        <sz val="11"/>
        <color theme="1"/>
        <rFont val="Calibri"/>
        <family val="2"/>
        <scheme val="minor"/>
      </rPr>
      <t>Bcl-2</t>
    </r>
    <r>
      <rPr>
        <sz val="11"/>
        <color theme="1"/>
        <rFont val="Calibri"/>
        <family val="2"/>
        <scheme val="minor"/>
      </rPr>
      <t xml:space="preserve"> and </t>
    </r>
    <r>
      <rPr>
        <b/>
        <sz val="11"/>
        <color theme="1"/>
        <rFont val="Calibri"/>
        <family val="2"/>
        <scheme val="minor"/>
      </rPr>
      <t>Bcl-xL</t>
    </r>
    <r>
      <rPr>
        <sz val="11"/>
        <color theme="1"/>
        <rFont val="Calibri"/>
        <family val="2"/>
        <scheme val="minor"/>
      </rPr>
      <t xml:space="preserve"> by post translational phosphorylation and </t>
    </r>
    <r>
      <rPr>
        <b/>
        <sz val="11"/>
        <color theme="1"/>
        <rFont val="Calibri"/>
        <family val="2"/>
        <scheme val="minor"/>
      </rPr>
      <t xml:space="preserve">2) </t>
    </r>
    <r>
      <rPr>
        <sz val="11"/>
        <color theme="1"/>
        <rFont val="Calibri"/>
        <family val="2"/>
        <scheme val="minor"/>
      </rPr>
      <t xml:space="preserve">inactivation of the pro-apoptotic protein </t>
    </r>
    <r>
      <rPr>
        <b/>
        <sz val="11"/>
        <color theme="1"/>
        <rFont val="Calibri"/>
        <family val="2"/>
        <scheme val="minor"/>
      </rPr>
      <t>Bad</t>
    </r>
    <r>
      <rPr>
        <sz val="11"/>
        <color theme="1"/>
        <rFont val="Calibri"/>
        <family val="2"/>
        <scheme val="minor"/>
      </rPr>
      <t xml:space="preserve">, </t>
    </r>
    <r>
      <rPr>
        <b/>
        <sz val="11"/>
        <color theme="1"/>
        <rFont val="Calibri"/>
        <family val="2"/>
        <scheme val="minor"/>
      </rPr>
      <t xml:space="preserve">3) </t>
    </r>
    <r>
      <rPr>
        <sz val="11"/>
        <color theme="1"/>
        <rFont val="Calibri"/>
        <family val="2"/>
        <scheme val="minor"/>
      </rPr>
      <t xml:space="preserve">enhancing its ability to bind </t>
    </r>
    <r>
      <rPr>
        <b/>
        <sz val="11"/>
        <color theme="1"/>
        <rFont val="Calibri"/>
        <family val="2"/>
        <scheme val="minor"/>
      </rPr>
      <t>14-3-3</t>
    </r>
    <r>
      <rPr>
        <sz val="11"/>
        <color theme="1"/>
        <rFont val="Calibri"/>
        <family val="2"/>
        <scheme val="minor"/>
      </rPr>
      <t xml:space="preserve"> proteins and preventing its heterodimerization with the pro-survival proteins. </t>
    </r>
    <r>
      <rPr>
        <b/>
        <sz val="11"/>
        <color theme="1"/>
        <rFont val="Calibri"/>
        <family val="2"/>
        <scheme val="minor"/>
      </rPr>
      <t>4) RSK1</t>
    </r>
    <r>
      <rPr>
        <sz val="11"/>
        <color theme="1"/>
        <rFont val="Calibri"/>
        <family val="2"/>
        <scheme val="minor"/>
      </rPr>
      <t xml:space="preserve"> and </t>
    </r>
    <r>
      <rPr>
        <b/>
        <sz val="11"/>
        <color theme="1"/>
        <rFont val="Calibri"/>
        <family val="2"/>
        <scheme val="minor"/>
      </rPr>
      <t>RSK2</t>
    </r>
    <r>
      <rPr>
        <sz val="11"/>
        <color theme="1"/>
        <rFont val="Calibri"/>
        <family val="2"/>
        <scheme val="minor"/>
      </rPr>
      <t xml:space="preserve"> also phosphorylate </t>
    </r>
    <r>
      <rPr>
        <b/>
        <sz val="11"/>
        <color theme="1"/>
        <rFont val="Calibri"/>
        <family val="2"/>
        <scheme val="minor"/>
      </rPr>
      <t xml:space="preserve">CREB </t>
    </r>
    <r>
      <rPr>
        <sz val="11"/>
        <color theme="1"/>
        <rFont val="Calibri"/>
        <family val="2"/>
        <scheme val="minor"/>
      </rPr>
      <t xml:space="preserve">leading to increased transcription of </t>
    </r>
    <r>
      <rPr>
        <b/>
        <sz val="11"/>
        <color theme="1"/>
        <rFont val="Calibri"/>
        <family val="2"/>
        <scheme val="minor"/>
      </rPr>
      <t>Bcl-2</t>
    </r>
    <r>
      <rPr>
        <sz val="11"/>
        <color theme="1"/>
        <rFont val="Calibri"/>
        <family val="2"/>
        <scheme val="minor"/>
      </rPr>
      <t xml:space="preserve"> and promote cell survival. </t>
    </r>
    <r>
      <rPr>
        <b/>
        <sz val="11"/>
        <color theme="1"/>
        <rFont val="Calibri"/>
        <family val="2"/>
        <scheme val="minor"/>
      </rPr>
      <t xml:space="preserve">5) </t>
    </r>
    <r>
      <rPr>
        <sz val="11"/>
        <color theme="1"/>
        <rFont val="Calibri"/>
        <family val="2"/>
        <scheme val="minor"/>
      </rPr>
      <t xml:space="preserve">RSK1 directly inhibits caspase activity, promoting cell survival. </t>
    </r>
    <r>
      <rPr>
        <b/>
        <sz val="11"/>
        <color theme="1"/>
        <rFont val="Calibri"/>
        <family val="2"/>
        <scheme val="minor"/>
      </rPr>
      <t xml:space="preserve">6) </t>
    </r>
    <r>
      <rPr>
        <sz val="11"/>
        <color theme="1"/>
        <rFont val="Calibri"/>
        <family val="2"/>
        <scheme val="minor"/>
      </rPr>
      <t xml:space="preserve">The combination of </t>
    </r>
    <r>
      <rPr>
        <b/>
        <sz val="11"/>
        <color theme="1"/>
        <rFont val="Calibri"/>
        <family val="2"/>
        <scheme val="minor"/>
      </rPr>
      <t>cisplatin</t>
    </r>
    <r>
      <rPr>
        <sz val="11"/>
        <color theme="1"/>
        <rFont val="Calibri"/>
        <family val="2"/>
        <scheme val="minor"/>
      </rPr>
      <t xml:space="preserve"> and BI-D1870 (</t>
    </r>
    <r>
      <rPr>
        <b/>
        <sz val="11"/>
        <color theme="1"/>
        <rFont val="Calibri"/>
        <family val="2"/>
        <scheme val="minor"/>
      </rPr>
      <t>RSK inhibitor</t>
    </r>
    <r>
      <rPr>
        <sz val="11"/>
        <color theme="1"/>
        <rFont val="Calibri"/>
        <family val="2"/>
        <scheme val="minor"/>
      </rPr>
      <t xml:space="preserve">) potentiated the antimigration rate, the activation of caspases-3 and was associated with a significant decrease in </t>
    </r>
    <r>
      <rPr>
        <b/>
        <sz val="11"/>
        <color theme="1"/>
        <rFont val="Calibri"/>
        <family val="2"/>
        <scheme val="minor"/>
      </rPr>
      <t>RSK1</t>
    </r>
    <r>
      <rPr>
        <sz val="11"/>
        <color theme="1"/>
        <rFont val="Calibri"/>
        <family val="2"/>
        <scheme val="minor"/>
      </rPr>
      <t xml:space="preserve"> and </t>
    </r>
    <r>
      <rPr>
        <b/>
        <sz val="11"/>
        <color theme="1"/>
        <rFont val="Calibri"/>
        <family val="2"/>
        <scheme val="minor"/>
      </rPr>
      <t>ERK</t>
    </r>
    <r>
      <rPr>
        <sz val="11"/>
        <color theme="1"/>
        <rFont val="Calibri"/>
        <family val="2"/>
        <scheme val="minor"/>
      </rPr>
      <t xml:space="preserve"> expression when compared to cisplatin alone. The combination of cisplatin and BI-D1870 also resulted in the inhibition of </t>
    </r>
    <r>
      <rPr>
        <b/>
        <sz val="11"/>
        <color theme="1"/>
        <rFont val="Calibri"/>
        <family val="2"/>
        <scheme val="minor"/>
      </rPr>
      <t>LC3 II</t>
    </r>
    <r>
      <rPr>
        <sz val="11"/>
        <color theme="1"/>
        <rFont val="Calibri"/>
        <family val="2"/>
        <scheme val="minor"/>
      </rPr>
      <t xml:space="preserve"> to </t>
    </r>
    <r>
      <rPr>
        <b/>
        <sz val="11"/>
        <color theme="1"/>
        <rFont val="Calibri"/>
        <family val="2"/>
        <scheme val="minor"/>
      </rPr>
      <t>LC3 I</t>
    </r>
    <r>
      <rPr>
        <sz val="11"/>
        <color theme="1"/>
        <rFont val="Calibri"/>
        <family val="2"/>
        <scheme val="minor"/>
      </rPr>
      <t xml:space="preserve"> expression when compared to BI-D1870. </t>
    </r>
    <r>
      <rPr>
        <b/>
        <sz val="11"/>
        <color theme="1"/>
        <rFont val="Calibri"/>
        <family val="2"/>
        <scheme val="minor"/>
      </rPr>
      <t xml:space="preserve">7) </t>
    </r>
    <r>
      <rPr>
        <sz val="11"/>
        <color theme="1"/>
        <rFont val="Calibri"/>
        <family val="2"/>
        <scheme val="minor"/>
      </rPr>
      <t xml:space="preserve">Treatment of </t>
    </r>
    <r>
      <rPr>
        <b/>
        <sz val="11"/>
        <color theme="1"/>
        <rFont val="Calibri"/>
        <family val="2"/>
        <scheme val="minor"/>
      </rPr>
      <t>melanoma</t>
    </r>
    <r>
      <rPr>
        <sz val="11"/>
        <color theme="1"/>
        <rFont val="Calibri"/>
        <family val="2"/>
        <scheme val="minor"/>
      </rPr>
      <t xml:space="preserve"> cell lines with </t>
    </r>
    <r>
      <rPr>
        <b/>
        <sz val="11"/>
        <color theme="1"/>
        <rFont val="Calibri"/>
        <family val="2"/>
        <scheme val="minor"/>
      </rPr>
      <t>cisplatin</t>
    </r>
    <r>
      <rPr>
        <sz val="11"/>
        <color theme="1"/>
        <rFont val="Calibri"/>
        <family val="2"/>
        <scheme val="minor"/>
      </rPr>
      <t>, a potent antitumor agent, increased the level of phosphorylated-</t>
    </r>
    <r>
      <rPr>
        <b/>
        <sz val="11"/>
        <color theme="1"/>
        <rFont val="Calibri"/>
        <family val="2"/>
        <scheme val="minor"/>
      </rPr>
      <t>ERK (P-ERK)1/2</t>
    </r>
    <r>
      <rPr>
        <sz val="11"/>
        <color theme="1"/>
        <rFont val="Calibri"/>
        <family val="2"/>
        <scheme val="minor"/>
      </rPr>
      <t xml:space="preserve"> and enhanced chemoresistance through activation of the cell survival protein 90-kDa ribosomal S6 kinase </t>
    </r>
    <r>
      <rPr>
        <b/>
        <sz val="11"/>
        <color theme="1"/>
        <rFont val="Calibri"/>
        <family val="2"/>
        <scheme val="minor"/>
      </rPr>
      <t>RSK1</t>
    </r>
    <r>
      <rPr>
        <sz val="11"/>
        <color theme="1"/>
        <rFont val="Calibri"/>
        <family val="2"/>
        <scheme val="minor"/>
      </rPr>
      <t xml:space="preserve">. </t>
    </r>
  </si>
  <si>
    <r>
      <rPr>
        <b/>
        <sz val="11"/>
        <color theme="1"/>
        <rFont val="Calibri"/>
        <family val="2"/>
        <scheme val="minor"/>
      </rPr>
      <t xml:space="preserve">1) </t>
    </r>
    <r>
      <rPr>
        <sz val="11"/>
        <color theme="1"/>
        <rFont val="Calibri"/>
        <family val="2"/>
        <scheme val="minor"/>
      </rPr>
      <t xml:space="preserve">whereas treatment with cisplatin did not alter the levels of RSK1 in response to </t>
    </r>
    <r>
      <rPr>
        <b/>
        <sz val="11"/>
        <color theme="1"/>
        <rFont val="Calibri"/>
        <family val="2"/>
        <scheme val="minor"/>
      </rPr>
      <t>cisplatin</t>
    </r>
    <r>
      <rPr>
        <sz val="11"/>
        <color theme="1"/>
        <rFont val="Calibri"/>
        <family val="2"/>
        <scheme val="minor"/>
      </rPr>
      <t xml:space="preserve"> treatment, the structurally related </t>
    </r>
    <r>
      <rPr>
        <b/>
        <sz val="11"/>
        <color theme="1"/>
        <rFont val="Calibri"/>
        <family val="2"/>
        <scheme val="minor"/>
      </rPr>
      <t>RSK2</t>
    </r>
    <r>
      <rPr>
        <sz val="11"/>
        <color theme="1"/>
        <rFont val="Calibri"/>
        <family val="2"/>
        <scheme val="minor"/>
      </rPr>
      <t xml:space="preserve"> protein was downregulated in an ovarian cancer cell line (A2780). </t>
    </r>
    <r>
      <rPr>
        <b/>
        <sz val="11"/>
        <color theme="1"/>
        <rFont val="Calibri"/>
        <family val="2"/>
        <scheme val="minor"/>
      </rPr>
      <t xml:space="preserve">2) </t>
    </r>
    <r>
      <rPr>
        <sz val="11"/>
        <color theme="1"/>
        <rFont val="Calibri"/>
        <family val="2"/>
        <scheme val="minor"/>
      </rPr>
      <t xml:space="preserve">knockdown of RSK2, in contrast to knockdown of RSK1, gave rise to enhanced cisplatin sensitivity in a cisplatin sensitive as well as a cisplatin-resistant A2780 cell line. </t>
    </r>
  </si>
  <si>
    <r>
      <rPr>
        <b/>
        <sz val="11"/>
        <color theme="1"/>
        <rFont val="Calibri"/>
        <family val="2"/>
        <scheme val="minor"/>
      </rPr>
      <t xml:space="preserve">1) </t>
    </r>
    <r>
      <rPr>
        <sz val="11"/>
        <color theme="1"/>
        <rFont val="Calibri"/>
        <family val="2"/>
        <scheme val="minor"/>
      </rPr>
      <t xml:space="preserve">In </t>
    </r>
    <r>
      <rPr>
        <b/>
        <sz val="11"/>
        <color theme="1"/>
        <rFont val="Calibri"/>
        <family val="2"/>
        <scheme val="minor"/>
      </rPr>
      <t>colon</t>
    </r>
    <r>
      <rPr>
        <sz val="11"/>
        <color theme="1"/>
        <rFont val="Calibri"/>
        <family val="2"/>
        <scheme val="minor"/>
      </rPr>
      <t xml:space="preserve"> cancer cells, knockdown of </t>
    </r>
    <r>
      <rPr>
        <b/>
        <sz val="11"/>
        <color theme="1"/>
        <rFont val="Calibri"/>
        <family val="2"/>
        <scheme val="minor"/>
      </rPr>
      <t>67LR</t>
    </r>
    <r>
      <rPr>
        <sz val="11"/>
        <color theme="1"/>
        <rFont val="Calibri"/>
        <family val="2"/>
        <scheme val="minor"/>
      </rPr>
      <t xml:space="preserve"> decreased the cell adhesion when laminins were applied. </t>
    </r>
    <r>
      <rPr>
        <b/>
        <sz val="11"/>
        <color theme="1"/>
        <rFont val="Calibri"/>
        <family val="2"/>
        <scheme val="minor"/>
      </rPr>
      <t>2) 67LR</t>
    </r>
    <r>
      <rPr>
        <sz val="11"/>
        <color theme="1"/>
        <rFont val="Calibri"/>
        <family val="2"/>
        <scheme val="minor"/>
      </rPr>
      <t xml:space="preserve"> knockdown increased the expression of </t>
    </r>
    <r>
      <rPr>
        <b/>
        <sz val="11"/>
        <color theme="1"/>
        <rFont val="Calibri"/>
        <family val="2"/>
        <scheme val="minor"/>
      </rPr>
      <t>Bax</t>
    </r>
    <r>
      <rPr>
        <sz val="11"/>
        <color theme="1"/>
        <rFont val="Calibri"/>
        <family val="2"/>
        <scheme val="minor"/>
      </rPr>
      <t xml:space="preserve"> but inhibited the expression of </t>
    </r>
    <r>
      <rPr>
        <b/>
        <sz val="11"/>
        <color theme="1"/>
        <rFont val="Calibri"/>
        <family val="2"/>
        <scheme val="minor"/>
      </rPr>
      <t>Bcl-2</t>
    </r>
    <r>
      <rPr>
        <sz val="11"/>
        <color theme="1"/>
        <rFont val="Calibri"/>
        <family val="2"/>
        <scheme val="minor"/>
      </rPr>
      <t xml:space="preserve">. </t>
    </r>
    <r>
      <rPr>
        <b/>
        <sz val="11"/>
        <color theme="1"/>
        <rFont val="Calibri"/>
        <family val="2"/>
        <scheme val="minor"/>
      </rPr>
      <t xml:space="preserve">3) 67LR </t>
    </r>
    <r>
      <rPr>
        <sz val="11"/>
        <color theme="1"/>
        <rFont val="Calibri"/>
        <family val="2"/>
        <scheme val="minor"/>
      </rPr>
      <t xml:space="preserve">knockdown significantly reduced the IC50 of 5-Fu and </t>
    </r>
    <r>
      <rPr>
        <b/>
        <sz val="11"/>
        <color theme="1"/>
        <rFont val="Calibri"/>
        <family val="2"/>
        <scheme val="minor"/>
      </rPr>
      <t>DDP</t>
    </r>
    <r>
      <rPr>
        <sz val="11"/>
        <color theme="1"/>
        <rFont val="Calibri"/>
        <family val="2"/>
        <scheme val="minor"/>
      </rPr>
      <t xml:space="preserve"> from 6.33 and 9.75 to 3.02 and 4.41, respectively. </t>
    </r>
  </si>
  <si>
    <r>
      <rPr>
        <b/>
        <sz val="11"/>
        <color theme="1"/>
        <rFont val="Calibri"/>
        <family val="2"/>
        <scheme val="minor"/>
      </rPr>
      <t>1)</t>
    </r>
    <r>
      <rPr>
        <sz val="11"/>
        <color theme="1"/>
        <rFont val="Calibri"/>
        <family val="2"/>
        <scheme val="minor"/>
      </rPr>
      <t xml:space="preserve"> undifferentiated and clear cell carcinoma exhibited higher levels of hENT1, dCK, 5'NT, and RRM1 compared to serous </t>
    </r>
    <r>
      <rPr>
        <b/>
        <sz val="11"/>
        <color theme="1"/>
        <rFont val="Calibri"/>
        <family val="2"/>
        <scheme val="minor"/>
      </rPr>
      <t>ovarian</t>
    </r>
    <r>
      <rPr>
        <sz val="11"/>
        <color theme="1"/>
        <rFont val="Calibri"/>
        <family val="2"/>
        <scheme val="minor"/>
      </rPr>
      <t xml:space="preserve"> tumors. </t>
    </r>
    <r>
      <rPr>
        <b/>
        <sz val="11"/>
        <color theme="1"/>
        <rFont val="Calibri"/>
        <family val="2"/>
        <scheme val="minor"/>
      </rPr>
      <t xml:space="preserve">2) </t>
    </r>
    <r>
      <rPr>
        <sz val="11"/>
        <color theme="1"/>
        <rFont val="Calibri"/>
        <family val="2"/>
        <scheme val="minor"/>
      </rPr>
      <t xml:space="preserve">As of May 2009, the median follow-up was 32 months (range 10-80), and death of disease were observed in 17 cases (68.0%). </t>
    </r>
    <r>
      <rPr>
        <b/>
        <sz val="11"/>
        <color theme="1"/>
        <rFont val="Calibri"/>
        <family val="2"/>
        <scheme val="minor"/>
      </rPr>
      <t xml:space="preserve">3) </t>
    </r>
    <r>
      <rPr>
        <sz val="11"/>
        <color theme="1"/>
        <rFont val="Calibri"/>
        <family val="2"/>
        <scheme val="minor"/>
      </rPr>
      <t xml:space="preserve">A statistically significant direct association of RRM2 expression levels and the relative risk of death was observed (Chi (2) = 8.18, P = 0.0043). </t>
    </r>
    <r>
      <rPr>
        <b/>
        <sz val="11"/>
        <color theme="1"/>
        <rFont val="Calibri"/>
        <family val="2"/>
        <scheme val="minor"/>
      </rPr>
      <t xml:space="preserve">4) </t>
    </r>
    <r>
      <rPr>
        <sz val="11"/>
        <color theme="1"/>
        <rFont val="Calibri"/>
        <family val="2"/>
        <scheme val="minor"/>
      </rPr>
      <t xml:space="preserve">cases with high </t>
    </r>
    <r>
      <rPr>
        <b/>
        <sz val="11"/>
        <color theme="1"/>
        <rFont val="Calibri"/>
        <family val="2"/>
        <scheme val="minor"/>
      </rPr>
      <t>RRM2</t>
    </r>
    <r>
      <rPr>
        <sz val="11"/>
        <color theme="1"/>
        <rFont val="Calibri"/>
        <family val="2"/>
        <scheme val="minor"/>
      </rPr>
      <t xml:space="preserve"> expression had a shorter OS (median OS = 19 months) than cases with low RRM2 levels (median OS = 36 months) (P = 0.0506). </t>
    </r>
    <r>
      <rPr>
        <b/>
        <sz val="11"/>
        <color theme="1"/>
        <rFont val="Calibri"/>
        <family val="2"/>
        <scheme val="minor"/>
      </rPr>
      <t>5)</t>
    </r>
    <r>
      <rPr>
        <sz val="11"/>
        <color theme="1"/>
        <rFont val="Calibri"/>
        <family val="2"/>
        <scheme val="minor"/>
      </rPr>
      <t xml:space="preserve"> siRNA-mediated inhibition of RRM2 effectively induced G1/S-phase cell cycle arrest and increased drug (gemcitabine and cisplatin)-induced apoptotic fraction at 72 hours ( (96% ± 3.0)%) after transfection (P &lt; 0.05).</t>
    </r>
  </si>
  <si>
    <r>
      <rPr>
        <b/>
        <sz val="11"/>
        <color theme="1"/>
        <rFont val="Calibri"/>
        <family val="2"/>
        <scheme val="minor"/>
      </rPr>
      <t xml:space="preserve">1) </t>
    </r>
    <r>
      <rPr>
        <sz val="11"/>
        <color theme="1"/>
        <rFont val="Calibri"/>
        <family val="2"/>
        <scheme val="minor"/>
      </rPr>
      <t xml:space="preserve">The expression of </t>
    </r>
    <r>
      <rPr>
        <b/>
        <sz val="11"/>
        <color theme="1"/>
        <rFont val="Calibri"/>
        <family val="2"/>
        <scheme val="minor"/>
      </rPr>
      <t>RUNX3</t>
    </r>
    <r>
      <rPr>
        <sz val="11"/>
        <color theme="1"/>
        <rFont val="Calibri"/>
        <family val="2"/>
        <scheme val="minor"/>
      </rPr>
      <t xml:space="preserve"> was elevated in A2780cp cells compared to A2780s cells and </t>
    </r>
    <r>
      <rPr>
        <b/>
        <sz val="11"/>
        <color theme="1"/>
        <rFont val="Calibri"/>
        <family val="2"/>
        <scheme val="minor"/>
      </rPr>
      <t xml:space="preserve">2) </t>
    </r>
    <r>
      <rPr>
        <sz val="11"/>
        <color theme="1"/>
        <rFont val="Calibri"/>
        <family val="2"/>
        <scheme val="minor"/>
      </rPr>
      <t xml:space="preserve">in </t>
    </r>
    <r>
      <rPr>
        <b/>
        <sz val="11"/>
        <color theme="1"/>
        <rFont val="Calibri"/>
        <family val="2"/>
        <scheme val="minor"/>
      </rPr>
      <t>EOC</t>
    </r>
    <r>
      <rPr>
        <sz val="11"/>
        <color theme="1"/>
        <rFont val="Calibri"/>
        <family val="2"/>
        <scheme val="minor"/>
      </rPr>
      <t xml:space="preserve"> tissues from chemoresistant patients compared to those from chemosensitive patients. </t>
    </r>
    <r>
      <rPr>
        <b/>
        <sz val="11"/>
        <color theme="1"/>
        <rFont val="Calibri"/>
        <family val="2"/>
        <scheme val="minor"/>
      </rPr>
      <t>3)</t>
    </r>
    <r>
      <rPr>
        <sz val="11"/>
        <color theme="1"/>
        <rFont val="Calibri"/>
        <family val="2"/>
        <scheme val="minor"/>
      </rPr>
      <t xml:space="preserve"> Overexpression of RUNX3 rendered A2780s cells more resistant to </t>
    </r>
    <r>
      <rPr>
        <b/>
        <sz val="11"/>
        <color theme="1"/>
        <rFont val="Calibri"/>
        <family val="2"/>
        <scheme val="minor"/>
      </rPr>
      <t>carboplatin</t>
    </r>
    <r>
      <rPr>
        <sz val="11"/>
        <color theme="1"/>
        <rFont val="Calibri"/>
        <family val="2"/>
        <scheme val="minor"/>
      </rPr>
      <t xml:space="preserve">, </t>
    </r>
    <r>
      <rPr>
        <b/>
        <sz val="11"/>
        <color theme="1"/>
        <rFont val="Calibri"/>
        <family val="2"/>
        <scheme val="minor"/>
      </rPr>
      <t>4)</t>
    </r>
    <r>
      <rPr>
        <sz val="11"/>
        <color theme="1"/>
        <rFont val="Calibri"/>
        <family val="2"/>
        <scheme val="minor"/>
      </rPr>
      <t xml:space="preserve"> inhibition of RUNX3 increased sensitivity to carboplatin in A2780cp cells. </t>
    </r>
    <r>
      <rPr>
        <b/>
        <sz val="11"/>
        <color theme="1"/>
        <rFont val="Calibri"/>
        <family val="2"/>
        <scheme val="minor"/>
      </rPr>
      <t>5)</t>
    </r>
    <r>
      <rPr>
        <sz val="11"/>
        <color theme="1"/>
        <rFont val="Calibri"/>
        <family val="2"/>
        <scheme val="minor"/>
      </rPr>
      <t xml:space="preserve"> Inhibition of RUNX3 potentiated carboplatin-induced apoptosis in A2780cp cells. </t>
    </r>
    <r>
      <rPr>
        <b/>
        <sz val="11"/>
        <color theme="1"/>
        <rFont val="Calibri"/>
        <family val="2"/>
        <scheme val="minor"/>
      </rPr>
      <t xml:space="preserve">5) </t>
    </r>
    <r>
      <rPr>
        <sz val="11"/>
        <color theme="1"/>
        <rFont val="Calibri"/>
        <family val="2"/>
        <scheme val="minor"/>
      </rPr>
      <t xml:space="preserve">Overexpression of RUNX3 increased </t>
    </r>
    <r>
      <rPr>
        <b/>
        <sz val="11"/>
        <color theme="1"/>
        <rFont val="Calibri"/>
        <family val="2"/>
        <scheme val="minor"/>
      </rPr>
      <t xml:space="preserve">cIAP2 </t>
    </r>
    <r>
      <rPr>
        <sz val="11"/>
        <color theme="1"/>
        <rFont val="Calibri"/>
        <family val="2"/>
        <scheme val="minor"/>
      </rPr>
      <t xml:space="preserve">expression in A2780s cells, </t>
    </r>
    <r>
      <rPr>
        <b/>
        <sz val="11"/>
        <color theme="1"/>
        <rFont val="Calibri"/>
        <family val="2"/>
        <scheme val="minor"/>
      </rPr>
      <t xml:space="preserve">6) </t>
    </r>
    <r>
      <rPr>
        <sz val="11"/>
        <color theme="1"/>
        <rFont val="Calibri"/>
        <family val="2"/>
        <scheme val="minor"/>
      </rPr>
      <t>inhibition of RUNX3 decreased cIAP2 expression and potentiated carboplatin-induced decrease of cIAP2 in A2780cp cells.</t>
    </r>
  </si>
  <si>
    <r>
      <rPr>
        <b/>
        <sz val="11"/>
        <color theme="1"/>
        <rFont val="Calibri"/>
        <family val="2"/>
        <scheme val="minor"/>
      </rPr>
      <t xml:space="preserve">1) </t>
    </r>
    <r>
      <rPr>
        <sz val="11"/>
        <color theme="1"/>
        <rFont val="Calibri"/>
        <family val="2"/>
        <scheme val="minor"/>
      </rPr>
      <t xml:space="preserve">resistance or insensitivity of Hep-2 cells to </t>
    </r>
    <r>
      <rPr>
        <b/>
        <sz val="11"/>
        <color theme="1"/>
        <rFont val="Calibri"/>
        <family val="2"/>
        <scheme val="minor"/>
      </rPr>
      <t>cisplatin</t>
    </r>
    <r>
      <rPr>
        <sz val="11"/>
        <color theme="1"/>
        <rFont val="Calibri"/>
        <family val="2"/>
        <scheme val="minor"/>
      </rPr>
      <t xml:space="preserve"> might be associated with </t>
    </r>
    <r>
      <rPr>
        <b/>
        <sz val="11"/>
        <color theme="1"/>
        <rFont val="Calibri"/>
        <family val="2"/>
        <scheme val="minor"/>
      </rPr>
      <t>S100A4</t>
    </r>
    <r>
      <rPr>
        <sz val="11"/>
        <color theme="1"/>
        <rFont val="Calibri"/>
        <family val="2"/>
        <scheme val="minor"/>
      </rPr>
      <t xml:space="preserve"> and </t>
    </r>
    <r>
      <rPr>
        <b/>
        <sz val="11"/>
        <color theme="1"/>
        <rFont val="Calibri"/>
        <family val="2"/>
        <scheme val="minor"/>
      </rPr>
      <t>Slug</t>
    </r>
    <r>
      <rPr>
        <sz val="11"/>
        <color theme="1"/>
        <rFont val="Calibri"/>
        <family val="2"/>
        <scheme val="minor"/>
      </rPr>
      <t xml:space="preserve"> expression. </t>
    </r>
    <r>
      <rPr>
        <b/>
        <sz val="11"/>
        <color theme="1"/>
        <rFont val="Calibri"/>
        <family val="2"/>
        <scheme val="minor"/>
      </rPr>
      <t xml:space="preserve">2) </t>
    </r>
    <r>
      <rPr>
        <sz val="11"/>
        <color theme="1"/>
        <rFont val="Calibri"/>
        <family val="2"/>
        <scheme val="minor"/>
      </rPr>
      <t xml:space="preserve">Knockdown of S100A4 and Slug markedly enhanced the cisplatin-induced suppression of Hep-2 cell growth and increased apoptosis. </t>
    </r>
    <r>
      <rPr>
        <b/>
        <sz val="11"/>
        <color theme="1"/>
        <rFont val="Calibri"/>
        <family val="2"/>
        <scheme val="minor"/>
      </rPr>
      <t xml:space="preserve">3) </t>
    </r>
    <r>
      <rPr>
        <sz val="11"/>
        <color theme="1"/>
        <rFont val="Calibri"/>
        <family val="2"/>
        <scheme val="minor"/>
      </rPr>
      <t xml:space="preserve">Knockdown of S100A4 may significantly reduce the levels of S100A4 mRNA, Slug mRNA and proteins, in cisplatin-treated Hep-2 cells. </t>
    </r>
    <r>
      <rPr>
        <b/>
        <sz val="11"/>
        <color theme="1"/>
        <rFont val="Calibri"/>
        <family val="2"/>
        <scheme val="minor"/>
      </rPr>
      <t xml:space="preserve">4) </t>
    </r>
    <r>
      <rPr>
        <sz val="11"/>
        <color theme="1"/>
        <rFont val="Calibri"/>
        <family val="2"/>
        <scheme val="minor"/>
      </rPr>
      <t>Re-expression of Slug in S100A4 siRNA transfected Hep-2 cells restored the cisplatin resistance in the Hep-2 cells.</t>
    </r>
  </si>
  <si>
    <r>
      <rPr>
        <b/>
        <sz val="11"/>
        <color theme="1"/>
        <rFont val="Calibri"/>
        <family val="2"/>
        <scheme val="minor"/>
      </rPr>
      <t>1) S100A7</t>
    </r>
    <r>
      <rPr>
        <sz val="11"/>
        <color theme="1"/>
        <rFont val="Calibri"/>
        <family val="2"/>
        <scheme val="minor"/>
      </rPr>
      <t xml:space="preserve"> was significantly overexpressed in human </t>
    </r>
    <r>
      <rPr>
        <b/>
        <sz val="11"/>
        <color theme="1"/>
        <rFont val="Calibri"/>
        <family val="2"/>
        <scheme val="minor"/>
      </rPr>
      <t>EOC</t>
    </r>
    <r>
      <rPr>
        <sz val="11"/>
        <color theme="1"/>
        <rFont val="Calibri"/>
        <family val="2"/>
        <scheme val="minor"/>
      </rPr>
      <t xml:space="preserve"> tissue specimens and EOC cell lines Caov3 and SKOV3. </t>
    </r>
    <r>
      <rPr>
        <b/>
        <sz val="11"/>
        <color theme="1"/>
        <rFont val="Calibri"/>
        <family val="2"/>
        <scheme val="minor"/>
      </rPr>
      <t>2) S100A7</t>
    </r>
    <r>
      <rPr>
        <sz val="11"/>
        <color theme="1"/>
        <rFont val="Calibri"/>
        <family val="2"/>
        <scheme val="minor"/>
      </rPr>
      <t xml:space="preserve"> knockdown cells demonstrated increased sensitivity to </t>
    </r>
    <r>
      <rPr>
        <b/>
        <sz val="11"/>
        <color theme="1"/>
        <rFont val="Calibri"/>
        <family val="2"/>
        <scheme val="minor"/>
      </rPr>
      <t>cisplatin</t>
    </r>
    <r>
      <rPr>
        <sz val="11"/>
        <color theme="1"/>
        <rFont val="Calibri"/>
        <family val="2"/>
        <scheme val="minor"/>
      </rPr>
      <t>.</t>
    </r>
    <r>
      <rPr>
        <b/>
        <sz val="11"/>
        <color theme="1"/>
        <rFont val="Calibri"/>
        <family val="2"/>
        <scheme val="minor"/>
      </rPr>
      <t xml:space="preserve"> 3) </t>
    </r>
    <r>
      <rPr>
        <sz val="11"/>
        <color theme="1"/>
        <rFont val="Calibri"/>
        <family val="2"/>
        <scheme val="minor"/>
      </rPr>
      <t xml:space="preserve">miR-330-5p was shown to target the S100A7 3'UTR and to reduce EOC cell growth by inhibiting S100A7 expression. </t>
    </r>
    <r>
      <rPr>
        <b/>
        <sz val="11"/>
        <color theme="1"/>
        <rFont val="Calibri"/>
        <family val="2"/>
        <scheme val="minor"/>
      </rPr>
      <t xml:space="preserve">4) </t>
    </r>
    <r>
      <rPr>
        <sz val="11"/>
        <color theme="1"/>
        <rFont val="Calibri"/>
        <family val="2"/>
        <scheme val="minor"/>
      </rPr>
      <t xml:space="preserve">mRNA expression of </t>
    </r>
    <r>
      <rPr>
        <b/>
        <sz val="11"/>
        <color theme="1"/>
        <rFont val="Calibri"/>
        <family val="2"/>
        <scheme val="minor"/>
      </rPr>
      <t>S100A7</t>
    </r>
    <r>
      <rPr>
        <sz val="11"/>
        <color theme="1"/>
        <rFont val="Calibri"/>
        <family val="2"/>
        <scheme val="minor"/>
      </rPr>
      <t xml:space="preserve"> was associated with poor survival of </t>
    </r>
    <r>
      <rPr>
        <b/>
        <sz val="11"/>
        <color theme="1"/>
        <rFont val="Calibri"/>
        <family val="2"/>
        <scheme val="minor"/>
      </rPr>
      <t>breast</t>
    </r>
    <r>
      <rPr>
        <sz val="11"/>
        <color theme="1"/>
        <rFont val="Calibri"/>
        <family val="2"/>
        <scheme val="minor"/>
      </rPr>
      <t xml:space="preserve"> cancer patient. </t>
    </r>
    <r>
      <rPr>
        <b/>
        <sz val="11"/>
        <color theme="1"/>
        <rFont val="Calibri"/>
        <family val="2"/>
        <scheme val="minor"/>
      </rPr>
      <t>5)</t>
    </r>
    <r>
      <rPr>
        <sz val="11"/>
        <color theme="1"/>
        <rFont val="Calibri"/>
        <family val="2"/>
        <scheme val="minor"/>
      </rPr>
      <t xml:space="preserve"> higher levels of </t>
    </r>
    <r>
      <rPr>
        <b/>
        <sz val="11"/>
        <color theme="1"/>
        <rFont val="Calibri"/>
        <family val="2"/>
        <scheme val="minor"/>
      </rPr>
      <t>psoriasin</t>
    </r>
    <r>
      <rPr>
        <sz val="11"/>
        <color theme="1"/>
        <rFont val="Calibri"/>
        <family val="2"/>
        <scheme val="minor"/>
      </rPr>
      <t xml:space="preserve"> expression were significantly associated a lack of response to neoadjuvant chemotherapy in patients with </t>
    </r>
    <r>
      <rPr>
        <b/>
        <sz val="11"/>
        <color theme="1"/>
        <rFont val="Calibri"/>
        <family val="2"/>
        <scheme val="minor"/>
      </rPr>
      <t>GC</t>
    </r>
    <r>
      <rPr>
        <sz val="11"/>
        <color theme="1"/>
        <rFont val="Calibri"/>
        <family val="2"/>
        <scheme val="minor"/>
      </rPr>
      <t xml:space="preserve">. </t>
    </r>
    <r>
      <rPr>
        <b/>
        <sz val="11"/>
        <color theme="1"/>
        <rFont val="Calibri"/>
        <family val="2"/>
        <scheme val="minor"/>
      </rPr>
      <t>6) Psoriasin</t>
    </r>
    <r>
      <rPr>
        <sz val="11"/>
        <color theme="1"/>
        <rFont val="Calibri"/>
        <family val="2"/>
        <scheme val="minor"/>
      </rPr>
      <t xml:space="preserve"> overexpression tended to decrease the sensitivity of GC cells to </t>
    </r>
    <r>
      <rPr>
        <b/>
        <sz val="11"/>
        <color theme="1"/>
        <rFont val="Calibri"/>
        <family val="2"/>
        <scheme val="minor"/>
      </rPr>
      <t>cisplatin</t>
    </r>
    <r>
      <rPr>
        <sz val="11"/>
        <color theme="1"/>
        <rFont val="Calibri"/>
        <family val="2"/>
        <scheme val="minor"/>
      </rPr>
      <t xml:space="preserve">, potentially by inhibiting apoptosis or increasing the S-phase population. </t>
    </r>
  </si>
  <si>
    <r>
      <rPr>
        <b/>
        <sz val="11"/>
        <color theme="1"/>
        <rFont val="Calibri"/>
        <family val="2"/>
        <scheme val="minor"/>
      </rPr>
      <t>1)</t>
    </r>
    <r>
      <rPr>
        <sz val="11"/>
        <color theme="1"/>
        <rFont val="Calibri"/>
        <family val="2"/>
        <scheme val="minor"/>
      </rPr>
      <t xml:space="preserve"> S100A9 overexpression could obviously increase the IC50 value of squamous </t>
    </r>
    <r>
      <rPr>
        <b/>
        <sz val="11"/>
        <color theme="1"/>
        <rFont val="Calibri"/>
        <family val="2"/>
        <scheme val="minor"/>
      </rPr>
      <t>cervical</t>
    </r>
    <r>
      <rPr>
        <sz val="11"/>
        <color theme="1"/>
        <rFont val="Calibri"/>
        <family val="2"/>
        <scheme val="minor"/>
      </rPr>
      <t xml:space="preserve"> cancer SiHa cells to </t>
    </r>
    <r>
      <rPr>
        <b/>
        <sz val="11"/>
        <color theme="1"/>
        <rFont val="Calibri"/>
        <family val="2"/>
        <scheme val="minor"/>
      </rPr>
      <t>cisplatin</t>
    </r>
    <r>
      <rPr>
        <sz val="11"/>
        <color theme="1"/>
        <rFont val="Calibri"/>
        <family val="2"/>
        <scheme val="minor"/>
      </rPr>
      <t xml:space="preserve"> and decrease the apoptosis rate induced by cisplatin.</t>
    </r>
    <r>
      <rPr>
        <b/>
        <sz val="11"/>
        <color theme="1"/>
        <rFont val="Calibri"/>
        <family val="2"/>
        <scheme val="minor"/>
      </rPr>
      <t xml:space="preserve"> 2)</t>
    </r>
    <r>
      <rPr>
        <sz val="11"/>
        <color theme="1"/>
        <rFont val="Calibri"/>
        <family val="2"/>
        <scheme val="minor"/>
      </rPr>
      <t xml:space="preserve"> Downregulation of S100A9 led to the opposite results. </t>
    </r>
    <r>
      <rPr>
        <b/>
        <sz val="11"/>
        <color theme="1"/>
        <rFont val="Calibri"/>
        <family val="2"/>
        <scheme val="minor"/>
      </rPr>
      <t>3)</t>
    </r>
    <r>
      <rPr>
        <sz val="11"/>
        <color theme="1"/>
        <rFont val="Calibri"/>
        <family val="2"/>
        <scheme val="minor"/>
      </rPr>
      <t xml:space="preserve"> In S100A9 overexpression SiHa cells, the expression level of </t>
    </r>
    <r>
      <rPr>
        <b/>
        <sz val="11"/>
        <color theme="1"/>
        <rFont val="Calibri"/>
        <family val="2"/>
        <scheme val="minor"/>
      </rPr>
      <t>Bcl-2, LRP, GST-π, p-AKT, p-ERK, p-FOXO1</t>
    </r>
    <r>
      <rPr>
        <sz val="11"/>
        <color theme="1"/>
        <rFont val="Calibri"/>
        <family val="2"/>
        <scheme val="minor"/>
      </rPr>
      <t xml:space="preserve">, and </t>
    </r>
    <r>
      <rPr>
        <b/>
        <sz val="11"/>
        <color theme="1"/>
        <rFont val="Calibri"/>
        <family val="2"/>
        <scheme val="minor"/>
      </rPr>
      <t>Nanog</t>
    </r>
    <r>
      <rPr>
        <sz val="11"/>
        <color theme="1"/>
        <rFont val="Calibri"/>
        <family val="2"/>
        <scheme val="minor"/>
      </rPr>
      <t xml:space="preserve"> was significantly increased, while FOXO1 expression was decreased. The opposite results were observed in S100A9 knockdown SiHa cells. </t>
    </r>
    <r>
      <rPr>
        <b/>
        <sz val="11"/>
        <color theme="1"/>
        <rFont val="Calibri"/>
        <family val="2"/>
        <scheme val="minor"/>
      </rPr>
      <t>4)</t>
    </r>
    <r>
      <rPr>
        <sz val="11"/>
        <color theme="1"/>
        <rFont val="Calibri"/>
        <family val="2"/>
        <scheme val="minor"/>
      </rPr>
      <t xml:space="preserve"> Thirty-six squamous </t>
    </r>
    <r>
      <rPr>
        <b/>
        <sz val="11"/>
        <color theme="1"/>
        <rFont val="Calibri"/>
        <family val="2"/>
        <scheme val="minor"/>
      </rPr>
      <t>cervical</t>
    </r>
    <r>
      <rPr>
        <sz val="11"/>
        <color theme="1"/>
        <rFont val="Calibri"/>
        <family val="2"/>
        <scheme val="minor"/>
      </rPr>
      <t xml:space="preserve"> cancer patients were identified as chemotherapy-response and 32 were non-response. </t>
    </r>
    <r>
      <rPr>
        <b/>
        <sz val="11"/>
        <color theme="1"/>
        <rFont val="Calibri"/>
        <family val="2"/>
        <scheme val="minor"/>
      </rPr>
      <t>5)</t>
    </r>
    <r>
      <rPr>
        <sz val="11"/>
        <color theme="1"/>
        <rFont val="Calibri"/>
        <family val="2"/>
        <scheme val="minor"/>
      </rPr>
      <t xml:space="preserve"> Protein expression in tumor cells: Exposure of tumor cells to chemotherapy results in a change of </t>
    </r>
    <r>
      <rPr>
        <b/>
        <sz val="11"/>
        <color theme="1"/>
        <rFont val="Calibri"/>
        <family val="2"/>
        <scheme val="minor"/>
      </rPr>
      <t>Annexin A2</t>
    </r>
    <r>
      <rPr>
        <sz val="11"/>
        <color theme="1"/>
        <rFont val="Calibri"/>
        <family val="2"/>
        <scheme val="minor"/>
      </rPr>
      <t xml:space="preserve"> and </t>
    </r>
    <r>
      <rPr>
        <b/>
        <sz val="11"/>
        <color theme="1"/>
        <rFont val="Calibri"/>
        <family val="2"/>
        <scheme val="minor"/>
      </rPr>
      <t>S100A</t>
    </r>
    <r>
      <rPr>
        <sz val="11"/>
        <color theme="1"/>
        <rFont val="Calibri"/>
        <family val="2"/>
        <scheme val="minor"/>
      </rPr>
      <t xml:space="preserve"> expression (P&lt;0.05). </t>
    </r>
    <r>
      <rPr>
        <b/>
        <sz val="11"/>
        <color theme="1"/>
        <rFont val="Calibri"/>
        <family val="2"/>
        <scheme val="minor"/>
      </rPr>
      <t>6)</t>
    </r>
    <r>
      <rPr>
        <sz val="11"/>
        <color theme="1"/>
        <rFont val="Calibri"/>
        <family val="2"/>
        <scheme val="minor"/>
      </rPr>
      <t xml:space="preserve"> Annexin A2, S100A8 and </t>
    </r>
    <r>
      <rPr>
        <b/>
        <sz val="11"/>
        <color theme="1"/>
        <rFont val="Calibri"/>
        <family val="2"/>
        <scheme val="minor"/>
      </rPr>
      <t>S100A9</t>
    </r>
    <r>
      <rPr>
        <sz val="11"/>
        <color theme="1"/>
        <rFont val="Calibri"/>
        <family val="2"/>
        <scheme val="minor"/>
      </rPr>
      <t xml:space="preserve"> protein expression correlates with tumor response to chemotherapy (P&lt;0.05). </t>
    </r>
    <r>
      <rPr>
        <b/>
        <sz val="11"/>
        <color theme="1"/>
        <rFont val="Calibri"/>
        <family val="2"/>
        <scheme val="minor"/>
      </rPr>
      <t>7)</t>
    </r>
    <r>
      <rPr>
        <sz val="11"/>
        <color theme="1"/>
        <rFont val="Calibri"/>
        <family val="2"/>
        <scheme val="minor"/>
      </rPr>
      <t xml:space="preserve"> expression of </t>
    </r>
    <r>
      <rPr>
        <b/>
        <sz val="11"/>
        <color theme="1"/>
        <rFont val="Calibri"/>
        <family val="2"/>
        <scheme val="minor"/>
      </rPr>
      <t>S100A9</t>
    </r>
    <r>
      <rPr>
        <sz val="11"/>
        <color theme="1"/>
        <rFont val="Calibri"/>
        <family val="2"/>
        <scheme val="minor"/>
      </rPr>
      <t xml:space="preserve"> and EGFR closely associated chemoresistance, and that inhibition of S100A9 and EGFR may sensitize </t>
    </r>
    <r>
      <rPr>
        <b/>
        <sz val="11"/>
        <color theme="1"/>
        <rFont val="Calibri"/>
        <family val="2"/>
        <scheme val="minor"/>
      </rPr>
      <t>bladder</t>
    </r>
    <r>
      <rPr>
        <sz val="11"/>
        <color theme="1"/>
        <rFont val="Calibri"/>
        <family val="2"/>
        <scheme val="minor"/>
      </rPr>
      <t xml:space="preserve"> tumor cells to the </t>
    </r>
    <r>
      <rPr>
        <b/>
        <sz val="11"/>
        <color theme="1"/>
        <rFont val="Calibri"/>
        <family val="2"/>
        <scheme val="minor"/>
      </rPr>
      <t>cisplatin</t>
    </r>
    <r>
      <rPr>
        <sz val="11"/>
        <color theme="1"/>
        <rFont val="Calibri"/>
        <family val="2"/>
        <scheme val="minor"/>
      </rPr>
      <t>-based chemotherapy.</t>
    </r>
  </si>
  <si>
    <r>
      <rPr>
        <b/>
        <sz val="11"/>
        <color theme="1"/>
        <rFont val="Calibri"/>
        <family val="2"/>
        <scheme val="minor"/>
      </rPr>
      <t>1)</t>
    </r>
    <r>
      <rPr>
        <sz val="11"/>
        <color theme="1"/>
        <rFont val="Calibri"/>
        <family val="2"/>
        <scheme val="minor"/>
      </rPr>
      <t xml:space="preserve"> high expression of S100B in CD133+ OCSCs derived from </t>
    </r>
    <r>
      <rPr>
        <b/>
        <sz val="11"/>
        <color theme="1"/>
        <rFont val="Calibri"/>
        <family val="2"/>
        <scheme val="minor"/>
      </rPr>
      <t>ovarian</t>
    </r>
    <r>
      <rPr>
        <sz val="11"/>
        <color theme="1"/>
        <rFont val="Calibri"/>
        <family val="2"/>
        <scheme val="minor"/>
      </rPr>
      <t xml:space="preserve"> cancer cell lines and primary tumors and in </t>
    </r>
    <r>
      <rPr>
        <b/>
        <sz val="11"/>
        <color theme="1"/>
        <rFont val="Calibri"/>
        <family val="2"/>
        <scheme val="minor"/>
      </rPr>
      <t>cisplatin</t>
    </r>
    <r>
      <rPr>
        <sz val="11"/>
        <color theme="1"/>
        <rFont val="Calibri"/>
        <family val="2"/>
        <scheme val="minor"/>
      </rPr>
      <t xml:space="preserve">‑resistant patient samples.  </t>
    </r>
    <r>
      <rPr>
        <b/>
        <sz val="11"/>
        <color theme="1"/>
        <rFont val="Calibri"/>
        <family val="2"/>
        <scheme val="minor"/>
      </rPr>
      <t xml:space="preserve">2) </t>
    </r>
    <r>
      <rPr>
        <sz val="11"/>
        <color theme="1"/>
        <rFont val="Calibri"/>
        <family val="2"/>
        <scheme val="minor"/>
      </rPr>
      <t xml:space="preserve">The S100B upregulation associated with more advanced tumor stages, poorer differentiation and poorer survival. </t>
    </r>
    <r>
      <rPr>
        <b/>
        <sz val="11"/>
        <color theme="1"/>
        <rFont val="Calibri"/>
        <family val="2"/>
        <scheme val="minor"/>
      </rPr>
      <t xml:space="preserve">3) </t>
    </r>
    <r>
      <rPr>
        <sz val="11"/>
        <color theme="1"/>
        <rFont val="Calibri"/>
        <family val="2"/>
        <scheme val="minor"/>
      </rPr>
      <t xml:space="preserve">elevated </t>
    </r>
    <r>
      <rPr>
        <b/>
        <sz val="11"/>
        <color theme="1"/>
        <rFont val="Calibri"/>
        <family val="2"/>
        <scheme val="minor"/>
      </rPr>
      <t>S100B</t>
    </r>
    <r>
      <rPr>
        <sz val="11"/>
        <color theme="1"/>
        <rFont val="Calibri"/>
        <family val="2"/>
        <scheme val="minor"/>
      </rPr>
      <t xml:space="preserve"> expression correlated with increased expression of stem cell markers including </t>
    </r>
    <r>
      <rPr>
        <b/>
        <sz val="11"/>
        <color theme="1"/>
        <rFont val="Calibri"/>
        <family val="2"/>
        <scheme val="minor"/>
      </rPr>
      <t>CD133, Nanog and Oct4</t>
    </r>
    <r>
      <rPr>
        <sz val="11"/>
        <color theme="1"/>
        <rFont val="Calibri"/>
        <family val="2"/>
        <scheme val="minor"/>
      </rPr>
      <t>.</t>
    </r>
    <r>
      <rPr>
        <b/>
        <sz val="11"/>
        <color theme="1"/>
        <rFont val="Calibri"/>
        <family val="2"/>
        <scheme val="minor"/>
      </rPr>
      <t xml:space="preserve"> 4)</t>
    </r>
    <r>
      <rPr>
        <sz val="11"/>
        <color theme="1"/>
        <rFont val="Calibri"/>
        <family val="2"/>
        <scheme val="minor"/>
      </rPr>
      <t xml:space="preserve"> S100B knockdown promoted the apoptosis of OCSCs after treatment with different concentrations of </t>
    </r>
    <r>
      <rPr>
        <b/>
        <sz val="11"/>
        <color theme="1"/>
        <rFont val="Calibri"/>
        <family val="2"/>
        <scheme val="minor"/>
      </rPr>
      <t>cisplatin</t>
    </r>
    <r>
      <rPr>
        <sz val="11"/>
        <color theme="1"/>
        <rFont val="Calibri"/>
        <family val="2"/>
        <scheme val="minor"/>
      </rPr>
      <t xml:space="preserve">. </t>
    </r>
    <r>
      <rPr>
        <b/>
        <sz val="11"/>
        <color theme="1"/>
        <rFont val="Calibri"/>
        <family val="2"/>
        <scheme val="minor"/>
      </rPr>
      <t>5)</t>
    </r>
    <r>
      <rPr>
        <sz val="11"/>
        <color theme="1"/>
        <rFont val="Calibri"/>
        <family val="2"/>
        <scheme val="minor"/>
      </rPr>
      <t xml:space="preserve"> S100B knockdown suppressed the in vitro self-renewal and </t>
    </r>
    <r>
      <rPr>
        <b/>
        <sz val="11"/>
        <color theme="1"/>
        <rFont val="Calibri"/>
        <family val="2"/>
        <scheme val="minor"/>
      </rPr>
      <t>6)</t>
    </r>
    <r>
      <rPr>
        <sz val="11"/>
        <color theme="1"/>
        <rFont val="Calibri"/>
        <family val="2"/>
        <scheme val="minor"/>
      </rPr>
      <t xml:space="preserve"> in vivo tumorigenicity of ovarian </t>
    </r>
    <r>
      <rPr>
        <b/>
        <sz val="11"/>
        <color theme="1"/>
        <rFont val="Calibri"/>
        <family val="2"/>
        <scheme val="minor"/>
      </rPr>
      <t>CSLCs</t>
    </r>
    <r>
      <rPr>
        <sz val="11"/>
        <color theme="1"/>
        <rFont val="Calibri"/>
        <family val="2"/>
        <scheme val="minor"/>
      </rPr>
      <t xml:space="preserve"> and decreased their expression of stem cell markers. </t>
    </r>
    <r>
      <rPr>
        <b/>
        <sz val="11"/>
        <color theme="1"/>
        <rFont val="Calibri"/>
        <family val="2"/>
        <scheme val="minor"/>
      </rPr>
      <t xml:space="preserve">7) </t>
    </r>
    <r>
      <rPr>
        <sz val="11"/>
        <color theme="1"/>
        <rFont val="Calibri"/>
        <family val="2"/>
        <scheme val="minor"/>
      </rPr>
      <t xml:space="preserve">The underlying mechanism of S100B‑mediated </t>
    </r>
    <r>
      <rPr>
        <b/>
        <sz val="11"/>
        <color theme="1"/>
        <rFont val="Calibri"/>
        <family val="2"/>
        <scheme val="minor"/>
      </rPr>
      <t xml:space="preserve">chemoresistance </t>
    </r>
    <r>
      <rPr>
        <sz val="11"/>
        <color theme="1"/>
        <rFont val="Calibri"/>
        <family val="2"/>
        <scheme val="minor"/>
      </rPr>
      <t xml:space="preserve">in OCSCs may be through </t>
    </r>
    <r>
      <rPr>
        <b/>
        <sz val="11"/>
        <color theme="1"/>
        <rFont val="Calibri"/>
        <family val="2"/>
        <scheme val="minor"/>
      </rPr>
      <t>p53 inhibition</t>
    </r>
    <r>
      <rPr>
        <sz val="11"/>
        <color theme="1"/>
        <rFont val="Calibri"/>
        <family val="2"/>
        <scheme val="minor"/>
      </rPr>
      <t xml:space="preserve">. </t>
    </r>
    <r>
      <rPr>
        <b/>
        <sz val="11"/>
        <color theme="1"/>
        <rFont val="Calibri"/>
        <family val="2"/>
        <scheme val="minor"/>
      </rPr>
      <t xml:space="preserve">8) </t>
    </r>
    <r>
      <rPr>
        <sz val="11"/>
        <color theme="1"/>
        <rFont val="Calibri"/>
        <family val="2"/>
        <scheme val="minor"/>
      </rPr>
      <t xml:space="preserve">drug‑resistance genes, including MDR1 and MRP1, were involved in the process of S100B‑mediated OCSC chemoresistance. </t>
    </r>
  </si>
  <si>
    <r>
      <rPr>
        <b/>
        <sz val="11"/>
        <color theme="1"/>
        <rFont val="Calibri"/>
        <family val="2"/>
        <scheme val="minor"/>
      </rPr>
      <t>1) Q</t>
    </r>
    <r>
      <rPr>
        <sz val="11"/>
        <color theme="1"/>
        <rFont val="Calibri"/>
        <family val="2"/>
        <scheme val="minor"/>
      </rPr>
      <t xml:space="preserve">uinoxaline pre-treatment synergistically </t>
    </r>
    <r>
      <rPr>
        <b/>
        <sz val="11"/>
        <color theme="1"/>
        <rFont val="Calibri"/>
        <family val="2"/>
        <scheme val="minor"/>
      </rPr>
      <t>increased SSAT expression</t>
    </r>
    <r>
      <rPr>
        <sz val="11"/>
        <color theme="1"/>
        <rFont val="Calibri"/>
        <family val="2"/>
        <scheme val="minor"/>
      </rPr>
      <t xml:space="preserve">, depleted polyamines, increased reactive oxygen species production, and produced synergistic tumor cell killing in both cell lines. </t>
    </r>
    <r>
      <rPr>
        <b/>
        <sz val="11"/>
        <color theme="1"/>
        <rFont val="Calibri"/>
        <family val="2"/>
        <scheme val="minor"/>
      </rPr>
      <t xml:space="preserve">2) </t>
    </r>
    <r>
      <rPr>
        <sz val="11"/>
        <color theme="1"/>
        <rFont val="Calibri"/>
        <family val="2"/>
        <scheme val="minor"/>
      </rPr>
      <t xml:space="preserve">this combined therapy increased the chemosensitivity of </t>
    </r>
    <r>
      <rPr>
        <b/>
        <sz val="11"/>
        <color theme="1"/>
        <rFont val="Calibri"/>
        <family val="2"/>
        <scheme val="minor"/>
      </rPr>
      <t>cisplatin-resistant cells</t>
    </r>
    <r>
      <rPr>
        <sz val="11"/>
        <color theme="1"/>
        <rFont val="Calibri"/>
        <family val="2"/>
        <scheme val="minor"/>
      </rPr>
      <t xml:space="preserve"> and cross-resistant to the polyamine analogues. On the contrary, some pre-treatment regimens of Spm analogues were antagonistic. </t>
    </r>
    <r>
      <rPr>
        <b/>
        <sz val="11"/>
        <color theme="1"/>
        <rFont val="Calibri"/>
        <family val="2"/>
        <scheme val="minor"/>
      </rPr>
      <t>3)</t>
    </r>
    <r>
      <rPr>
        <sz val="11"/>
        <color theme="1"/>
        <rFont val="Calibri"/>
        <family val="2"/>
        <scheme val="minor"/>
      </rPr>
      <t xml:space="preserve"> Both </t>
    </r>
    <r>
      <rPr>
        <b/>
        <sz val="11"/>
        <color theme="1"/>
        <rFont val="Calibri"/>
        <family val="2"/>
        <scheme val="minor"/>
      </rPr>
      <t>platinum</t>
    </r>
    <r>
      <rPr>
        <sz val="11"/>
        <color theme="1"/>
        <rFont val="Calibri"/>
        <family val="2"/>
        <scheme val="minor"/>
      </rPr>
      <t xml:space="preserve"> agents induced SSAT mRNA in parental A2780 cells, but not in resistant cells. </t>
    </r>
    <r>
      <rPr>
        <b/>
        <sz val="11"/>
        <color theme="1"/>
        <rFont val="Calibri"/>
        <family val="2"/>
        <scheme val="minor"/>
      </rPr>
      <t xml:space="preserve">4) </t>
    </r>
    <r>
      <rPr>
        <sz val="11"/>
        <color theme="1"/>
        <rFont val="Calibri"/>
        <family val="2"/>
        <scheme val="minor"/>
      </rPr>
      <t xml:space="preserve">berberine inhibits cellular growth by affecting polyamine metabolism, in particular through the upregulation of the key catabolic enzyme SSAT. </t>
    </r>
    <r>
      <rPr>
        <b/>
        <sz val="11"/>
        <color theme="1"/>
        <rFont val="Calibri"/>
        <family val="2"/>
        <scheme val="minor"/>
      </rPr>
      <t xml:space="preserve">5) </t>
    </r>
    <r>
      <rPr>
        <sz val="11"/>
        <color theme="1"/>
        <rFont val="Calibri"/>
        <family val="2"/>
        <scheme val="minor"/>
      </rPr>
      <t>the sensitivity of resistant cells to cisplatin or to BESpm is reverted to the levels of sensitive cells by the co-treatment with berberine</t>
    </r>
  </si>
  <si>
    <r>
      <rPr>
        <b/>
        <sz val="11"/>
        <color theme="1"/>
        <rFont val="Calibri"/>
        <family val="2"/>
        <scheme val="minor"/>
      </rPr>
      <t xml:space="preserve">1) </t>
    </r>
    <r>
      <rPr>
        <sz val="11"/>
        <color theme="1"/>
        <rFont val="Calibri"/>
        <family val="2"/>
        <scheme val="minor"/>
      </rPr>
      <t xml:space="preserve">miR-149-5p expression is markedly elevated in </t>
    </r>
    <r>
      <rPr>
        <b/>
        <sz val="11"/>
        <color theme="1"/>
        <rFont val="Calibri"/>
        <family val="2"/>
        <scheme val="minor"/>
      </rPr>
      <t>chemoresistant ovarian</t>
    </r>
    <r>
      <rPr>
        <sz val="11"/>
        <color theme="1"/>
        <rFont val="Calibri"/>
        <family val="2"/>
        <scheme val="minor"/>
      </rPr>
      <t xml:space="preserve"> cancer </t>
    </r>
    <r>
      <rPr>
        <b/>
        <sz val="11"/>
        <color theme="1"/>
        <rFont val="Calibri"/>
        <family val="2"/>
        <scheme val="minor"/>
      </rPr>
      <t>tissues</t>
    </r>
    <r>
      <rPr>
        <sz val="11"/>
        <color theme="1"/>
        <rFont val="Calibri"/>
        <family val="2"/>
        <scheme val="minor"/>
      </rPr>
      <t xml:space="preserve"> compared with the chemosensitive ovarian cancer tissues. </t>
    </r>
    <r>
      <rPr>
        <b/>
        <sz val="11"/>
        <color theme="1"/>
        <rFont val="Calibri"/>
        <family val="2"/>
        <scheme val="minor"/>
      </rPr>
      <t xml:space="preserve">2) </t>
    </r>
    <r>
      <rPr>
        <sz val="11"/>
        <color theme="1"/>
        <rFont val="Calibri"/>
        <family val="2"/>
        <scheme val="minor"/>
      </rPr>
      <t xml:space="preserve">the silencing of miR-149-5p enhanced the chemosensitivity of ovarian cancer cells to </t>
    </r>
    <r>
      <rPr>
        <b/>
        <sz val="11"/>
        <color theme="1"/>
        <rFont val="Calibri"/>
        <family val="2"/>
        <scheme val="minor"/>
      </rPr>
      <t>cisplatin</t>
    </r>
    <r>
      <rPr>
        <sz val="11"/>
        <color theme="1"/>
        <rFont val="Calibri"/>
        <family val="2"/>
        <scheme val="minor"/>
      </rPr>
      <t xml:space="preserve"> in vitro and in vivo. </t>
    </r>
    <r>
      <rPr>
        <b/>
        <sz val="11"/>
        <color theme="1"/>
        <rFont val="Calibri"/>
        <family val="2"/>
        <scheme val="minor"/>
      </rPr>
      <t>3)</t>
    </r>
    <r>
      <rPr>
        <sz val="11"/>
        <color theme="1"/>
        <rFont val="Calibri"/>
        <family val="2"/>
        <scheme val="minor"/>
      </rPr>
      <t xml:space="preserve"> the upregulation of miR-149-5p aggravated chemoresistance in ovarian cancer cells. </t>
    </r>
    <r>
      <rPr>
        <b/>
        <sz val="11"/>
        <color theme="1"/>
        <rFont val="Calibri"/>
        <family val="2"/>
        <scheme val="minor"/>
      </rPr>
      <t xml:space="preserve">4) </t>
    </r>
    <r>
      <rPr>
        <sz val="11"/>
        <color theme="1"/>
        <rFont val="Calibri"/>
        <family val="2"/>
        <scheme val="minor"/>
      </rPr>
      <t>miR-149-5p directly targeted the core kinase components of the Hippo signaling pathway, MST1 and SAV1, resulting in the inactivation of TEAD transcription. </t>
    </r>
  </si>
  <si>
    <r>
      <rPr>
        <b/>
        <sz val="11"/>
        <color theme="1"/>
        <rFont val="Calibri"/>
        <family val="2"/>
        <scheme val="minor"/>
      </rPr>
      <t xml:space="preserve">1) </t>
    </r>
    <r>
      <rPr>
        <sz val="11"/>
        <color theme="1"/>
        <rFont val="Calibri"/>
        <family val="2"/>
        <scheme val="minor"/>
      </rPr>
      <t>Circular RNA</t>
    </r>
    <r>
      <rPr>
        <b/>
        <sz val="11"/>
        <color theme="1"/>
        <rFont val="Calibri"/>
        <family val="2"/>
        <scheme val="minor"/>
      </rPr>
      <t xml:space="preserve"> Cdr1as </t>
    </r>
    <r>
      <rPr>
        <sz val="11"/>
        <color theme="1"/>
        <rFont val="Calibri"/>
        <family val="2"/>
        <scheme val="minor"/>
      </rPr>
      <t xml:space="preserve">Upregulates </t>
    </r>
    <r>
      <rPr>
        <b/>
        <sz val="11"/>
        <color theme="1"/>
        <rFont val="Calibri"/>
        <family val="2"/>
        <scheme val="minor"/>
      </rPr>
      <t>SCAI</t>
    </r>
    <r>
      <rPr>
        <sz val="11"/>
        <color theme="1"/>
        <rFont val="Calibri"/>
        <family val="2"/>
        <scheme val="minor"/>
      </rPr>
      <t xml:space="preserve"> to Suppress Cisplatin Resistance in </t>
    </r>
    <r>
      <rPr>
        <b/>
        <sz val="11"/>
        <color theme="1"/>
        <rFont val="Calibri"/>
        <family val="2"/>
        <scheme val="minor"/>
      </rPr>
      <t>Ovarian</t>
    </r>
    <r>
      <rPr>
        <sz val="11"/>
        <color theme="1"/>
        <rFont val="Calibri"/>
        <family val="2"/>
        <scheme val="minor"/>
      </rPr>
      <t xml:space="preserve"> Cancer via</t>
    </r>
    <r>
      <rPr>
        <b/>
        <sz val="11"/>
        <color theme="1"/>
        <rFont val="Calibri"/>
        <family val="2"/>
        <scheme val="minor"/>
      </rPr>
      <t xml:space="preserve"> miR-1270</t>
    </r>
    <r>
      <rPr>
        <sz val="11"/>
        <color theme="1"/>
        <rFont val="Calibri"/>
        <family val="2"/>
        <scheme val="minor"/>
      </rPr>
      <t xml:space="preserve"> Suppression.</t>
    </r>
    <r>
      <rPr>
        <b/>
        <sz val="11"/>
        <color theme="1"/>
        <rFont val="Calibri"/>
        <family val="2"/>
        <scheme val="minor"/>
      </rPr>
      <t xml:space="preserve"> 2) Cdr1as</t>
    </r>
    <r>
      <rPr>
        <sz val="11"/>
        <color theme="1"/>
        <rFont val="Calibri"/>
        <family val="2"/>
        <scheme val="minor"/>
      </rPr>
      <t xml:space="preserve"> was downregulated in </t>
    </r>
    <r>
      <rPr>
        <b/>
        <sz val="11"/>
        <color theme="1"/>
        <rFont val="Calibri"/>
        <family val="2"/>
        <scheme val="minor"/>
      </rPr>
      <t>cisplatin</t>
    </r>
    <r>
      <rPr>
        <sz val="11"/>
        <color theme="1"/>
        <rFont val="Calibri"/>
        <family val="2"/>
        <scheme val="minor"/>
      </rPr>
      <t xml:space="preserve">-resistant </t>
    </r>
    <r>
      <rPr>
        <b/>
        <sz val="11"/>
        <color theme="1"/>
        <rFont val="Calibri"/>
        <family val="2"/>
        <scheme val="minor"/>
      </rPr>
      <t>OC</t>
    </r>
    <r>
      <rPr>
        <sz val="11"/>
        <color theme="1"/>
        <rFont val="Calibri"/>
        <family val="2"/>
        <scheme val="minor"/>
      </rPr>
      <t xml:space="preserve"> patient tissues and cell lines. </t>
    </r>
    <r>
      <rPr>
        <b/>
        <sz val="11"/>
        <color theme="1"/>
        <rFont val="Calibri"/>
        <family val="2"/>
        <scheme val="minor"/>
      </rPr>
      <t xml:space="preserve">3) </t>
    </r>
    <r>
      <rPr>
        <sz val="11"/>
        <color theme="1"/>
        <rFont val="Calibri"/>
        <family val="2"/>
        <scheme val="minor"/>
      </rPr>
      <t xml:space="preserve">Overexpression of Cdr1as inhibited cell proliferation and promoted the cisplatin-induced cell apoptosis in </t>
    </r>
    <r>
      <rPr>
        <b/>
        <sz val="11"/>
        <color theme="1"/>
        <rFont val="Calibri"/>
        <family val="2"/>
        <scheme val="minor"/>
      </rPr>
      <t>ovarian</t>
    </r>
    <r>
      <rPr>
        <sz val="11"/>
        <color theme="1"/>
        <rFont val="Calibri"/>
        <family val="2"/>
        <scheme val="minor"/>
      </rPr>
      <t xml:space="preserve"> cancer cells. </t>
    </r>
    <r>
      <rPr>
        <b/>
        <sz val="11"/>
        <color theme="1"/>
        <rFont val="Calibri"/>
        <family val="2"/>
        <scheme val="minor"/>
      </rPr>
      <t>4)</t>
    </r>
    <r>
      <rPr>
        <sz val="11"/>
        <color theme="1"/>
        <rFont val="Calibri"/>
        <family val="2"/>
        <scheme val="minor"/>
      </rPr>
      <t xml:space="preserve"> repressed Cdr1as promoted the </t>
    </r>
    <r>
      <rPr>
        <b/>
        <sz val="11"/>
        <color theme="1"/>
        <rFont val="Calibri"/>
        <family val="2"/>
        <scheme val="minor"/>
      </rPr>
      <t>miR-1270</t>
    </r>
    <r>
      <rPr>
        <sz val="11"/>
        <color theme="1"/>
        <rFont val="Calibri"/>
        <family val="2"/>
        <scheme val="minor"/>
      </rPr>
      <t xml:space="preserve"> expression, and miR-1270 could bind to the predicted binding site of Cdr1as. </t>
    </r>
    <r>
      <rPr>
        <b/>
        <sz val="11"/>
        <color theme="1"/>
        <rFont val="Calibri"/>
        <family val="2"/>
        <scheme val="minor"/>
      </rPr>
      <t>5)</t>
    </r>
    <r>
      <rPr>
        <sz val="11"/>
        <color theme="1"/>
        <rFont val="Calibri"/>
        <family val="2"/>
        <scheme val="minor"/>
      </rPr>
      <t xml:space="preserve"> miR-1270  modulate the Suppressor of Cancer Cell Invasion (</t>
    </r>
    <r>
      <rPr>
        <b/>
        <sz val="11"/>
        <color theme="1"/>
        <rFont val="Calibri"/>
        <family val="2"/>
        <scheme val="minor"/>
      </rPr>
      <t>SCAI</t>
    </r>
    <r>
      <rPr>
        <sz val="11"/>
        <color theme="1"/>
        <rFont val="Calibri"/>
        <family val="2"/>
        <scheme val="minor"/>
      </rPr>
      <t xml:space="preserve">) expression. </t>
    </r>
    <r>
      <rPr>
        <b/>
        <sz val="11"/>
        <color theme="1"/>
        <rFont val="Calibri"/>
        <family val="2"/>
        <scheme val="minor"/>
      </rPr>
      <t>6)</t>
    </r>
    <r>
      <rPr>
        <sz val="11"/>
        <color theme="1"/>
        <rFont val="Calibri"/>
        <family val="2"/>
        <scheme val="minor"/>
      </rPr>
      <t xml:space="preserve"> </t>
    </r>
    <r>
      <rPr>
        <b/>
        <sz val="11"/>
        <color theme="1"/>
        <rFont val="Calibri"/>
        <family val="2"/>
        <scheme val="minor"/>
      </rPr>
      <t>SCAI</t>
    </r>
    <r>
      <rPr>
        <sz val="11"/>
        <color theme="1"/>
        <rFont val="Calibri"/>
        <family val="2"/>
        <scheme val="minor"/>
      </rPr>
      <t xml:space="preserve"> mRNA were lower in cisplatin-resistant ovarian cancer tissues.</t>
    </r>
  </si>
  <si>
    <r>
      <rPr>
        <b/>
        <sz val="11"/>
        <color theme="1"/>
        <rFont val="Calibri"/>
        <family val="2"/>
        <scheme val="minor"/>
      </rPr>
      <t xml:space="preserve">1) </t>
    </r>
    <r>
      <rPr>
        <sz val="11"/>
        <color theme="1"/>
        <rFont val="Calibri"/>
        <family val="2"/>
        <scheme val="minor"/>
      </rPr>
      <t xml:space="preserve">Clinical analysis revealed that </t>
    </r>
    <r>
      <rPr>
        <b/>
        <sz val="11"/>
        <color theme="1"/>
        <rFont val="Calibri"/>
        <family val="2"/>
        <scheme val="minor"/>
      </rPr>
      <t xml:space="preserve">Scribble </t>
    </r>
    <r>
      <rPr>
        <sz val="11"/>
        <color theme="1"/>
        <rFont val="Calibri"/>
        <family val="2"/>
        <scheme val="minor"/>
      </rPr>
      <t xml:space="preserve">expression positively correlated with clinical outcomes and </t>
    </r>
    <r>
      <rPr>
        <b/>
        <sz val="11"/>
        <color theme="1"/>
        <rFont val="Calibri"/>
        <family val="2"/>
        <scheme val="minor"/>
      </rPr>
      <t>chemotherapeutic</t>
    </r>
    <r>
      <rPr>
        <sz val="11"/>
        <color theme="1"/>
        <rFont val="Calibri"/>
        <family val="2"/>
        <scheme val="minor"/>
      </rPr>
      <t xml:space="preserve"> sensitivity in </t>
    </r>
    <r>
      <rPr>
        <b/>
        <sz val="11"/>
        <color theme="1"/>
        <rFont val="Calibri"/>
        <family val="2"/>
        <scheme val="minor"/>
      </rPr>
      <t>NSCLC</t>
    </r>
    <r>
      <rPr>
        <sz val="11"/>
        <color theme="1"/>
        <rFont val="Calibri"/>
        <family val="2"/>
        <scheme val="minor"/>
      </rPr>
      <t xml:space="preserve"> patients. </t>
    </r>
    <r>
      <rPr>
        <b/>
        <sz val="11"/>
        <color theme="1"/>
        <rFont val="Calibri"/>
        <family val="2"/>
        <scheme val="minor"/>
      </rPr>
      <t>2)</t>
    </r>
    <r>
      <rPr>
        <sz val="11"/>
        <color theme="1"/>
        <rFont val="Calibri"/>
        <family val="2"/>
        <scheme val="minor"/>
      </rPr>
      <t xml:space="preserve"> </t>
    </r>
    <r>
      <rPr>
        <b/>
        <sz val="11"/>
        <color theme="1"/>
        <rFont val="Calibri"/>
        <family val="2"/>
        <scheme val="minor"/>
      </rPr>
      <t>Scribble</t>
    </r>
    <r>
      <rPr>
        <sz val="11"/>
        <color theme="1"/>
        <rFont val="Calibri"/>
        <family val="2"/>
        <scheme val="minor"/>
      </rPr>
      <t xml:space="preserve"> protected </t>
    </r>
    <r>
      <rPr>
        <b/>
        <sz val="11"/>
        <color theme="1"/>
        <rFont val="Calibri"/>
        <family val="2"/>
        <scheme val="minor"/>
      </rPr>
      <t>Nox2</t>
    </r>
    <r>
      <rPr>
        <sz val="11"/>
        <color theme="1"/>
        <rFont val="Calibri"/>
        <family val="2"/>
        <scheme val="minor"/>
      </rPr>
      <t xml:space="preserve"> protein from proteasomal degradation. </t>
    </r>
    <r>
      <rPr>
        <b/>
        <sz val="11"/>
        <color theme="1"/>
        <rFont val="Calibri"/>
        <family val="2"/>
        <scheme val="minor"/>
      </rPr>
      <t>3) Scribble</t>
    </r>
    <r>
      <rPr>
        <sz val="11"/>
        <color theme="1"/>
        <rFont val="Calibri"/>
        <family val="2"/>
        <scheme val="minor"/>
      </rPr>
      <t xml:space="preserve"> knockdown induced </t>
    </r>
    <r>
      <rPr>
        <b/>
        <sz val="11"/>
        <color theme="1"/>
        <rFont val="Calibri"/>
        <family val="2"/>
        <scheme val="minor"/>
      </rPr>
      <t>cisplatin</t>
    </r>
    <r>
      <rPr>
        <sz val="11"/>
        <color theme="1"/>
        <rFont val="Calibri"/>
        <family val="2"/>
        <scheme val="minor"/>
      </rPr>
      <t xml:space="preserve"> resistance by blocking Nox2/ROS and apoptosis in LRR domain-dependent manner. </t>
    </r>
    <r>
      <rPr>
        <b/>
        <sz val="11"/>
        <color theme="1"/>
        <rFont val="Calibri"/>
        <family val="2"/>
        <scheme val="minor"/>
      </rPr>
      <t>4)</t>
    </r>
    <r>
      <rPr>
        <sz val="11"/>
        <color theme="1"/>
        <rFont val="Calibri"/>
        <family val="2"/>
        <scheme val="minor"/>
      </rPr>
      <t xml:space="preserve"> low levels of </t>
    </r>
    <r>
      <rPr>
        <b/>
        <sz val="11"/>
        <color theme="1"/>
        <rFont val="Calibri"/>
        <family val="2"/>
        <scheme val="minor"/>
      </rPr>
      <t>Scribble</t>
    </r>
    <r>
      <rPr>
        <sz val="11"/>
        <color theme="1"/>
        <rFont val="Calibri"/>
        <family val="2"/>
        <scheme val="minor"/>
      </rPr>
      <t xml:space="preserve"> correlated with high levels of </t>
    </r>
    <r>
      <rPr>
        <b/>
        <sz val="11"/>
        <color theme="1"/>
        <rFont val="Calibri"/>
        <family val="2"/>
        <scheme val="minor"/>
      </rPr>
      <t>PD-L1</t>
    </r>
    <r>
      <rPr>
        <sz val="11"/>
        <color theme="1"/>
        <rFont val="Calibri"/>
        <family val="2"/>
        <scheme val="minor"/>
      </rPr>
      <t xml:space="preserve"> via activation of </t>
    </r>
    <r>
      <rPr>
        <b/>
        <sz val="11"/>
        <color theme="1"/>
        <rFont val="Calibri"/>
        <family val="2"/>
        <scheme val="minor"/>
      </rPr>
      <t>Nrf2</t>
    </r>
    <r>
      <rPr>
        <sz val="11"/>
        <color theme="1"/>
        <rFont val="Calibri"/>
        <family val="2"/>
        <scheme val="minor"/>
      </rPr>
      <t> transcription in vivo and in vitro.</t>
    </r>
  </si>
  <si>
    <r>
      <rPr>
        <b/>
        <sz val="11"/>
        <color theme="1"/>
        <rFont val="Calibri"/>
        <family val="2"/>
        <scheme val="minor"/>
      </rPr>
      <t>1)</t>
    </r>
    <r>
      <rPr>
        <sz val="11"/>
        <color theme="1"/>
        <rFont val="Calibri"/>
        <family val="2"/>
        <scheme val="minor"/>
      </rPr>
      <t xml:space="preserve"> Hypoxia decreases sensitivity of SKOV3 cells to </t>
    </r>
    <r>
      <rPr>
        <b/>
        <sz val="11"/>
        <color theme="1"/>
        <rFont val="Calibri"/>
        <family val="2"/>
        <scheme val="minor"/>
      </rPr>
      <t>cisplatin</t>
    </r>
    <r>
      <rPr>
        <sz val="11"/>
        <color theme="1"/>
        <rFont val="Calibri"/>
        <family val="2"/>
        <scheme val="minor"/>
      </rPr>
      <t>.</t>
    </r>
    <r>
      <rPr>
        <b/>
        <sz val="11"/>
        <color theme="1"/>
        <rFont val="Calibri"/>
        <family val="2"/>
        <scheme val="minor"/>
      </rPr>
      <t xml:space="preserve"> 2) </t>
    </r>
    <r>
      <rPr>
        <sz val="11"/>
        <color theme="1"/>
        <rFont val="Calibri"/>
        <family val="2"/>
        <scheme val="minor"/>
      </rPr>
      <t xml:space="preserve">SENP1 increased the protein levels of HIF-1α by deSUMOylation and weakened the sensitivity of hypoxic </t>
    </r>
    <r>
      <rPr>
        <b/>
        <sz val="11"/>
        <color theme="1"/>
        <rFont val="Calibri"/>
        <family val="2"/>
        <scheme val="minor"/>
      </rPr>
      <t>ovarian</t>
    </r>
    <r>
      <rPr>
        <sz val="11"/>
        <color theme="1"/>
        <rFont val="Calibri"/>
        <family val="2"/>
        <scheme val="minor"/>
      </rPr>
      <t xml:space="preserve"> cancer cells to cisplatin. </t>
    </r>
    <r>
      <rPr>
        <b/>
        <sz val="11"/>
        <color theme="1"/>
        <rFont val="Calibri"/>
        <family val="2"/>
        <scheme val="minor"/>
      </rPr>
      <t>3)</t>
    </r>
    <r>
      <rPr>
        <sz val="11"/>
        <color theme="1"/>
        <rFont val="Calibri"/>
        <family val="2"/>
        <scheme val="minor"/>
      </rPr>
      <t xml:space="preserve"> </t>
    </r>
    <r>
      <rPr>
        <b/>
        <sz val="11"/>
        <color theme="1"/>
        <rFont val="Calibri"/>
        <family val="2"/>
        <scheme val="minor"/>
      </rPr>
      <t>Testicular</t>
    </r>
    <r>
      <rPr>
        <sz val="11"/>
        <color theme="1"/>
        <rFont val="Calibri"/>
        <family val="2"/>
        <scheme val="minor"/>
      </rPr>
      <t xml:space="preserve"> germ cell tumors (TGCT) generally respond well to chemotherapy, but tumors that express low levels of the transcription factor </t>
    </r>
    <r>
      <rPr>
        <b/>
        <sz val="11"/>
        <color theme="1"/>
        <rFont val="Calibri"/>
        <family val="2"/>
        <scheme val="minor"/>
      </rPr>
      <t>OCT4</t>
    </r>
    <r>
      <rPr>
        <sz val="11"/>
        <color theme="1"/>
        <rFont val="Calibri"/>
        <family val="2"/>
        <scheme val="minor"/>
      </rPr>
      <t xml:space="preserve"> are associated with chemoresistance and poor prognosis. </t>
    </r>
    <r>
      <rPr>
        <b/>
        <sz val="11"/>
        <color theme="1"/>
        <rFont val="Calibri"/>
        <family val="2"/>
        <scheme val="minor"/>
      </rPr>
      <t>4)</t>
    </r>
    <r>
      <rPr>
        <sz val="11"/>
        <color theme="1"/>
        <rFont val="Calibri"/>
        <family val="2"/>
        <scheme val="minor"/>
      </rPr>
      <t xml:space="preserve"> hypoxia reduces OCT4 levels and increases the resistance of embryonal carcinoma (EC) cells to </t>
    </r>
    <r>
      <rPr>
        <b/>
        <sz val="11"/>
        <color theme="1"/>
        <rFont val="Calibri"/>
        <family val="2"/>
        <scheme val="minor"/>
      </rPr>
      <t>cisplatin</t>
    </r>
    <r>
      <rPr>
        <sz val="11"/>
        <color theme="1"/>
        <rFont val="Calibri"/>
        <family val="2"/>
        <scheme val="minor"/>
      </rPr>
      <t xml:space="preserve"> and bleomycin. </t>
    </r>
    <r>
      <rPr>
        <b/>
        <sz val="11"/>
        <color theme="1"/>
        <rFont val="Calibri"/>
        <family val="2"/>
        <scheme val="minor"/>
      </rPr>
      <t>5)</t>
    </r>
    <r>
      <rPr>
        <sz val="11"/>
        <color theme="1"/>
        <rFont val="Calibri"/>
        <family val="2"/>
        <scheme val="minor"/>
      </rPr>
      <t xml:space="preserve"> the loss of OCT4 expression under hypoxia can be triggered by sumoylation, which was regulated by SUMO1 and the SUMO1 peptidase </t>
    </r>
    <r>
      <rPr>
        <b/>
        <sz val="11"/>
        <color theme="1"/>
        <rFont val="Calibri"/>
        <family val="2"/>
        <scheme val="minor"/>
      </rPr>
      <t>SENP1</t>
    </r>
    <r>
      <rPr>
        <sz val="11"/>
        <color theme="1"/>
        <rFont val="Calibri"/>
        <family val="2"/>
        <scheme val="minor"/>
      </rPr>
      <t xml:space="preserve">. </t>
    </r>
    <r>
      <rPr>
        <b/>
        <sz val="11"/>
        <color theme="1"/>
        <rFont val="Calibri"/>
        <family val="2"/>
        <scheme val="minor"/>
      </rPr>
      <t xml:space="preserve">6) </t>
    </r>
    <r>
      <rPr>
        <sz val="11"/>
        <color theme="1"/>
        <rFont val="Calibri"/>
        <family val="2"/>
        <scheme val="minor"/>
      </rPr>
      <t xml:space="preserve">Under hypoxic conditions, overexpression of SUMO1gg (the active form of SUMO1) not only increased the level of sumoylated OCT4 (Su-OCT4), but also decreased the stability of OCT4 protein. </t>
    </r>
    <r>
      <rPr>
        <b/>
        <sz val="11"/>
        <color theme="1"/>
        <rFont val="Calibri"/>
        <family val="2"/>
        <scheme val="minor"/>
      </rPr>
      <t xml:space="preserve">7) </t>
    </r>
    <r>
      <rPr>
        <sz val="11"/>
        <color theme="1"/>
        <rFont val="Calibri"/>
        <family val="2"/>
        <scheme val="minor"/>
      </rPr>
      <t xml:space="preserve">overexpression of </t>
    </r>
    <r>
      <rPr>
        <b/>
        <sz val="11"/>
        <color theme="1"/>
        <rFont val="Calibri"/>
        <family val="2"/>
        <scheme val="minor"/>
      </rPr>
      <t>SENP1</t>
    </r>
    <r>
      <rPr>
        <sz val="11"/>
        <color theme="1"/>
        <rFont val="Calibri"/>
        <family val="2"/>
        <scheme val="minor"/>
      </rPr>
      <t xml:space="preserve"> reduced the Su-OCT4 level induced by SUMO1gg overexpression, thereby maintaining OCT4 levels and enhancing chemosensitivity. </t>
    </r>
  </si>
  <si>
    <r>
      <rPr>
        <b/>
        <sz val="11"/>
        <color theme="1"/>
        <rFont val="Calibri"/>
        <family val="2"/>
        <scheme val="minor"/>
      </rPr>
      <t>1) SERPINB2</t>
    </r>
    <r>
      <rPr>
        <sz val="11"/>
        <color theme="1"/>
        <rFont val="Calibri"/>
        <family val="2"/>
        <scheme val="minor"/>
      </rPr>
      <t xml:space="preserve"> mRNA and protein levels correlated with chemoresistance in </t>
    </r>
    <r>
      <rPr>
        <b/>
        <sz val="11"/>
        <color theme="1"/>
        <rFont val="Calibri"/>
        <family val="2"/>
        <scheme val="minor"/>
      </rPr>
      <t>HNSCC</t>
    </r>
    <r>
      <rPr>
        <sz val="11"/>
        <color theme="1"/>
        <rFont val="Calibri"/>
        <family val="2"/>
        <scheme val="minor"/>
      </rPr>
      <t xml:space="preserve"> cell lines, and significantly lower SERPINB2 expression levels were observed in two cisplatin resistant HNSCC subclones compared to their isogenic drug-sensitive parental lines. </t>
    </r>
    <r>
      <rPr>
        <b/>
        <sz val="11"/>
        <color theme="1"/>
        <rFont val="Calibri"/>
        <family val="2"/>
        <scheme val="minor"/>
      </rPr>
      <t xml:space="preserve">2) </t>
    </r>
    <r>
      <rPr>
        <sz val="11"/>
        <color theme="1"/>
        <rFont val="Calibri"/>
        <family val="2"/>
        <scheme val="minor"/>
      </rPr>
      <t>Immunohistochemical analysis of HNSCC tumor tissues from patients treated with neoadjuvant </t>
    </r>
    <r>
      <rPr>
        <b/>
        <sz val="11"/>
        <color theme="1"/>
        <rFont val="Calibri"/>
        <family val="2"/>
        <scheme val="minor"/>
      </rPr>
      <t>cisplatin</t>
    </r>
    <r>
      <rPr>
        <sz val="11"/>
        <color theme="1"/>
        <rFont val="Calibri"/>
        <family val="2"/>
        <scheme val="minor"/>
      </rPr>
      <t xml:space="preserve">-based chemotherapy (n = 67 cases) revealed a significant association between SERPINB2 protein levels, tumor differentiation and patient relapse. </t>
    </r>
    <r>
      <rPr>
        <b/>
        <sz val="11"/>
        <color theme="1"/>
        <rFont val="Calibri"/>
        <family val="2"/>
        <scheme val="minor"/>
      </rPr>
      <t xml:space="preserve">3) </t>
    </r>
    <r>
      <rPr>
        <sz val="11"/>
        <color theme="1"/>
        <rFont val="Calibri"/>
        <family val="2"/>
        <scheme val="minor"/>
      </rPr>
      <t xml:space="preserve">SERPINB2 down-regulation was a strong predictor of reduced overall survival in patients with HNSCC who received cisplatin-based chemotherapy (P = 0.001, log rank test). </t>
    </r>
    <r>
      <rPr>
        <b/>
        <sz val="11"/>
        <color theme="1"/>
        <rFont val="Calibri"/>
        <family val="2"/>
        <scheme val="minor"/>
      </rPr>
      <t xml:space="preserve">4) </t>
    </r>
    <r>
      <rPr>
        <sz val="11"/>
        <color theme="1"/>
        <rFont val="Calibri"/>
        <family val="2"/>
        <scheme val="minor"/>
      </rPr>
      <t xml:space="preserve">Studies using either siRNA-mediated down-regulation or forced over-expression of SERPINB2 in HNSCC cell lines confirmed a functional role for SERPINB2 in drug resistance. </t>
    </r>
    <r>
      <rPr>
        <b/>
        <sz val="11"/>
        <color theme="1"/>
        <rFont val="Calibri"/>
        <family val="2"/>
        <scheme val="minor"/>
      </rPr>
      <t xml:space="preserve">5) </t>
    </r>
    <r>
      <rPr>
        <sz val="11"/>
        <color theme="1"/>
        <rFont val="Calibri"/>
        <family val="2"/>
        <scheme val="minor"/>
      </rPr>
      <t>using chemical inhibitors of STAT3 activity (a downstream effecter of uPAR signaling pathway) showed that STAT3 suppression altered HNSCC cell line cisplatin sensitivity. </t>
    </r>
  </si>
  <si>
    <r>
      <rPr>
        <b/>
        <sz val="11"/>
        <color theme="1"/>
        <rFont val="Calibri"/>
        <family val="2"/>
        <scheme val="minor"/>
      </rPr>
      <t>1)</t>
    </r>
    <r>
      <rPr>
        <sz val="11"/>
        <color theme="1"/>
        <rFont val="Calibri"/>
        <family val="2"/>
        <scheme val="minor"/>
      </rPr>
      <t xml:space="preserve"> In 136 chickens, EOC was found in 10 (7.4%). SERPINB3 mRNA was induced in cancerous, but not normal ovaries of chickens (P&lt;0.01). </t>
    </r>
    <r>
      <rPr>
        <b/>
        <sz val="11"/>
        <color theme="1"/>
        <rFont val="Calibri"/>
        <family val="2"/>
        <scheme val="minor"/>
      </rPr>
      <t>2)</t>
    </r>
    <r>
      <rPr>
        <sz val="11"/>
        <color theme="1"/>
        <rFont val="Calibri"/>
        <family val="2"/>
        <scheme val="minor"/>
      </rPr>
      <t xml:space="preserve"> In 109 human patients with </t>
    </r>
    <r>
      <rPr>
        <b/>
        <sz val="11"/>
        <color theme="1"/>
        <rFont val="Calibri"/>
        <family val="2"/>
        <scheme val="minor"/>
      </rPr>
      <t>EOC</t>
    </r>
    <r>
      <rPr>
        <sz val="11"/>
        <color theme="1"/>
        <rFont val="Calibri"/>
        <family val="2"/>
        <scheme val="minor"/>
      </rPr>
      <t xml:space="preserve">, 15 (13.8%), 66 (60.6%) and 28 (25.7%) patients showed weak, moderate and strong expression of SERPINB3 protein, respectively. </t>
    </r>
    <r>
      <rPr>
        <b/>
        <sz val="11"/>
        <color theme="1"/>
        <rFont val="Calibri"/>
        <family val="2"/>
        <scheme val="minor"/>
      </rPr>
      <t xml:space="preserve">3) </t>
    </r>
    <r>
      <rPr>
        <sz val="11"/>
        <color theme="1"/>
        <rFont val="Calibri"/>
        <family val="2"/>
        <scheme val="minor"/>
      </rPr>
      <t xml:space="preserve">Strong expression of SERPINB3 protein was a prognostic factor for </t>
    </r>
    <r>
      <rPr>
        <b/>
        <sz val="11"/>
        <color theme="1"/>
        <rFont val="Calibri"/>
        <family val="2"/>
        <scheme val="minor"/>
      </rPr>
      <t>platinum resistance</t>
    </r>
    <r>
      <rPr>
        <sz val="11"/>
        <color theme="1"/>
        <rFont val="Calibri"/>
        <family val="2"/>
        <scheme val="minor"/>
      </rPr>
      <t xml:space="preserve"> (adjusted OR; odds ratio, 5.94; 95% Confidence Limits, 1.21-29.15), and for poor progression-free survival (PFS; adjusted HR; hazard ratio, 2.07; 95% CI; confidence interval, 1.03-4.41). </t>
    </r>
    <r>
      <rPr>
        <b/>
        <sz val="11"/>
        <color theme="1"/>
        <rFont val="Calibri"/>
        <family val="2"/>
        <scheme val="minor"/>
      </rPr>
      <t>4)</t>
    </r>
    <r>
      <rPr>
        <sz val="11"/>
        <color theme="1"/>
        <rFont val="Calibri"/>
        <family val="2"/>
        <scheme val="minor"/>
      </rPr>
      <t xml:space="preserve"> By blocking ROS generation at Complex I, SB3 abrogates PTP opening and cell death induced by </t>
    </r>
    <r>
      <rPr>
        <b/>
        <sz val="11"/>
        <color theme="1"/>
        <rFont val="Calibri"/>
        <family val="2"/>
        <scheme val="minor"/>
      </rPr>
      <t>platinum</t>
    </r>
    <r>
      <rPr>
        <sz val="11"/>
        <color theme="1"/>
        <rFont val="Calibri"/>
        <family val="2"/>
        <scheme val="minor"/>
      </rPr>
      <t xml:space="preserve"> drugs in </t>
    </r>
    <r>
      <rPr>
        <b/>
        <sz val="11"/>
        <color theme="1"/>
        <rFont val="Calibri"/>
        <family val="2"/>
        <scheme val="minor"/>
      </rPr>
      <t>hepatoma</t>
    </r>
    <r>
      <rPr>
        <sz val="11"/>
        <color theme="1"/>
        <rFont val="Calibri"/>
        <family val="2"/>
        <scheme val="minor"/>
      </rPr>
      <t xml:space="preserve"> HepG2 and HUH7 cells. </t>
    </r>
  </si>
  <si>
    <r>
      <rPr>
        <b/>
        <sz val="11"/>
        <color theme="1"/>
        <rFont val="Calibri"/>
        <family val="2"/>
        <scheme val="minor"/>
      </rPr>
      <t>1)</t>
    </r>
    <r>
      <rPr>
        <sz val="11"/>
        <color theme="1"/>
        <rFont val="Calibri"/>
        <family val="2"/>
        <scheme val="minor"/>
      </rPr>
      <t xml:space="preserve"> SERPINE1 and SERPINE2 increased most dramatically under carboplatin treatment in A2780cp cells.</t>
    </r>
    <r>
      <rPr>
        <b/>
        <sz val="11"/>
        <color theme="1"/>
        <rFont val="Calibri"/>
        <family val="2"/>
        <scheme val="minor"/>
      </rPr>
      <t xml:space="preserve"> 2) Carboplatin</t>
    </r>
    <r>
      <rPr>
        <sz val="11"/>
        <color theme="1"/>
        <rFont val="Calibri"/>
        <family val="2"/>
        <scheme val="minor"/>
      </rPr>
      <t xml:space="preserve"> treatment could significantly increase the expression of SERPINE1 and induce the EMT process, with decreased expression of E-cadherin and increased expression of Vimentin, Snail and Twist. </t>
    </r>
    <r>
      <rPr>
        <b/>
        <sz val="11"/>
        <color theme="1"/>
        <rFont val="Calibri"/>
        <family val="2"/>
        <scheme val="minor"/>
      </rPr>
      <t xml:space="preserve">3) </t>
    </r>
    <r>
      <rPr>
        <sz val="11"/>
        <color theme="1"/>
        <rFont val="Calibri"/>
        <family val="2"/>
        <scheme val="minor"/>
      </rPr>
      <t xml:space="preserve">Knockdown of SERPINE1, but not SERPINE2, in A2780cp cells could inhibit the EMT process. </t>
    </r>
    <r>
      <rPr>
        <b/>
        <sz val="11"/>
        <color theme="1"/>
        <rFont val="Calibri"/>
        <family val="2"/>
        <scheme val="minor"/>
      </rPr>
      <t xml:space="preserve">4) </t>
    </r>
    <r>
      <rPr>
        <sz val="11"/>
        <color theme="1"/>
        <rFont val="Calibri"/>
        <family val="2"/>
        <scheme val="minor"/>
      </rPr>
      <t>hypomethylation in the promoter of SERPINE1 might result in the increased expression of SERPINE1 and subsequent EMT process in A2780cp cells.</t>
    </r>
  </si>
  <si>
    <r>
      <rPr>
        <b/>
        <sz val="11"/>
        <color theme="1"/>
        <rFont val="Calibri"/>
        <family val="2"/>
        <scheme val="minor"/>
      </rPr>
      <t>1)</t>
    </r>
    <r>
      <rPr>
        <sz val="11"/>
        <color theme="1"/>
        <rFont val="Calibri"/>
        <family val="2"/>
        <scheme val="minor"/>
      </rPr>
      <t xml:space="preserve"> </t>
    </r>
    <r>
      <rPr>
        <b/>
        <sz val="11"/>
        <color theme="1"/>
        <rFont val="Calibri"/>
        <family val="2"/>
        <scheme val="minor"/>
      </rPr>
      <t>SESN1</t>
    </r>
    <r>
      <rPr>
        <sz val="11"/>
        <color theme="1"/>
        <rFont val="Calibri"/>
        <family val="2"/>
        <scheme val="minor"/>
      </rPr>
      <t xml:space="preserve"> was induced by </t>
    </r>
    <r>
      <rPr>
        <b/>
        <sz val="11"/>
        <color theme="1"/>
        <rFont val="Calibri"/>
        <family val="2"/>
        <scheme val="minor"/>
      </rPr>
      <t>cisplatin</t>
    </r>
    <r>
      <rPr>
        <sz val="11"/>
        <color theme="1"/>
        <rFont val="Calibri"/>
        <family val="2"/>
        <scheme val="minor"/>
      </rPr>
      <t xml:space="preserve"> treatment in human </t>
    </r>
    <r>
      <rPr>
        <b/>
        <sz val="11"/>
        <color theme="1"/>
        <rFont val="Calibri"/>
        <family val="2"/>
        <scheme val="minor"/>
      </rPr>
      <t>maxillary</t>
    </r>
    <r>
      <rPr>
        <sz val="11"/>
        <color theme="1"/>
        <rFont val="Calibri"/>
        <family val="2"/>
        <scheme val="minor"/>
      </rPr>
      <t xml:space="preserve"> cancer cell line, IMC-3CR cells. </t>
    </r>
    <r>
      <rPr>
        <b/>
        <sz val="11"/>
        <color theme="1"/>
        <rFont val="Calibri"/>
        <family val="2"/>
        <scheme val="minor"/>
      </rPr>
      <t xml:space="preserve">2) </t>
    </r>
    <r>
      <rPr>
        <sz val="11"/>
        <color theme="1"/>
        <rFont val="Calibri"/>
        <family val="2"/>
        <scheme val="minor"/>
      </rPr>
      <t xml:space="preserve">Suppression of SESN1 by RNAi induced apoptosis and reduced cell viability through enhancement of ROS after </t>
    </r>
    <r>
      <rPr>
        <b/>
        <sz val="11"/>
        <color theme="1"/>
        <rFont val="Calibri"/>
        <family val="2"/>
        <scheme val="minor"/>
      </rPr>
      <t>cisplatin</t>
    </r>
    <r>
      <rPr>
        <sz val="11"/>
        <color theme="1"/>
        <rFont val="Calibri"/>
        <family val="2"/>
        <scheme val="minor"/>
      </rPr>
      <t xml:space="preserve"> treatment.</t>
    </r>
  </si>
  <si>
    <r>
      <rPr>
        <b/>
        <sz val="11"/>
        <color theme="1"/>
        <rFont val="Calibri"/>
        <family val="2"/>
        <scheme val="minor"/>
      </rPr>
      <t>1)</t>
    </r>
    <r>
      <rPr>
        <sz val="11"/>
        <color theme="1"/>
        <rFont val="Calibri"/>
        <family val="2"/>
        <scheme val="minor"/>
      </rPr>
      <t xml:space="preserve"> </t>
    </r>
    <r>
      <rPr>
        <b/>
        <sz val="11"/>
        <color theme="1"/>
        <rFont val="Calibri"/>
        <family val="2"/>
        <scheme val="minor"/>
      </rPr>
      <t>SETD2</t>
    </r>
    <r>
      <rPr>
        <sz val="11"/>
        <color theme="1"/>
        <rFont val="Calibri"/>
        <family val="2"/>
        <scheme val="minor"/>
      </rPr>
      <t xml:space="preserve"> is frequently found to be mutated or deleted in a variety of human tumors. </t>
    </r>
    <r>
      <rPr>
        <b/>
        <sz val="11"/>
        <color theme="1"/>
        <rFont val="Calibri"/>
        <family val="2"/>
        <scheme val="minor"/>
      </rPr>
      <t xml:space="preserve">2) </t>
    </r>
    <r>
      <rPr>
        <sz val="11"/>
        <color theme="1"/>
        <rFont val="Calibri"/>
        <family val="2"/>
        <scheme val="minor"/>
      </rPr>
      <t xml:space="preserve">SETD2-mediated trimethylation of H3K36 (H3K36me3) and CREB1 phosphorylation are critical for cellular sensitivity to </t>
    </r>
    <r>
      <rPr>
        <b/>
        <sz val="11"/>
        <color theme="1"/>
        <rFont val="Calibri"/>
        <family val="2"/>
        <scheme val="minor"/>
      </rPr>
      <t>cisplatin</t>
    </r>
    <r>
      <rPr>
        <sz val="11"/>
        <color theme="1"/>
        <rFont val="Calibri"/>
        <family val="2"/>
        <scheme val="minor"/>
      </rPr>
      <t>. </t>
    </r>
    <r>
      <rPr>
        <b/>
        <sz val="11"/>
        <color theme="1"/>
        <rFont val="Calibri"/>
        <family val="2"/>
        <scheme val="minor"/>
      </rPr>
      <t xml:space="preserve">3) </t>
    </r>
    <r>
      <rPr>
        <sz val="11"/>
        <color theme="1"/>
        <rFont val="Calibri"/>
        <family val="2"/>
        <scheme val="minor"/>
      </rPr>
      <t xml:space="preserve">suppression of SETD2 or CREB1 and ectopic expression of mutant SETD2 conferred cisplatin resistance through inhibition of H3K36me3 and ERK activation in </t>
    </r>
    <r>
      <rPr>
        <b/>
        <sz val="11"/>
        <color theme="1"/>
        <rFont val="Calibri"/>
        <family val="2"/>
        <scheme val="minor"/>
      </rPr>
      <t>NSCLC</t>
    </r>
    <r>
      <rPr>
        <sz val="11"/>
        <color theme="1"/>
        <rFont val="Calibri"/>
        <family val="2"/>
        <scheme val="minor"/>
      </rPr>
      <t xml:space="preserve"> cells. </t>
    </r>
    <r>
      <rPr>
        <b/>
        <sz val="11"/>
        <color theme="1"/>
        <rFont val="Calibri"/>
        <family val="2"/>
        <scheme val="minor"/>
      </rPr>
      <t xml:space="preserve">4) </t>
    </r>
    <r>
      <rPr>
        <sz val="11"/>
        <color theme="1"/>
        <rFont val="Calibri"/>
        <family val="2"/>
        <scheme val="minor"/>
      </rPr>
      <t xml:space="preserve">SETD2 significantly enhanced </t>
    </r>
    <r>
      <rPr>
        <b/>
        <sz val="11"/>
        <color theme="1"/>
        <rFont val="Calibri"/>
        <family val="2"/>
        <scheme val="minor"/>
      </rPr>
      <t>cisplatin</t>
    </r>
    <r>
      <rPr>
        <sz val="11"/>
        <color theme="1"/>
        <rFont val="Calibri"/>
        <family val="2"/>
        <scheme val="minor"/>
      </rPr>
      <t xml:space="preserve">-induced apoptosis in </t>
    </r>
    <r>
      <rPr>
        <b/>
        <sz val="11"/>
        <color theme="1"/>
        <rFont val="Calibri"/>
        <family val="2"/>
        <scheme val="minor"/>
      </rPr>
      <t>osteosarcoma</t>
    </r>
    <r>
      <rPr>
        <sz val="11"/>
        <color theme="1"/>
        <rFont val="Calibri"/>
        <family val="2"/>
        <scheme val="minor"/>
      </rPr>
      <t xml:space="preserve"> cells and inhibited cancer stem cell properties in OS cells. </t>
    </r>
    <r>
      <rPr>
        <b/>
        <sz val="11"/>
        <color theme="1"/>
        <rFont val="Calibri"/>
        <family val="2"/>
        <scheme val="minor"/>
      </rPr>
      <t xml:space="preserve">5) </t>
    </r>
    <r>
      <rPr>
        <sz val="11"/>
        <color theme="1"/>
        <rFont val="Calibri"/>
        <family val="2"/>
        <scheme val="minor"/>
      </rPr>
      <t xml:space="preserve">SETD2 regulates Wnt/β-catenin signaling and its downstream gene c-myc, CD133 and cyclin D1. </t>
    </r>
    <r>
      <rPr>
        <b/>
        <sz val="11"/>
        <color theme="1"/>
        <rFont val="Calibri"/>
        <family val="2"/>
        <scheme val="minor"/>
      </rPr>
      <t>6)</t>
    </r>
    <r>
      <rPr>
        <sz val="11"/>
        <color theme="1"/>
        <rFont val="Calibri"/>
        <family val="2"/>
        <scheme val="minor"/>
      </rPr>
      <t xml:space="preserve"> SETD2 upregulates H3K36me3 modification in GSK3B loci and promotes its transcription, which lead to β-catenin degradation. </t>
    </r>
  </si>
  <si>
    <r>
      <rPr>
        <b/>
        <sz val="11"/>
        <color theme="1"/>
        <rFont val="Calibri"/>
        <family val="2"/>
        <scheme val="minor"/>
      </rPr>
      <t>1)</t>
    </r>
    <r>
      <rPr>
        <sz val="11"/>
        <color theme="1"/>
        <rFont val="Calibri"/>
        <family val="2"/>
        <scheme val="minor"/>
      </rPr>
      <t xml:space="preserve"> </t>
    </r>
    <r>
      <rPr>
        <b/>
        <sz val="11"/>
        <color theme="1"/>
        <rFont val="Calibri"/>
        <family val="2"/>
        <scheme val="minor"/>
      </rPr>
      <t>SFRP5</t>
    </r>
    <r>
      <rPr>
        <sz val="11"/>
        <color theme="1"/>
        <rFont val="Calibri"/>
        <family val="2"/>
        <scheme val="minor"/>
      </rPr>
      <t xml:space="preserve"> is downregulated frequently through promoter hypermethylation </t>
    </r>
    <r>
      <rPr>
        <b/>
        <sz val="11"/>
        <color theme="1"/>
        <rFont val="Calibri"/>
        <family val="2"/>
        <scheme val="minor"/>
      </rPr>
      <t xml:space="preserve">2) </t>
    </r>
    <r>
      <rPr>
        <sz val="11"/>
        <color theme="1"/>
        <rFont val="Calibri"/>
        <family val="2"/>
        <scheme val="minor"/>
      </rPr>
      <t>this hypermethylation is associated with overall survival in ovarian cancer.</t>
    </r>
    <r>
      <rPr>
        <b/>
        <sz val="11"/>
        <color theme="1"/>
        <rFont val="Calibri"/>
        <family val="2"/>
        <scheme val="minor"/>
      </rPr>
      <t xml:space="preserve"> 3) </t>
    </r>
    <r>
      <rPr>
        <sz val="11"/>
        <color theme="1"/>
        <rFont val="Calibri"/>
        <family val="2"/>
        <scheme val="minor"/>
      </rPr>
      <t xml:space="preserve">Restoration of the expression of SFRP5 attenuated </t>
    </r>
    <r>
      <rPr>
        <b/>
        <sz val="11"/>
        <color theme="1"/>
        <rFont val="Calibri"/>
        <family val="2"/>
        <scheme val="minor"/>
      </rPr>
      <t>Wnt signaling</t>
    </r>
    <r>
      <rPr>
        <sz val="11"/>
        <color theme="1"/>
        <rFont val="Calibri"/>
        <family val="2"/>
        <scheme val="minor"/>
      </rPr>
      <t xml:space="preserve"> in ovarian cancer cells </t>
    </r>
    <r>
      <rPr>
        <b/>
        <sz val="11"/>
        <color theme="1"/>
        <rFont val="Calibri"/>
        <family val="2"/>
        <scheme val="minor"/>
      </rPr>
      <t>4)</t>
    </r>
    <r>
      <rPr>
        <sz val="11"/>
        <color theme="1"/>
        <rFont val="Calibri"/>
        <family val="2"/>
        <scheme val="minor"/>
      </rPr>
      <t xml:space="preserve"> suppressed cancer cell growth, invasion of cells and tumorigenicity in mice. These effects were independent of the canonical pathway. </t>
    </r>
    <r>
      <rPr>
        <b/>
        <sz val="11"/>
        <color theme="1"/>
        <rFont val="Calibri"/>
        <family val="2"/>
        <scheme val="minor"/>
      </rPr>
      <t>5)</t>
    </r>
    <r>
      <rPr>
        <sz val="11"/>
        <color theme="1"/>
        <rFont val="Calibri"/>
        <family val="2"/>
        <scheme val="minor"/>
      </rPr>
      <t xml:space="preserve"> The expression of SFRP5 inhibited epithelial-mesenchymal transition (EMT). </t>
    </r>
    <r>
      <rPr>
        <b/>
        <sz val="11"/>
        <color theme="1"/>
        <rFont val="Calibri"/>
        <family val="2"/>
        <scheme val="minor"/>
      </rPr>
      <t>6)</t>
    </r>
    <r>
      <rPr>
        <sz val="11"/>
        <color theme="1"/>
        <rFont val="Calibri"/>
        <family val="2"/>
        <scheme val="minor"/>
      </rPr>
      <t xml:space="preserve"> The restoration of SFRP5 downregulated AKT2 and sensitized ovarian cancer cells to </t>
    </r>
    <r>
      <rPr>
        <b/>
        <sz val="11"/>
        <color theme="1"/>
        <rFont val="Calibri"/>
        <family val="2"/>
        <scheme val="minor"/>
      </rPr>
      <t>chemotherapy</t>
    </r>
    <r>
      <rPr>
        <sz val="11"/>
        <color theme="1"/>
        <rFont val="Calibri"/>
        <family val="2"/>
        <scheme val="minor"/>
      </rPr>
      <t xml:space="preserve">. </t>
    </r>
    <r>
      <rPr>
        <b/>
        <sz val="11"/>
        <color theme="1"/>
        <rFont val="Calibri"/>
        <family val="2"/>
        <scheme val="minor"/>
      </rPr>
      <t xml:space="preserve">7) </t>
    </r>
    <r>
      <rPr>
        <sz val="11"/>
        <color theme="1"/>
        <rFont val="Calibri"/>
        <family val="2"/>
        <scheme val="minor"/>
      </rPr>
      <t xml:space="preserve">These effects are consistent with the poor response to </t>
    </r>
    <r>
      <rPr>
        <b/>
        <sz val="11"/>
        <color theme="1"/>
        <rFont val="Calibri"/>
        <family val="2"/>
        <scheme val="minor"/>
      </rPr>
      <t>platinum</t>
    </r>
    <r>
      <rPr>
        <sz val="11"/>
        <color theme="1"/>
        <rFont val="Calibri"/>
        <family val="2"/>
        <scheme val="minor"/>
      </rPr>
      <t xml:space="preserve">-based chemotherapy in patients with methylation of SFRP5. </t>
    </r>
  </si>
  <si>
    <r>
      <rPr>
        <b/>
        <sz val="11"/>
        <color theme="1"/>
        <rFont val="Calibri"/>
        <family val="2"/>
        <scheme val="minor"/>
      </rPr>
      <t xml:space="preserve">1) </t>
    </r>
    <r>
      <rPr>
        <sz val="11"/>
        <color theme="1"/>
        <rFont val="Calibri"/>
        <family val="2"/>
        <scheme val="minor"/>
      </rPr>
      <t>A549/</t>
    </r>
    <r>
      <rPr>
        <b/>
        <sz val="11"/>
        <color theme="1"/>
        <rFont val="Calibri"/>
        <family val="2"/>
        <scheme val="minor"/>
      </rPr>
      <t>DDP</t>
    </r>
    <r>
      <rPr>
        <sz val="11"/>
        <color theme="1"/>
        <rFont val="Calibri"/>
        <family val="2"/>
        <scheme val="minor"/>
      </rPr>
      <t xml:space="preserve"> cells presented remarkably higher expression of </t>
    </r>
    <r>
      <rPr>
        <b/>
        <sz val="11"/>
        <color theme="1"/>
        <rFont val="Calibri"/>
        <family val="2"/>
        <scheme val="minor"/>
      </rPr>
      <t>lncRNA TRPM2-AS</t>
    </r>
    <r>
      <rPr>
        <sz val="11"/>
        <color theme="1"/>
        <rFont val="Calibri"/>
        <family val="2"/>
        <scheme val="minor"/>
      </rPr>
      <t xml:space="preserve"> than paired A549 cells. </t>
    </r>
    <r>
      <rPr>
        <b/>
        <sz val="11"/>
        <color theme="1"/>
        <rFont val="Calibri"/>
        <family val="2"/>
        <scheme val="minor"/>
      </rPr>
      <t>2)</t>
    </r>
    <r>
      <rPr>
        <sz val="11"/>
        <color theme="1"/>
        <rFont val="Calibri"/>
        <family val="2"/>
        <scheme val="minor"/>
      </rPr>
      <t xml:space="preserve"> re-sensitization to cisplatin was seen in A549/DDP cells after lncRNA TRPM2-AS knockdown. </t>
    </r>
    <r>
      <rPr>
        <b/>
        <sz val="11"/>
        <color theme="1"/>
        <rFont val="Calibri"/>
        <family val="2"/>
        <scheme val="minor"/>
      </rPr>
      <t xml:space="preserve">3) </t>
    </r>
    <r>
      <rPr>
        <sz val="11"/>
        <color theme="1"/>
        <rFont val="Calibri"/>
        <family val="2"/>
        <scheme val="minor"/>
      </rPr>
      <t xml:space="preserve">the sensitivity of lncRNA TRPM2-AS-overexpressed A549 cells to cisplatin decreased obviously when compared with the control. </t>
    </r>
    <r>
      <rPr>
        <b/>
        <sz val="11"/>
        <color theme="1"/>
        <rFont val="Calibri"/>
        <family val="2"/>
        <scheme val="minor"/>
      </rPr>
      <t xml:space="preserve">4) </t>
    </r>
    <r>
      <rPr>
        <sz val="11"/>
        <color theme="1"/>
        <rFont val="Calibri"/>
        <family val="2"/>
        <scheme val="minor"/>
      </rPr>
      <t xml:space="preserve">downregulated lncRNA TRPM2-AS induced cell apoptosis through activating the </t>
    </r>
    <r>
      <rPr>
        <b/>
        <sz val="11"/>
        <color theme="1"/>
        <rFont val="Calibri"/>
        <family val="2"/>
        <scheme val="minor"/>
      </rPr>
      <t>p53-p66shc</t>
    </r>
    <r>
      <rPr>
        <sz val="11"/>
        <color theme="1"/>
        <rFont val="Calibri"/>
        <family val="2"/>
        <scheme val="minor"/>
      </rPr>
      <t xml:space="preserve"> pathway. </t>
    </r>
    <r>
      <rPr>
        <b/>
        <sz val="11"/>
        <color theme="1"/>
        <rFont val="Calibri"/>
        <family val="2"/>
        <scheme val="minor"/>
      </rPr>
      <t xml:space="preserve">5) </t>
    </r>
    <r>
      <rPr>
        <sz val="11"/>
        <color theme="1"/>
        <rFont val="Calibri"/>
        <family val="2"/>
        <scheme val="minor"/>
      </rPr>
      <t xml:space="preserve">In </t>
    </r>
    <r>
      <rPr>
        <b/>
        <sz val="11"/>
        <color theme="1"/>
        <rFont val="Calibri"/>
        <family val="2"/>
        <scheme val="minor"/>
      </rPr>
      <t>HK2</t>
    </r>
    <r>
      <rPr>
        <sz val="11"/>
        <color theme="1"/>
        <rFont val="Calibri"/>
        <family val="2"/>
        <scheme val="minor"/>
      </rPr>
      <t xml:space="preserve"> cells, </t>
    </r>
    <r>
      <rPr>
        <b/>
        <sz val="11"/>
        <color theme="1"/>
        <rFont val="Calibri"/>
        <family val="2"/>
        <scheme val="minor"/>
      </rPr>
      <t xml:space="preserve">cisplatin </t>
    </r>
    <r>
      <rPr>
        <sz val="11"/>
        <color theme="1"/>
        <rFont val="Calibri"/>
        <family val="2"/>
        <scheme val="minor"/>
      </rPr>
      <t xml:space="preserve">exposure decreased the </t>
    </r>
    <r>
      <rPr>
        <b/>
        <sz val="11"/>
        <color theme="1"/>
        <rFont val="Calibri"/>
        <family val="2"/>
        <scheme val="minor"/>
      </rPr>
      <t>MnSOD</t>
    </r>
    <r>
      <rPr>
        <sz val="11"/>
        <color theme="1"/>
        <rFont val="Calibri"/>
        <family val="2"/>
        <scheme val="minor"/>
      </rPr>
      <t xml:space="preserve"> and increased the expression of</t>
    </r>
    <r>
      <rPr>
        <b/>
        <sz val="11"/>
        <color theme="1"/>
        <rFont val="Calibri"/>
        <family val="2"/>
        <scheme val="minor"/>
      </rPr>
      <t xml:space="preserve"> p53 and p66shc</t>
    </r>
    <r>
      <rPr>
        <sz val="11"/>
        <color theme="1"/>
        <rFont val="Calibri"/>
        <family val="2"/>
        <scheme val="minor"/>
      </rPr>
      <t xml:space="preserve">. </t>
    </r>
    <r>
      <rPr>
        <b/>
        <sz val="11"/>
        <color theme="1"/>
        <rFont val="Calibri"/>
        <family val="2"/>
        <scheme val="minor"/>
      </rPr>
      <t>6)</t>
    </r>
    <r>
      <rPr>
        <sz val="11"/>
        <color theme="1"/>
        <rFont val="Calibri"/>
        <family val="2"/>
        <scheme val="minor"/>
      </rPr>
      <t xml:space="preserve"> MnTBAP, a MnSOD mimic, blocked cisplatin-induced the generation of mtROS and cell injury. </t>
    </r>
    <r>
      <rPr>
        <b/>
        <sz val="11"/>
        <color theme="1"/>
        <rFont val="Calibri"/>
        <family val="2"/>
        <scheme val="minor"/>
      </rPr>
      <t>7)</t>
    </r>
    <r>
      <rPr>
        <sz val="11"/>
        <color theme="1"/>
        <rFont val="Calibri"/>
        <family val="2"/>
        <scheme val="minor"/>
      </rPr>
      <t xml:space="preserve"> P66shc and p53 siRNAs rendered </t>
    </r>
    <r>
      <rPr>
        <b/>
        <sz val="11"/>
        <color theme="1"/>
        <rFont val="Calibri"/>
        <family val="2"/>
        <scheme val="minor"/>
      </rPr>
      <t>renal</t>
    </r>
    <r>
      <rPr>
        <sz val="11"/>
        <color theme="1"/>
        <rFont val="Calibri"/>
        <family val="2"/>
        <scheme val="minor"/>
      </rPr>
      <t xml:space="preserve"> cells resistant to cisplatin-induced </t>
    </r>
    <r>
      <rPr>
        <b/>
        <sz val="11"/>
        <color theme="1"/>
        <rFont val="Calibri"/>
        <family val="2"/>
        <scheme val="minor"/>
      </rPr>
      <t>mtROS</t>
    </r>
    <r>
      <rPr>
        <sz val="11"/>
        <color theme="1"/>
        <rFont val="Calibri"/>
        <family val="2"/>
        <scheme val="minor"/>
      </rPr>
      <t xml:space="preserve"> production and cell death.</t>
    </r>
    <r>
      <rPr>
        <b/>
        <sz val="11"/>
        <color theme="1"/>
        <rFont val="Calibri"/>
        <family val="2"/>
        <scheme val="minor"/>
      </rPr>
      <t xml:space="preserve"> 8) </t>
    </r>
    <r>
      <rPr>
        <sz val="11"/>
        <color theme="1"/>
        <rFont val="Calibri"/>
        <family val="2"/>
        <scheme val="minor"/>
      </rPr>
      <t>knockdown of p53 restored MnSOD and inhibiting p66shc.</t>
    </r>
  </si>
  <si>
    <r>
      <rPr>
        <b/>
        <sz val="11"/>
        <color theme="1"/>
        <rFont val="Calibri"/>
        <family val="2"/>
        <scheme val="minor"/>
      </rPr>
      <t>1) SHCBP1</t>
    </r>
    <r>
      <rPr>
        <sz val="11"/>
        <color theme="1"/>
        <rFont val="Calibri"/>
        <family val="2"/>
        <scheme val="minor"/>
      </rPr>
      <t xml:space="preserve"> was upregulated in </t>
    </r>
    <r>
      <rPr>
        <b/>
        <sz val="11"/>
        <color theme="1"/>
        <rFont val="Calibri"/>
        <family val="2"/>
        <scheme val="minor"/>
      </rPr>
      <t>lung</t>
    </r>
    <r>
      <rPr>
        <sz val="11"/>
        <color theme="1"/>
        <rFont val="Calibri"/>
        <family val="2"/>
        <scheme val="minor"/>
      </rPr>
      <t xml:space="preserve"> cancer tissues and cells, patients with high SHCBP1 had poor prognosis. </t>
    </r>
    <r>
      <rPr>
        <b/>
        <sz val="11"/>
        <color theme="1"/>
        <rFont val="Calibri"/>
        <family val="2"/>
        <scheme val="minor"/>
      </rPr>
      <t xml:space="preserve">2) </t>
    </r>
    <r>
      <rPr>
        <sz val="11"/>
        <color theme="1"/>
        <rFont val="Calibri"/>
        <family val="2"/>
        <scheme val="minor"/>
      </rPr>
      <t>SHCBP1 overexpression promoted </t>
    </r>
    <r>
      <rPr>
        <b/>
        <sz val="11"/>
        <color theme="1"/>
        <rFont val="Calibri"/>
        <family val="2"/>
        <scheme val="minor"/>
      </rPr>
      <t>cisplatin</t>
    </r>
    <r>
      <rPr>
        <sz val="11"/>
        <color theme="1"/>
        <rFont val="Calibri"/>
        <family val="2"/>
        <scheme val="minor"/>
      </rPr>
      <t> resistance, migration and invasion. </t>
    </r>
    <r>
      <rPr>
        <b/>
        <sz val="11"/>
        <color theme="1"/>
        <rFont val="Calibri"/>
        <family val="2"/>
        <scheme val="minor"/>
      </rPr>
      <t xml:space="preserve">3) </t>
    </r>
    <r>
      <rPr>
        <sz val="11"/>
        <color theme="1"/>
        <rFont val="Calibri"/>
        <family val="2"/>
        <scheme val="minor"/>
      </rPr>
      <t>SHCBP1 knockdown inhibited cisplatin resistance, migration and invasion. </t>
    </r>
    <r>
      <rPr>
        <b/>
        <sz val="11"/>
        <color theme="1"/>
        <rFont val="Calibri"/>
        <family val="2"/>
        <scheme val="minor"/>
      </rPr>
      <t>4)</t>
    </r>
    <r>
      <rPr>
        <sz val="11"/>
        <color theme="1"/>
        <rFont val="Calibri"/>
        <family val="2"/>
        <scheme val="minor"/>
      </rPr>
      <t xml:space="preserve"> SHCBP1 activated Wnt pathway, characterized by promoting β-catenin nuclear translocation. </t>
    </r>
    <r>
      <rPr>
        <b/>
        <sz val="11"/>
        <color theme="1"/>
        <rFont val="Calibri"/>
        <family val="2"/>
        <scheme val="minor"/>
      </rPr>
      <t>5)</t>
    </r>
    <r>
      <rPr>
        <sz val="11"/>
        <color theme="1"/>
        <rFont val="Calibri"/>
        <family val="2"/>
        <scheme val="minor"/>
      </rPr>
      <t xml:space="preserve"> Inhibition of Wnt pathway in SHCBP1 overexpression cells reversed the effect of SHCBP1 overexpression, confirming SHCBP1 promoted lung cancer progression through activating Wnt pathway. </t>
    </r>
    <r>
      <rPr>
        <b/>
        <sz val="11"/>
        <color theme="1"/>
        <rFont val="Calibri"/>
        <family val="2"/>
        <scheme val="minor"/>
      </rPr>
      <t xml:space="preserve">6) </t>
    </r>
    <r>
      <rPr>
        <sz val="11"/>
        <color theme="1"/>
        <rFont val="Calibri"/>
        <family val="2"/>
        <scheme val="minor"/>
      </rPr>
      <t>SHCBP1 expression was positively corrected with Wnt pathway activity in lung cancer samples. </t>
    </r>
  </si>
  <si>
    <r>
      <rPr>
        <b/>
        <sz val="11"/>
        <color theme="1"/>
        <rFont val="Calibri"/>
        <family val="2"/>
        <scheme val="minor"/>
      </rPr>
      <t>1) SIK2</t>
    </r>
    <r>
      <rPr>
        <sz val="11"/>
        <color theme="1"/>
        <rFont val="Calibri"/>
        <family val="2"/>
        <scheme val="minor"/>
      </rPr>
      <t xml:space="preserve"> was highly expressed in</t>
    </r>
    <r>
      <rPr>
        <b/>
        <sz val="11"/>
        <color theme="1"/>
        <rFont val="Calibri"/>
        <family val="2"/>
        <scheme val="minor"/>
      </rPr>
      <t xml:space="preserve"> breast</t>
    </r>
    <r>
      <rPr>
        <sz val="11"/>
        <color theme="1"/>
        <rFont val="Calibri"/>
        <family val="2"/>
        <scheme val="minor"/>
      </rPr>
      <t xml:space="preserve"> cancer tissues and cells compared with adjacent tissues and normal human breast epithelial cells, and it had higher diagnostic value for breast cancer. </t>
    </r>
    <r>
      <rPr>
        <b/>
        <sz val="11"/>
        <color theme="1"/>
        <rFont val="Calibri"/>
        <family val="2"/>
        <scheme val="minor"/>
      </rPr>
      <t xml:space="preserve">2) </t>
    </r>
    <r>
      <rPr>
        <sz val="11"/>
        <color theme="1"/>
        <rFont val="Calibri"/>
        <family val="2"/>
        <scheme val="minor"/>
      </rPr>
      <t xml:space="preserve">Silencing SIK2 expression can inhibit proliferation and invasion of breast cancer cells and induce their apoptosis. </t>
    </r>
    <r>
      <rPr>
        <b/>
        <sz val="11"/>
        <color theme="1"/>
        <rFont val="Calibri"/>
        <family val="2"/>
        <scheme val="minor"/>
      </rPr>
      <t xml:space="preserve">3) </t>
    </r>
    <r>
      <rPr>
        <sz val="11"/>
        <color theme="1"/>
        <rFont val="Calibri"/>
        <family val="2"/>
        <scheme val="minor"/>
      </rPr>
      <t xml:space="preserve">SIK2 knockdown inhibits glycolysis, reverses the resistance of drug-resistant cells to </t>
    </r>
    <r>
      <rPr>
        <b/>
        <sz val="11"/>
        <color theme="1"/>
        <rFont val="Calibri"/>
        <family val="2"/>
        <scheme val="minor"/>
      </rPr>
      <t>cisplatin</t>
    </r>
    <r>
      <rPr>
        <sz val="11"/>
        <color theme="1"/>
        <rFont val="Calibri"/>
        <family val="2"/>
        <scheme val="minor"/>
      </rPr>
      <t>, and inhibits</t>
    </r>
    <r>
      <rPr>
        <b/>
        <sz val="11"/>
        <color theme="1"/>
        <rFont val="Calibri"/>
        <family val="2"/>
        <scheme val="minor"/>
      </rPr>
      <t xml:space="preserve"> PI3K/AKT/mTOR</t>
    </r>
    <r>
      <rPr>
        <sz val="11"/>
        <color theme="1"/>
        <rFont val="Calibri"/>
        <family val="2"/>
        <scheme val="minor"/>
      </rPr>
      <t xml:space="preserve"> signaling pathway. </t>
    </r>
    <r>
      <rPr>
        <b/>
        <sz val="11"/>
        <color theme="1"/>
        <rFont val="Calibri"/>
        <family val="2"/>
        <scheme val="minor"/>
      </rPr>
      <t xml:space="preserve">4) </t>
    </r>
    <r>
      <rPr>
        <sz val="11"/>
        <color theme="1"/>
        <rFont val="Calibri"/>
        <family val="2"/>
        <scheme val="minor"/>
      </rPr>
      <t>When LY294002 was used to inhibit PI3K/AKT/mTOR signaling pathway, the effect of pcDNA3.1-SIK2 on aerobic glycolysis of breast cancer cells could be reversed.</t>
    </r>
  </si>
  <si>
    <r>
      <rPr>
        <b/>
        <sz val="11"/>
        <color theme="1"/>
        <rFont val="Calibri"/>
        <family val="2"/>
        <scheme val="minor"/>
      </rPr>
      <t xml:space="preserve">1) </t>
    </r>
    <r>
      <rPr>
        <sz val="11"/>
        <color theme="1"/>
        <rFont val="Calibri"/>
        <family val="2"/>
        <scheme val="minor"/>
      </rPr>
      <t xml:space="preserve">immunohistochemical expression of SIRT1 was significantly higher in endometrial carcinoma (108 cases) than in normal </t>
    </r>
    <r>
      <rPr>
        <b/>
        <sz val="11"/>
        <color theme="1"/>
        <rFont val="Calibri"/>
        <family val="2"/>
        <scheme val="minor"/>
      </rPr>
      <t>endometria</t>
    </r>
    <r>
      <rPr>
        <sz val="11"/>
        <color theme="1"/>
        <rFont val="Calibri"/>
        <family val="2"/>
        <scheme val="minor"/>
      </rPr>
      <t xml:space="preserve"> (60 cases) (P&lt;0.05), </t>
    </r>
    <r>
      <rPr>
        <b/>
        <sz val="11"/>
        <color theme="1"/>
        <rFont val="Calibri"/>
        <family val="2"/>
        <scheme val="minor"/>
      </rPr>
      <t>2)</t>
    </r>
    <r>
      <rPr>
        <sz val="11"/>
        <color theme="1"/>
        <rFont val="Calibri"/>
        <family val="2"/>
        <scheme val="minor"/>
      </rPr>
      <t xml:space="preserve"> its overexpression was associated with a shorter survival (P&lt;0.05). </t>
    </r>
    <r>
      <rPr>
        <b/>
        <sz val="11"/>
        <color theme="1"/>
        <rFont val="Calibri"/>
        <family val="2"/>
        <scheme val="minor"/>
      </rPr>
      <t xml:space="preserve">3) </t>
    </r>
    <r>
      <rPr>
        <sz val="11"/>
        <color theme="1"/>
        <rFont val="Calibri"/>
        <family val="2"/>
        <scheme val="minor"/>
      </rPr>
      <t xml:space="preserve">SIRT1 accelerated the proliferation of endometrial carcinoma cell lines (HHUA, HEC151, and HEC1B). </t>
    </r>
    <r>
      <rPr>
        <b/>
        <sz val="11"/>
        <color theme="1"/>
        <rFont val="Calibri"/>
        <family val="2"/>
        <scheme val="minor"/>
      </rPr>
      <t>4)</t>
    </r>
    <r>
      <rPr>
        <sz val="11"/>
        <color theme="1"/>
        <rFont val="Calibri"/>
        <family val="2"/>
        <scheme val="minor"/>
      </rPr>
      <t xml:space="preserve"> SIRT1 overexpression significantly enhanced the resistance for</t>
    </r>
    <r>
      <rPr>
        <b/>
        <sz val="11"/>
        <color theme="1"/>
        <rFont val="Calibri"/>
        <family val="2"/>
        <scheme val="minor"/>
      </rPr>
      <t xml:space="preserve"> cisplatin</t>
    </r>
    <r>
      <rPr>
        <sz val="11"/>
        <color theme="1"/>
        <rFont val="Calibri"/>
        <family val="2"/>
        <scheme val="minor"/>
      </rPr>
      <t xml:space="preserve"> and paclitaxel in HHUA cells. </t>
    </r>
    <r>
      <rPr>
        <b/>
        <sz val="11"/>
        <color theme="1"/>
        <rFont val="Calibri"/>
        <family val="2"/>
        <scheme val="minor"/>
      </rPr>
      <t xml:space="preserve">5) </t>
    </r>
    <r>
      <rPr>
        <sz val="11"/>
        <color theme="1"/>
        <rFont val="Calibri"/>
        <family val="2"/>
        <scheme val="minor"/>
      </rPr>
      <t xml:space="preserve">the selective SIRT1 inhibitor (EX527) significantly suppressed the proliferation and cisplatin resistance of three endometrial carcinoma cell lines regardless of the p53 mutation status. </t>
    </r>
    <r>
      <rPr>
        <b/>
        <sz val="11"/>
        <color theme="1"/>
        <rFont val="Calibri"/>
        <family val="2"/>
        <scheme val="minor"/>
      </rPr>
      <t xml:space="preserve">6) </t>
    </r>
    <r>
      <rPr>
        <sz val="11"/>
        <color theme="1"/>
        <rFont val="Calibri"/>
        <family val="2"/>
        <scheme val="minor"/>
      </rPr>
      <t xml:space="preserve">SIRT1 overexpression in HHUA cells accelerated tumor growth and cisplatin resistance in nude mice, </t>
    </r>
    <r>
      <rPr>
        <b/>
        <sz val="11"/>
        <color theme="1"/>
        <rFont val="Calibri"/>
        <family val="2"/>
        <scheme val="minor"/>
      </rPr>
      <t xml:space="preserve">7) </t>
    </r>
    <r>
      <rPr>
        <sz val="11"/>
        <color theme="1"/>
        <rFont val="Calibri"/>
        <family val="2"/>
        <scheme val="minor"/>
      </rPr>
      <t xml:space="preserve">EX527 significantly suppressed the growth of tumors of HHUA and HEC1B cells. </t>
    </r>
  </si>
  <si>
    <r>
      <rPr>
        <b/>
        <sz val="11"/>
        <color theme="1"/>
        <rFont val="Calibri"/>
        <family val="2"/>
        <scheme val="minor"/>
      </rPr>
      <t xml:space="preserve">1) </t>
    </r>
    <r>
      <rPr>
        <sz val="11"/>
        <color theme="1"/>
        <rFont val="Calibri"/>
        <family val="2"/>
        <scheme val="minor"/>
      </rPr>
      <t xml:space="preserve">When </t>
    </r>
    <r>
      <rPr>
        <b/>
        <sz val="11"/>
        <color theme="1"/>
        <rFont val="Calibri"/>
        <family val="2"/>
        <scheme val="minor"/>
      </rPr>
      <t>SIRT3</t>
    </r>
    <r>
      <rPr>
        <sz val="11"/>
        <color theme="1"/>
        <rFont val="Calibri"/>
        <family val="2"/>
        <scheme val="minor"/>
      </rPr>
      <t xml:space="preserve"> was silenced and combined with </t>
    </r>
    <r>
      <rPr>
        <b/>
        <sz val="11"/>
        <color theme="1"/>
        <rFont val="Calibri"/>
        <family val="2"/>
        <scheme val="minor"/>
      </rPr>
      <t>CDDP</t>
    </r>
    <r>
      <rPr>
        <sz val="11"/>
        <color theme="1"/>
        <rFont val="Calibri"/>
        <family val="2"/>
        <scheme val="minor"/>
      </rPr>
      <t xml:space="preserve"> treatments, cell viability was highly decreased, and was accompanied by a significant increase in </t>
    </r>
    <r>
      <rPr>
        <b/>
        <sz val="11"/>
        <color theme="1"/>
        <rFont val="Calibri"/>
        <family val="2"/>
        <scheme val="minor"/>
      </rPr>
      <t>ROS</t>
    </r>
    <r>
      <rPr>
        <sz val="11"/>
        <color theme="1"/>
        <rFont val="Calibri"/>
        <family val="2"/>
        <scheme val="minor"/>
      </rPr>
      <t xml:space="preserve"> production. </t>
    </r>
    <r>
      <rPr>
        <b/>
        <sz val="11"/>
        <color theme="1"/>
        <rFont val="Calibri"/>
        <family val="2"/>
        <scheme val="minor"/>
      </rPr>
      <t xml:space="preserve">2) </t>
    </r>
    <r>
      <rPr>
        <sz val="11"/>
        <color theme="1"/>
        <rFont val="Calibri"/>
        <family val="2"/>
        <scheme val="minor"/>
      </rPr>
      <t xml:space="preserve">SIRT3 knockdown also affected </t>
    </r>
    <r>
      <rPr>
        <b/>
        <sz val="11"/>
        <color theme="1"/>
        <rFont val="Calibri"/>
        <family val="2"/>
        <scheme val="minor"/>
      </rPr>
      <t>PGC-1α and TFAM</t>
    </r>
    <r>
      <rPr>
        <sz val="11"/>
        <color theme="1"/>
        <rFont val="Calibri"/>
        <family val="2"/>
        <scheme val="minor"/>
      </rPr>
      <t xml:space="preserve"> (mitochondrial biogenesis), and </t>
    </r>
    <r>
      <rPr>
        <b/>
        <sz val="11"/>
        <color theme="1"/>
        <rFont val="Calibri"/>
        <family val="2"/>
        <scheme val="minor"/>
      </rPr>
      <t>MnSOD</t>
    </r>
    <r>
      <rPr>
        <sz val="11"/>
        <color theme="1"/>
        <rFont val="Calibri"/>
        <family val="2"/>
        <scheme val="minor"/>
      </rPr>
      <t xml:space="preserve"> and </t>
    </r>
    <r>
      <rPr>
        <b/>
        <sz val="11"/>
        <color theme="1"/>
        <rFont val="Calibri"/>
        <family val="2"/>
        <scheme val="minor"/>
      </rPr>
      <t>IDH2</t>
    </r>
    <r>
      <rPr>
        <sz val="11"/>
        <color theme="1"/>
        <rFont val="Calibri"/>
        <family val="2"/>
        <scheme val="minor"/>
      </rPr>
      <t xml:space="preserve"> (antioxidant defenses) protein levels. </t>
    </r>
    <r>
      <rPr>
        <b/>
        <sz val="11"/>
        <color theme="1"/>
        <rFont val="Calibri"/>
        <family val="2"/>
        <scheme val="minor"/>
      </rPr>
      <t xml:space="preserve">3) </t>
    </r>
    <r>
      <rPr>
        <sz val="11"/>
        <color theme="1"/>
        <rFont val="Calibri"/>
        <family val="2"/>
        <scheme val="minor"/>
      </rPr>
      <t>survival curves showed that higher SIRT3 expression is correlated to a poorer prognosis for patients with grade 3 breast cancer.</t>
    </r>
  </si>
  <si>
    <r>
      <rPr>
        <b/>
        <sz val="11"/>
        <color theme="1"/>
        <rFont val="Calibri"/>
        <family val="2"/>
        <scheme val="minor"/>
      </rPr>
      <t>1)</t>
    </r>
    <r>
      <rPr>
        <sz val="11"/>
        <color theme="1"/>
        <rFont val="Calibri"/>
        <family val="2"/>
        <scheme val="minor"/>
      </rPr>
      <t> SIX1 was aberrantly expressed in Esophageal squamous cell carcinoma (ESCCs). </t>
    </r>
    <r>
      <rPr>
        <b/>
        <sz val="11"/>
        <color theme="1"/>
        <rFont val="Calibri"/>
        <family val="2"/>
        <scheme val="minor"/>
      </rPr>
      <t>2)</t>
    </r>
    <r>
      <rPr>
        <sz val="11"/>
        <color theme="1"/>
        <rFont val="Calibri"/>
        <family val="2"/>
        <scheme val="minor"/>
      </rPr>
      <t xml:space="preserve"> SIX1 cDNAtransfection induced overexpression of transforming growth factors (TGFB1 and TGFB2) and its receptor (TGFBR2). </t>
    </r>
    <r>
      <rPr>
        <b/>
        <sz val="11"/>
        <color theme="1"/>
        <rFont val="Calibri"/>
        <family val="2"/>
        <scheme val="minor"/>
      </rPr>
      <t xml:space="preserve">3) </t>
    </r>
    <r>
      <rPr>
        <sz val="11"/>
        <color theme="1"/>
        <rFont val="Calibri"/>
        <family val="2"/>
        <scheme val="minor"/>
      </rPr>
      <t xml:space="preserve">the SIX1‐transfectants highly expressed tumor basal cell markers such as NGFR,SOX2,ALDH1A1, and PDPN. </t>
    </r>
    <r>
      <rPr>
        <b/>
        <sz val="11"/>
        <color theme="1"/>
        <rFont val="Calibri"/>
        <family val="2"/>
        <scheme val="minor"/>
      </rPr>
      <t>4)</t>
    </r>
    <r>
      <rPr>
        <sz val="11"/>
        <color theme="1"/>
        <rFont val="Calibri"/>
        <family val="2"/>
        <scheme val="minor"/>
      </rPr>
      <t xml:space="preserve"> In two sets of 42 and 85 ESCCpatients receiving surgery alone or </t>
    </r>
    <r>
      <rPr>
        <b/>
        <sz val="11"/>
        <color theme="1"/>
        <rFont val="Calibri"/>
        <family val="2"/>
        <scheme val="minor"/>
      </rPr>
      <t xml:space="preserve">neoadjuvant chemoradiotherapy </t>
    </r>
    <r>
      <rPr>
        <sz val="11"/>
        <color theme="1"/>
        <rFont val="Calibri"/>
        <family val="2"/>
        <scheme val="minor"/>
      </rPr>
      <t>followed by surgery, the cases with</t>
    </r>
    <r>
      <rPr>
        <b/>
        <sz val="11"/>
        <color theme="1"/>
        <rFont val="Calibri"/>
        <family val="2"/>
        <scheme val="minor"/>
      </rPr>
      <t xml:space="preserve"> high </t>
    </r>
    <r>
      <rPr>
        <sz val="11"/>
        <color theme="1"/>
        <rFont val="Calibri"/>
        <family val="2"/>
        <scheme val="minor"/>
      </rPr>
      <t xml:space="preserve">SIX1 mRNA and protein expression level significantly showed a </t>
    </r>
    <r>
      <rPr>
        <b/>
        <sz val="11"/>
        <color theme="1"/>
        <rFont val="Calibri"/>
        <family val="2"/>
        <scheme val="minor"/>
      </rPr>
      <t>poor</t>
    </r>
    <r>
      <rPr>
        <sz val="11"/>
        <color theme="1"/>
        <rFont val="Calibri"/>
        <family val="2"/>
        <scheme val="minor"/>
      </rPr>
      <t xml:space="preserve"> prognosis. </t>
    </r>
    <r>
      <rPr>
        <b/>
        <sz val="11"/>
        <color theme="1"/>
        <rFont val="Calibri"/>
        <family val="2"/>
        <scheme val="minor"/>
      </rPr>
      <t>5)</t>
    </r>
    <r>
      <rPr>
        <sz val="11"/>
        <color theme="1"/>
        <rFont val="Calibri"/>
        <family val="2"/>
        <scheme val="minor"/>
      </rPr>
      <t xml:space="preserve"> miR-488 downregulated cell survival and increased apoptosis rate when treated with cisplatin and paclitaxel: Six1 is a target of miR-488. </t>
    </r>
    <r>
      <rPr>
        <b/>
        <sz val="11"/>
        <color theme="1"/>
        <rFont val="Calibri"/>
        <family val="2"/>
        <scheme val="minor"/>
      </rPr>
      <t>6)</t>
    </r>
    <r>
      <rPr>
        <sz val="11"/>
        <color theme="1"/>
        <rFont val="Calibri"/>
        <family val="2"/>
        <scheme val="minor"/>
      </rPr>
      <t xml:space="preserve"> a negative association between Six1 and miR-488 in ovarian cancer tissues. </t>
    </r>
    <r>
      <rPr>
        <b/>
        <sz val="11"/>
        <color theme="1"/>
        <rFont val="Calibri"/>
        <family val="2"/>
        <scheme val="minor"/>
      </rPr>
      <t xml:space="preserve">7) </t>
    </r>
    <r>
      <rPr>
        <sz val="11"/>
        <color theme="1"/>
        <rFont val="Calibri"/>
        <family val="2"/>
        <scheme val="minor"/>
      </rPr>
      <t xml:space="preserve">Six1 plasmid reversed the effects of miR-488 on chemoresistance and apoptosis. </t>
    </r>
  </si>
  <si>
    <r>
      <rPr>
        <b/>
        <sz val="11"/>
        <color theme="1"/>
        <rFont val="Calibri"/>
        <family val="2"/>
        <scheme val="minor"/>
      </rPr>
      <t>1)</t>
    </r>
    <r>
      <rPr>
        <sz val="11"/>
        <color theme="1"/>
        <rFont val="Calibri"/>
        <family val="2"/>
        <scheme val="minor"/>
      </rPr>
      <t xml:space="preserve"> In platinum-sensitive </t>
    </r>
    <r>
      <rPr>
        <b/>
        <sz val="11"/>
        <color theme="1"/>
        <rFont val="Calibri"/>
        <family val="2"/>
        <scheme val="minor"/>
      </rPr>
      <t>ovarian</t>
    </r>
    <r>
      <rPr>
        <sz val="11"/>
        <color theme="1"/>
        <rFont val="Calibri"/>
        <family val="2"/>
        <scheme val="minor"/>
      </rPr>
      <t xml:space="preserve"> cancer cell lines the metabolism of both,</t>
    </r>
    <r>
      <rPr>
        <b/>
        <sz val="11"/>
        <color theme="1"/>
        <rFont val="Calibri"/>
        <family val="2"/>
        <scheme val="minor"/>
      </rPr>
      <t xml:space="preserve"> glucose and glutamine</t>
    </r>
    <r>
      <rPr>
        <sz val="11"/>
        <color theme="1"/>
        <rFont val="Calibri"/>
        <family val="2"/>
        <scheme val="minor"/>
      </rPr>
      <t xml:space="preserve"> was initially up-regulated in response to platinum treatment.</t>
    </r>
    <r>
      <rPr>
        <b/>
        <sz val="11"/>
        <color theme="1"/>
        <rFont val="Calibri"/>
        <family val="2"/>
        <scheme val="minor"/>
      </rPr>
      <t xml:space="preserve"> 2)</t>
    </r>
    <r>
      <rPr>
        <sz val="11"/>
        <color theme="1"/>
        <rFont val="Calibri"/>
        <family val="2"/>
        <scheme val="minor"/>
      </rPr>
      <t xml:space="preserve"> platinum-</t>
    </r>
    <r>
      <rPr>
        <b/>
        <sz val="11"/>
        <color theme="1"/>
        <rFont val="Calibri"/>
        <family val="2"/>
        <scheme val="minor"/>
      </rPr>
      <t>resistant</t>
    </r>
    <r>
      <rPr>
        <sz val="11"/>
        <color theme="1"/>
        <rFont val="Calibri"/>
        <family val="2"/>
        <scheme val="minor"/>
      </rPr>
      <t xml:space="preserve"> cells revealed a significant dependency on the presence of</t>
    </r>
    <r>
      <rPr>
        <b/>
        <sz val="11"/>
        <color theme="1"/>
        <rFont val="Calibri"/>
        <family val="2"/>
        <scheme val="minor"/>
      </rPr>
      <t xml:space="preserve"> glutamine</t>
    </r>
    <r>
      <rPr>
        <sz val="11"/>
        <color theme="1"/>
        <rFont val="Calibri"/>
        <family val="2"/>
        <scheme val="minor"/>
      </rPr>
      <t xml:space="preserve">, </t>
    </r>
    <r>
      <rPr>
        <b/>
        <sz val="11"/>
        <color theme="1"/>
        <rFont val="Calibri"/>
        <family val="2"/>
        <scheme val="minor"/>
      </rPr>
      <t>3)</t>
    </r>
    <r>
      <rPr>
        <sz val="11"/>
        <color theme="1"/>
        <rFont val="Calibri"/>
        <family val="2"/>
        <scheme val="minor"/>
      </rPr>
      <t xml:space="preserve"> with an upregulated expression of glutamine transporter </t>
    </r>
    <r>
      <rPr>
        <b/>
        <sz val="11"/>
        <color theme="1"/>
        <rFont val="Calibri"/>
        <family val="2"/>
        <scheme val="minor"/>
      </rPr>
      <t>ASCT2</t>
    </r>
    <r>
      <rPr>
        <sz val="11"/>
        <color theme="1"/>
        <rFont val="Calibri"/>
        <family val="2"/>
        <scheme val="minor"/>
      </rPr>
      <t xml:space="preserve"> and glutaminase. </t>
    </r>
    <r>
      <rPr>
        <b/>
        <sz val="11"/>
        <color theme="1"/>
        <rFont val="Calibri"/>
        <family val="2"/>
        <scheme val="minor"/>
      </rPr>
      <t>4)</t>
    </r>
    <r>
      <rPr>
        <sz val="11"/>
        <color theme="1"/>
        <rFont val="Calibri"/>
        <family val="2"/>
        <scheme val="minor"/>
      </rPr>
      <t xml:space="preserve"> This resulted in a higher oxygen consumption rate compared to platinum-sensitive cell lines reflecting the increased dependency of glutamine utilization through the tricarboxylic acid cycle.</t>
    </r>
  </si>
  <si>
    <r>
      <rPr>
        <b/>
        <sz val="11"/>
        <color theme="1"/>
        <rFont val="Calibri"/>
        <family val="2"/>
        <scheme val="minor"/>
      </rPr>
      <t>1) cisplatin</t>
    </r>
    <r>
      <rPr>
        <sz val="11"/>
        <color theme="1"/>
        <rFont val="Calibri"/>
        <family val="2"/>
        <scheme val="minor"/>
      </rPr>
      <t xml:space="preserve"> is a relatively good substrate of </t>
    </r>
    <r>
      <rPr>
        <b/>
        <sz val="11"/>
        <color theme="1"/>
        <rFont val="Calibri"/>
        <family val="2"/>
        <scheme val="minor"/>
      </rPr>
      <t>hOCT1, hOCT2</t>
    </r>
    <r>
      <rPr>
        <sz val="11"/>
        <color theme="1"/>
        <rFont val="Calibri"/>
        <family val="2"/>
        <scheme val="minor"/>
      </rPr>
      <t xml:space="preserve">, and </t>
    </r>
    <r>
      <rPr>
        <b/>
        <sz val="11"/>
        <color theme="1"/>
        <rFont val="Calibri"/>
        <family val="2"/>
        <scheme val="minor"/>
      </rPr>
      <t>hMATE1</t>
    </r>
    <r>
      <rPr>
        <sz val="11"/>
        <color theme="1"/>
        <rFont val="Calibri"/>
        <family val="2"/>
        <scheme val="minor"/>
      </rPr>
      <t xml:space="preserve">, and </t>
    </r>
    <r>
      <rPr>
        <b/>
        <sz val="11"/>
        <color theme="1"/>
        <rFont val="Calibri"/>
        <family val="2"/>
        <scheme val="minor"/>
      </rPr>
      <t>oxaliplatin</t>
    </r>
    <r>
      <rPr>
        <sz val="11"/>
        <color theme="1"/>
        <rFont val="Calibri"/>
        <family val="2"/>
        <scheme val="minor"/>
      </rPr>
      <t xml:space="preserve"> is of </t>
    </r>
    <r>
      <rPr>
        <b/>
        <sz val="11"/>
        <color theme="1"/>
        <rFont val="Calibri"/>
        <family val="2"/>
        <scheme val="minor"/>
      </rPr>
      <t>hOCT2, hOCT3, hMATE1</t>
    </r>
    <r>
      <rPr>
        <sz val="11"/>
        <color theme="1"/>
        <rFont val="Calibri"/>
        <family val="2"/>
        <scheme val="minor"/>
      </rPr>
      <t xml:space="preserve">, and </t>
    </r>
    <r>
      <rPr>
        <b/>
        <sz val="11"/>
        <color theme="1"/>
        <rFont val="Calibri"/>
        <family val="2"/>
        <scheme val="minor"/>
      </rPr>
      <t>hMATE2-K</t>
    </r>
    <r>
      <rPr>
        <sz val="11"/>
        <color theme="1"/>
        <rFont val="Calibri"/>
        <family val="2"/>
        <scheme val="minor"/>
      </rPr>
      <t xml:space="preserve">. </t>
    </r>
    <r>
      <rPr>
        <b/>
        <sz val="11"/>
        <color theme="1"/>
        <rFont val="Calibri"/>
        <family val="2"/>
        <scheme val="minor"/>
      </rPr>
      <t>2) OCT1</t>
    </r>
    <r>
      <rPr>
        <sz val="11"/>
        <color theme="1"/>
        <rFont val="Calibri"/>
        <family val="2"/>
        <scheme val="minor"/>
      </rPr>
      <t xml:space="preserve"> silencing impaired </t>
    </r>
    <r>
      <rPr>
        <b/>
        <sz val="11"/>
        <color theme="1"/>
        <rFont val="Calibri"/>
        <family val="2"/>
        <scheme val="minor"/>
      </rPr>
      <t>cisplatin</t>
    </r>
    <r>
      <rPr>
        <sz val="11"/>
        <color theme="1"/>
        <rFont val="Calibri"/>
        <family val="2"/>
        <scheme val="minor"/>
      </rPr>
      <t xml:space="preserve">-mediated apoptosis of </t>
    </r>
    <r>
      <rPr>
        <b/>
        <sz val="11"/>
        <color theme="1"/>
        <rFont val="Calibri"/>
        <family val="2"/>
        <scheme val="minor"/>
      </rPr>
      <t xml:space="preserve">esophageal </t>
    </r>
    <r>
      <rPr>
        <sz val="11"/>
        <color theme="1"/>
        <rFont val="Calibri"/>
        <family val="2"/>
        <scheme val="minor"/>
      </rPr>
      <t xml:space="preserve">cancer cells. </t>
    </r>
    <r>
      <rPr>
        <b/>
        <sz val="11"/>
        <color theme="1"/>
        <rFont val="Calibri"/>
        <family val="2"/>
        <scheme val="minor"/>
      </rPr>
      <t>2)</t>
    </r>
    <r>
      <rPr>
        <sz val="11"/>
        <color theme="1"/>
        <rFont val="Calibri"/>
        <family val="2"/>
        <scheme val="minor"/>
      </rPr>
      <t xml:space="preserve"> The level of </t>
    </r>
    <r>
      <rPr>
        <b/>
        <sz val="11"/>
        <color theme="1"/>
        <rFont val="Calibri"/>
        <family val="2"/>
        <scheme val="minor"/>
      </rPr>
      <t>OCT1</t>
    </r>
    <r>
      <rPr>
        <sz val="11"/>
        <color theme="1"/>
        <rFont val="Calibri"/>
        <family val="2"/>
        <scheme val="minor"/>
      </rPr>
      <t xml:space="preserve"> mRNA in cisplatin-resistant cells was markedly reduced compared with parental cells. Promoter methylation of OCT1 was induced in cisplatin-resistant cells.</t>
    </r>
  </si>
  <si>
    <r>
      <t xml:space="preserve">Mediates the influx of agmatine, dopamine, noradrenaline, serotonin, choline, famotidine, ranitidine, histamine, creatinine, amantadine, memantine, acriflavine, amiloride, metformin, NMN, TEA, MPP, cimetidine, </t>
    </r>
    <r>
      <rPr>
        <b/>
        <sz val="11"/>
        <color theme="1"/>
        <rFont val="Calibri"/>
        <family val="2"/>
        <scheme val="minor"/>
      </rPr>
      <t>cisplatin</t>
    </r>
    <r>
      <rPr>
        <sz val="11"/>
        <color theme="1"/>
        <rFont val="Calibri"/>
        <family val="2"/>
        <scheme val="minor"/>
      </rPr>
      <t xml:space="preserve"> and </t>
    </r>
    <r>
      <rPr>
        <b/>
        <sz val="11"/>
        <color theme="1"/>
        <rFont val="Calibri"/>
        <family val="2"/>
        <scheme val="minor"/>
      </rPr>
      <t>oxaliplatin</t>
    </r>
    <r>
      <rPr>
        <sz val="11"/>
        <color theme="1"/>
        <rFont val="Calibri"/>
        <family val="2"/>
        <scheme val="minor"/>
      </rPr>
      <t>.</t>
    </r>
  </si>
  <si>
    <r>
      <rPr>
        <b/>
        <sz val="11"/>
        <color theme="1"/>
        <rFont val="Calibri"/>
        <family val="2"/>
        <scheme val="minor"/>
      </rPr>
      <t>1)</t>
    </r>
    <r>
      <rPr>
        <sz val="11"/>
        <color theme="1"/>
        <rFont val="Calibri"/>
        <family val="2"/>
        <scheme val="minor"/>
      </rPr>
      <t xml:space="preserve"> </t>
    </r>
    <r>
      <rPr>
        <b/>
        <sz val="11"/>
        <color theme="1"/>
        <rFont val="Calibri"/>
        <family val="2"/>
        <scheme val="minor"/>
      </rPr>
      <t>cisplatin</t>
    </r>
    <r>
      <rPr>
        <sz val="11"/>
        <color theme="1"/>
        <rFont val="Calibri"/>
        <family val="2"/>
        <scheme val="minor"/>
      </rPr>
      <t xml:space="preserve"> is a relatively good substrate of </t>
    </r>
    <r>
      <rPr>
        <b/>
        <sz val="11"/>
        <color theme="1"/>
        <rFont val="Calibri"/>
        <family val="2"/>
        <scheme val="minor"/>
      </rPr>
      <t>hOCT1, hOCT2</t>
    </r>
    <r>
      <rPr>
        <sz val="11"/>
        <color theme="1"/>
        <rFont val="Calibri"/>
        <family val="2"/>
        <scheme val="minor"/>
      </rPr>
      <t xml:space="preserve">, and </t>
    </r>
    <r>
      <rPr>
        <b/>
        <sz val="11"/>
        <color theme="1"/>
        <rFont val="Calibri"/>
        <family val="2"/>
        <scheme val="minor"/>
      </rPr>
      <t>hMATE1</t>
    </r>
    <r>
      <rPr>
        <sz val="11"/>
        <color theme="1"/>
        <rFont val="Calibri"/>
        <family val="2"/>
        <scheme val="minor"/>
      </rPr>
      <t xml:space="preserve">, and oxaliplatin is of </t>
    </r>
    <r>
      <rPr>
        <b/>
        <sz val="11"/>
        <color theme="1"/>
        <rFont val="Calibri"/>
        <family val="2"/>
        <scheme val="minor"/>
      </rPr>
      <t>hOCT2, hOCT3</t>
    </r>
    <r>
      <rPr>
        <sz val="11"/>
        <color theme="1"/>
        <rFont val="Calibri"/>
        <family val="2"/>
        <scheme val="minor"/>
      </rPr>
      <t xml:space="preserve">, </t>
    </r>
    <r>
      <rPr>
        <b/>
        <sz val="11"/>
        <color theme="1"/>
        <rFont val="Calibri"/>
        <family val="2"/>
        <scheme val="minor"/>
      </rPr>
      <t>hMATE1</t>
    </r>
    <r>
      <rPr>
        <sz val="11"/>
        <color theme="1"/>
        <rFont val="Calibri"/>
        <family val="2"/>
        <scheme val="minor"/>
      </rPr>
      <t xml:space="preserve">, and </t>
    </r>
    <r>
      <rPr>
        <b/>
        <sz val="11"/>
        <color theme="1"/>
        <rFont val="Calibri"/>
        <family val="2"/>
        <scheme val="minor"/>
      </rPr>
      <t>hMATE2-K</t>
    </r>
    <r>
      <rPr>
        <sz val="11"/>
        <color theme="1"/>
        <rFont val="Calibri"/>
        <family val="2"/>
        <scheme val="minor"/>
      </rPr>
      <t xml:space="preserve">. </t>
    </r>
    <r>
      <rPr>
        <b/>
        <sz val="11"/>
        <color theme="1"/>
        <rFont val="Calibri"/>
        <family val="2"/>
        <scheme val="minor"/>
      </rPr>
      <t>2)</t>
    </r>
    <r>
      <rPr>
        <sz val="11"/>
        <color theme="1"/>
        <rFont val="Calibri"/>
        <family val="2"/>
        <scheme val="minor"/>
      </rPr>
      <t xml:space="preserve"> </t>
    </r>
    <r>
      <rPr>
        <b/>
        <sz val="11"/>
        <color theme="1"/>
        <rFont val="Calibri"/>
        <family val="2"/>
        <scheme val="minor"/>
      </rPr>
      <t>Oxaliplatin</t>
    </r>
    <r>
      <rPr>
        <sz val="11"/>
        <color theme="1"/>
        <rFont val="Calibri"/>
        <family val="2"/>
        <scheme val="minor"/>
      </rPr>
      <t xml:space="preserve"> accumulation was related to </t>
    </r>
    <r>
      <rPr>
        <b/>
        <sz val="11"/>
        <color theme="1"/>
        <rFont val="Calibri"/>
        <family val="2"/>
        <scheme val="minor"/>
      </rPr>
      <t>hCTR1</t>
    </r>
    <r>
      <rPr>
        <sz val="11"/>
        <color theme="1"/>
        <rFont val="Calibri"/>
        <family val="2"/>
        <scheme val="minor"/>
      </rPr>
      <t xml:space="preserve"> and, at low concentration, </t>
    </r>
    <r>
      <rPr>
        <b/>
        <sz val="11"/>
        <color theme="1"/>
        <rFont val="Calibri"/>
        <family val="2"/>
        <scheme val="minor"/>
      </rPr>
      <t>ATP7A</t>
    </r>
    <r>
      <rPr>
        <sz val="11"/>
        <color theme="1"/>
        <rFont val="Calibri"/>
        <family val="2"/>
        <scheme val="minor"/>
      </rPr>
      <t xml:space="preserve"> to DNA adducts formation while the retention was related to </t>
    </r>
    <r>
      <rPr>
        <b/>
        <sz val="11"/>
        <color theme="1"/>
        <rFont val="Calibri"/>
        <family val="2"/>
        <scheme val="minor"/>
      </rPr>
      <t>hCTR1, OCT2</t>
    </r>
    <r>
      <rPr>
        <sz val="11"/>
        <color theme="1"/>
        <rFont val="Calibri"/>
        <family val="2"/>
        <scheme val="minor"/>
      </rPr>
      <t xml:space="preserve"> and </t>
    </r>
    <r>
      <rPr>
        <b/>
        <sz val="11"/>
        <color theme="1"/>
        <rFont val="Calibri"/>
        <family val="2"/>
        <scheme val="minor"/>
      </rPr>
      <t>ATP7B</t>
    </r>
    <r>
      <rPr>
        <sz val="11"/>
        <color theme="1"/>
        <rFont val="Calibri"/>
        <family val="2"/>
        <scheme val="minor"/>
      </rPr>
      <t xml:space="preserve">. </t>
    </r>
    <r>
      <rPr>
        <b/>
        <sz val="11"/>
        <color theme="1"/>
        <rFont val="Calibri"/>
        <family val="2"/>
        <scheme val="minor"/>
      </rPr>
      <t xml:space="preserve">3) </t>
    </r>
    <r>
      <rPr>
        <sz val="11"/>
        <color theme="1"/>
        <rFont val="Calibri"/>
        <family val="2"/>
        <scheme val="minor"/>
      </rPr>
      <t xml:space="preserve">The main polymorphisms on transporters </t>
    </r>
    <r>
      <rPr>
        <b/>
        <sz val="11"/>
        <color theme="1"/>
        <rFont val="Calibri"/>
        <family val="2"/>
        <scheme val="minor"/>
      </rPr>
      <t>OCT2, LRP, AQP2, AQP9</t>
    </r>
    <r>
      <rPr>
        <sz val="11"/>
        <color theme="1"/>
        <rFont val="Calibri"/>
        <family val="2"/>
        <scheme val="minor"/>
      </rPr>
      <t xml:space="preserve"> and </t>
    </r>
    <r>
      <rPr>
        <b/>
        <sz val="11"/>
        <color theme="1"/>
        <rFont val="Calibri"/>
        <family val="2"/>
        <scheme val="minor"/>
      </rPr>
      <t>TMEM205</t>
    </r>
    <r>
      <rPr>
        <sz val="11"/>
        <color theme="1"/>
        <rFont val="Calibri"/>
        <family val="2"/>
        <scheme val="minor"/>
      </rPr>
      <t xml:space="preserve"> genes were genotyped in 338 </t>
    </r>
    <r>
      <rPr>
        <b/>
        <sz val="11"/>
        <color theme="1"/>
        <rFont val="Calibri"/>
        <family val="2"/>
        <scheme val="minor"/>
      </rPr>
      <t>lung</t>
    </r>
    <r>
      <rPr>
        <sz val="11"/>
        <color theme="1"/>
        <rFont val="Calibri"/>
        <family val="2"/>
        <scheme val="minor"/>
      </rPr>
      <t xml:space="preserve"> cancer patients. The rs195854 in genotypic model, rs896412 in genotypic and recessive models for all subjects showed significant association with chemotherapy response. In stratification analysis, TMEM205 rs896412, </t>
    </r>
    <r>
      <rPr>
        <b/>
        <sz val="11"/>
        <color theme="1"/>
        <rFont val="Calibri"/>
        <family val="2"/>
        <scheme val="minor"/>
      </rPr>
      <t>OCT2 rs1869641</t>
    </r>
    <r>
      <rPr>
        <sz val="11"/>
        <color theme="1"/>
        <rFont val="Calibri"/>
        <family val="2"/>
        <scheme val="minor"/>
      </rPr>
      <t xml:space="preserve"> and rs195854, AQP9 rs1516400 and AQP2 rs7314734 showed significant relation to chemotherapy response. </t>
    </r>
  </si>
  <si>
    <r>
      <rPr>
        <b/>
        <sz val="11"/>
        <color theme="1"/>
        <rFont val="Calibri"/>
        <family val="2"/>
        <scheme val="minor"/>
      </rPr>
      <t>1) cisplatin</t>
    </r>
    <r>
      <rPr>
        <sz val="11"/>
        <color theme="1"/>
        <rFont val="Calibri"/>
        <family val="2"/>
        <scheme val="minor"/>
      </rPr>
      <t xml:space="preserve"> is a relatively good substrate of hOCT1, hOCT2, and hMATE1, and oxaliplatin is of hOCT2, hOCT3, hMATE1, and hMATE2-K. </t>
    </r>
    <r>
      <rPr>
        <b/>
        <sz val="11"/>
        <color theme="1"/>
        <rFont val="Calibri"/>
        <family val="2"/>
        <scheme val="minor"/>
      </rPr>
      <t>2) Cisplatin</t>
    </r>
    <r>
      <rPr>
        <sz val="11"/>
        <color theme="1"/>
        <rFont val="Calibri"/>
        <family val="2"/>
        <scheme val="minor"/>
      </rPr>
      <t xml:space="preserve"> resistant </t>
    </r>
    <r>
      <rPr>
        <b/>
        <sz val="11"/>
        <color theme="1"/>
        <rFont val="Calibri"/>
        <family val="2"/>
        <scheme val="minor"/>
      </rPr>
      <t>hepatoma</t>
    </r>
    <r>
      <rPr>
        <sz val="11"/>
        <color theme="1"/>
        <rFont val="Calibri"/>
        <family val="2"/>
        <scheme val="minor"/>
      </rPr>
      <t xml:space="preserve"> cells showed a stably reduced </t>
    </r>
    <r>
      <rPr>
        <b/>
        <sz val="11"/>
        <color theme="1"/>
        <rFont val="Calibri"/>
        <family val="2"/>
        <scheme val="minor"/>
      </rPr>
      <t>cisplatin</t>
    </r>
    <r>
      <rPr>
        <sz val="11"/>
        <color theme="1"/>
        <rFont val="Calibri"/>
        <family val="2"/>
        <scheme val="minor"/>
      </rPr>
      <t xml:space="preserve"> accumulation and a downregulation of </t>
    </r>
    <r>
      <rPr>
        <b/>
        <sz val="11"/>
        <color theme="1"/>
        <rFont val="Calibri"/>
        <family val="2"/>
        <scheme val="minor"/>
      </rPr>
      <t>OCT3</t>
    </r>
    <r>
      <rPr>
        <sz val="11"/>
        <color theme="1"/>
        <rFont val="Calibri"/>
        <family val="2"/>
        <scheme val="minor"/>
      </rPr>
      <t xml:space="preserve">. In contrast, </t>
    </r>
    <r>
      <rPr>
        <b/>
        <sz val="11"/>
        <color theme="1"/>
        <rFont val="Calibri"/>
        <family val="2"/>
        <scheme val="minor"/>
      </rPr>
      <t>OCT3</t>
    </r>
    <r>
      <rPr>
        <sz val="11"/>
        <color theme="1"/>
        <rFont val="Calibri"/>
        <family val="2"/>
        <scheme val="minor"/>
      </rPr>
      <t xml:space="preserve"> overexpression could reverse resistance.  </t>
    </r>
  </si>
  <si>
    <r>
      <rPr>
        <b/>
        <sz val="11"/>
        <color theme="1"/>
        <rFont val="Calibri"/>
        <family val="2"/>
        <scheme val="minor"/>
      </rPr>
      <t>1) SLC25A1 (CIC)</t>
    </r>
    <r>
      <rPr>
        <sz val="11"/>
        <color theme="1"/>
        <rFont val="Calibri"/>
        <family val="2"/>
        <scheme val="minor"/>
      </rPr>
      <t xml:space="preserve"> promotes tumorigenesis, while its inhibition blunts tumor growth. </t>
    </r>
    <r>
      <rPr>
        <b/>
        <sz val="11"/>
        <color theme="1"/>
        <rFont val="Calibri"/>
        <family val="2"/>
        <scheme val="minor"/>
      </rPr>
      <t>2)</t>
    </r>
    <r>
      <rPr>
        <sz val="11"/>
        <color theme="1"/>
        <rFont val="Calibri"/>
        <family val="2"/>
        <scheme val="minor"/>
      </rPr>
      <t xml:space="preserve"> several p53 mutants (but not wt) are directly recruited to the </t>
    </r>
    <r>
      <rPr>
        <b/>
        <sz val="11"/>
        <color theme="1"/>
        <rFont val="Calibri"/>
        <family val="2"/>
        <scheme val="minor"/>
      </rPr>
      <t>CIC</t>
    </r>
    <r>
      <rPr>
        <sz val="11"/>
        <color theme="1"/>
        <rFont val="Calibri"/>
        <family val="2"/>
        <scheme val="minor"/>
      </rPr>
      <t xml:space="preserve"> promoter via a newly identified interaction with the transcription factor </t>
    </r>
    <r>
      <rPr>
        <b/>
        <sz val="11"/>
        <color theme="1"/>
        <rFont val="Calibri"/>
        <family val="2"/>
        <scheme val="minor"/>
      </rPr>
      <t>FOXO-1</t>
    </r>
    <r>
      <rPr>
        <sz val="11"/>
        <color theme="1"/>
        <rFont val="Calibri"/>
        <family val="2"/>
        <scheme val="minor"/>
      </rPr>
      <t xml:space="preserve">, resulting in induction of CIC transcription. </t>
    </r>
    <r>
      <rPr>
        <b/>
        <sz val="11"/>
        <color theme="1"/>
        <rFont val="Calibri"/>
        <family val="2"/>
        <scheme val="minor"/>
      </rPr>
      <t xml:space="preserve">3) </t>
    </r>
    <r>
      <rPr>
        <sz val="11"/>
        <color theme="1"/>
        <rFont val="Calibri"/>
        <family val="2"/>
        <scheme val="minor"/>
      </rPr>
      <t xml:space="preserve">inhibition of </t>
    </r>
    <r>
      <rPr>
        <b/>
        <sz val="11"/>
        <color theme="1"/>
        <rFont val="Calibri"/>
        <family val="2"/>
        <scheme val="minor"/>
      </rPr>
      <t xml:space="preserve">CIC </t>
    </r>
    <r>
      <rPr>
        <sz val="11"/>
        <color theme="1"/>
        <rFont val="Calibri"/>
        <family val="2"/>
        <scheme val="minor"/>
      </rPr>
      <t xml:space="preserve">may improve survival rates and reduce chemo-resistance in tumors harboring p53 mutations. </t>
    </r>
    <r>
      <rPr>
        <b/>
        <sz val="11"/>
        <color theme="1"/>
        <rFont val="Calibri"/>
        <family val="2"/>
        <scheme val="minor"/>
      </rPr>
      <t>4) carboplatin</t>
    </r>
    <r>
      <rPr>
        <sz val="11"/>
        <color theme="1"/>
        <rFont val="Calibri"/>
        <family val="2"/>
        <scheme val="minor"/>
      </rPr>
      <t xml:space="preserve"> resistant tumors derived from patients or from cell lines display increased expression levels of CIC. </t>
    </r>
    <r>
      <rPr>
        <b/>
        <sz val="11"/>
        <color theme="1"/>
        <rFont val="Calibri"/>
        <family val="2"/>
        <scheme val="minor"/>
      </rPr>
      <t>5)</t>
    </r>
    <r>
      <rPr>
        <sz val="11"/>
        <color theme="1"/>
        <rFont val="Calibri"/>
        <family val="2"/>
        <scheme val="minor"/>
      </rPr>
      <t xml:space="preserve"> co-treatment with CIC inhibitors may re-sensitize certain resistant tumors to </t>
    </r>
    <r>
      <rPr>
        <b/>
        <sz val="11"/>
        <color theme="1"/>
        <rFont val="Calibri"/>
        <family val="2"/>
        <scheme val="minor"/>
      </rPr>
      <t>cisplatin</t>
    </r>
    <r>
      <rPr>
        <sz val="11"/>
        <color theme="1"/>
        <rFont val="Calibri"/>
        <family val="2"/>
        <scheme val="minor"/>
      </rPr>
      <t xml:space="preserve"> or may permit achieving clinically effective tumor killing while employing more tolerable, less toxic doses of cisplatin. </t>
    </r>
    <r>
      <rPr>
        <b/>
        <sz val="11"/>
        <color theme="1"/>
        <rFont val="Calibri"/>
        <family val="2"/>
        <scheme val="minor"/>
      </rPr>
      <t>6)</t>
    </r>
    <r>
      <rPr>
        <sz val="11"/>
        <color theme="1"/>
        <rFont val="Calibri"/>
        <family val="2"/>
        <scheme val="minor"/>
      </rPr>
      <t xml:space="preserve"> elevated CIC levels predict poor survival outcome in tumors hallmarked by high frequency of p53 mutations. </t>
    </r>
  </si>
  <si>
    <r>
      <rPr>
        <b/>
        <sz val="11"/>
        <color theme="1"/>
        <rFont val="Calibri"/>
        <family val="2"/>
        <scheme val="minor"/>
      </rPr>
      <t>1) SLC27A2</t>
    </r>
    <r>
      <rPr>
        <sz val="11"/>
        <color theme="1"/>
        <rFont val="Calibri"/>
        <family val="2"/>
        <scheme val="minor"/>
      </rPr>
      <t xml:space="preserve"> down-regulation in primary </t>
    </r>
    <r>
      <rPr>
        <b/>
        <sz val="11"/>
        <color theme="1"/>
        <rFont val="Calibri"/>
        <family val="2"/>
        <scheme val="minor"/>
      </rPr>
      <t>ovarian</t>
    </r>
    <r>
      <rPr>
        <sz val="11"/>
        <color theme="1"/>
        <rFont val="Calibri"/>
        <family val="2"/>
        <scheme val="minor"/>
      </rPr>
      <t xml:space="preserve"> cancer tissues correlates with </t>
    </r>
    <r>
      <rPr>
        <b/>
        <sz val="11"/>
        <color theme="1"/>
        <rFont val="Calibri"/>
        <family val="2"/>
        <scheme val="minor"/>
      </rPr>
      <t>chemo-resistance</t>
    </r>
    <r>
      <rPr>
        <sz val="11"/>
        <color theme="1"/>
        <rFont val="Calibri"/>
        <family val="2"/>
        <scheme val="minor"/>
      </rPr>
      <t xml:space="preserve"> and poor patient survival in our patient cohort. </t>
    </r>
    <r>
      <rPr>
        <b/>
        <sz val="11"/>
        <color theme="1"/>
        <rFont val="Calibri"/>
        <family val="2"/>
        <scheme val="minor"/>
      </rPr>
      <t>2)</t>
    </r>
    <r>
      <rPr>
        <sz val="11"/>
        <color theme="1"/>
        <rFont val="Calibri"/>
        <family val="2"/>
        <scheme val="minor"/>
      </rPr>
      <t xml:space="preserve"> up-regulation of </t>
    </r>
    <r>
      <rPr>
        <b/>
        <sz val="11"/>
        <color theme="1"/>
        <rFont val="Calibri"/>
        <family val="2"/>
        <scheme val="minor"/>
      </rPr>
      <t>SLC27A2</t>
    </r>
    <r>
      <rPr>
        <sz val="11"/>
        <color theme="1"/>
        <rFont val="Calibri"/>
        <family val="2"/>
        <scheme val="minor"/>
      </rPr>
      <t xml:space="preserve">  sensitizes ovarian cancer cells to </t>
    </r>
    <r>
      <rPr>
        <b/>
        <sz val="11"/>
        <color theme="1"/>
        <rFont val="Calibri"/>
        <family val="2"/>
        <scheme val="minor"/>
      </rPr>
      <t>cisplatin</t>
    </r>
    <r>
      <rPr>
        <sz val="11"/>
        <color theme="1"/>
        <rFont val="Calibri"/>
        <family val="2"/>
        <scheme val="minor"/>
      </rPr>
      <t xml:space="preserve"> in vitro and in vivo via apoptosis. </t>
    </r>
    <r>
      <rPr>
        <b/>
        <sz val="11"/>
        <color theme="1"/>
        <rFont val="Calibri"/>
        <family val="2"/>
        <scheme val="minor"/>
      </rPr>
      <t xml:space="preserve">3) </t>
    </r>
    <r>
      <rPr>
        <sz val="11"/>
        <color theme="1"/>
        <rFont val="Calibri"/>
        <family val="2"/>
        <scheme val="minor"/>
      </rPr>
      <t xml:space="preserve"> miR-411 is the most strikingly over-expressed gene in response to ectopic expression of SLC27A2, </t>
    </r>
    <r>
      <rPr>
        <b/>
        <sz val="11"/>
        <color theme="1"/>
        <rFont val="Calibri"/>
        <family val="2"/>
        <scheme val="minor"/>
      </rPr>
      <t xml:space="preserve">4) </t>
    </r>
    <r>
      <rPr>
        <sz val="11"/>
        <color theme="1"/>
        <rFont val="Calibri"/>
        <family val="2"/>
        <scheme val="minor"/>
      </rPr>
      <t xml:space="preserve">miR-411 under-expressed in recurrent ovarian cancer tissues. </t>
    </r>
    <r>
      <rPr>
        <b/>
        <sz val="11"/>
        <color theme="1"/>
        <rFont val="Calibri"/>
        <family val="2"/>
        <scheme val="minor"/>
      </rPr>
      <t>5)</t>
    </r>
    <r>
      <rPr>
        <sz val="11"/>
        <color theme="1"/>
        <rFont val="Calibri"/>
        <family val="2"/>
        <scheme val="minor"/>
      </rPr>
      <t xml:space="preserve"> Lower miR-411 expression contributes to ovarian cancer chemo-resistance in vitro and in vivo.</t>
    </r>
    <r>
      <rPr>
        <b/>
        <sz val="11"/>
        <color theme="1"/>
        <rFont val="Calibri"/>
        <family val="2"/>
        <scheme val="minor"/>
      </rPr>
      <t xml:space="preserve"> 6) </t>
    </r>
    <r>
      <rPr>
        <sz val="11"/>
        <color theme="1"/>
        <rFont val="Calibri"/>
        <family val="2"/>
        <scheme val="minor"/>
      </rPr>
      <t xml:space="preserve">SLC27A2 directly binds specific sites in the miR-411 promoter region and is required for the transcriptional induction of miR-411. </t>
    </r>
    <r>
      <rPr>
        <b/>
        <sz val="11"/>
        <color theme="1"/>
        <rFont val="Calibri"/>
        <family val="2"/>
        <scheme val="minor"/>
      </rPr>
      <t xml:space="preserve">7) </t>
    </r>
    <r>
      <rPr>
        <sz val="11"/>
        <color theme="1"/>
        <rFont val="Calibri"/>
        <family val="2"/>
        <scheme val="minor"/>
      </rPr>
      <t xml:space="preserve">The luciferase assays also confirm that miR-411 directly targets </t>
    </r>
    <r>
      <rPr>
        <b/>
        <sz val="11"/>
        <color theme="1"/>
        <rFont val="Calibri"/>
        <family val="2"/>
        <scheme val="minor"/>
      </rPr>
      <t>ABCG2</t>
    </r>
    <r>
      <rPr>
        <sz val="11"/>
        <color theme="1"/>
        <rFont val="Calibri"/>
        <family val="2"/>
        <scheme val="minor"/>
      </rPr>
      <t xml:space="preserve"> in ovarian cancer. </t>
    </r>
    <r>
      <rPr>
        <b/>
        <sz val="11"/>
        <color theme="1"/>
        <rFont val="Calibri"/>
        <family val="2"/>
        <scheme val="minor"/>
      </rPr>
      <t>8)</t>
    </r>
    <r>
      <rPr>
        <sz val="11"/>
        <color theme="1"/>
        <rFont val="Calibri"/>
        <family val="2"/>
        <scheme val="minor"/>
      </rPr>
      <t xml:space="preserve"> Reduced SLC27A2 correlated chemo-response and poor patient survival in </t>
    </r>
    <r>
      <rPr>
        <b/>
        <sz val="11"/>
        <color theme="1"/>
        <rFont val="Calibri"/>
        <family val="2"/>
        <scheme val="minor"/>
      </rPr>
      <t>lung</t>
    </r>
    <r>
      <rPr>
        <sz val="11"/>
        <color theme="1"/>
        <rFont val="Calibri"/>
        <family val="2"/>
        <scheme val="minor"/>
      </rPr>
      <t xml:space="preserve"> cancer. </t>
    </r>
    <r>
      <rPr>
        <b/>
        <sz val="11"/>
        <color theme="1"/>
        <rFont val="Calibri"/>
        <family val="2"/>
        <scheme val="minor"/>
      </rPr>
      <t xml:space="preserve">9) </t>
    </r>
    <r>
      <rPr>
        <sz val="11"/>
        <color theme="1"/>
        <rFont val="Calibri"/>
        <family val="2"/>
        <scheme val="minor"/>
      </rPr>
      <t xml:space="preserve">reduced </t>
    </r>
    <r>
      <rPr>
        <b/>
        <sz val="11"/>
        <color theme="1"/>
        <rFont val="Calibri"/>
        <family val="2"/>
        <scheme val="minor"/>
      </rPr>
      <t>SLC27A2</t>
    </r>
    <r>
      <rPr>
        <sz val="11"/>
        <color theme="1"/>
        <rFont val="Calibri"/>
        <family val="2"/>
        <scheme val="minor"/>
      </rPr>
      <t xml:space="preserve"> induced chemo-resistance in CD166+ LCSCs by negatively regulating </t>
    </r>
    <r>
      <rPr>
        <b/>
        <sz val="11"/>
        <color theme="1"/>
        <rFont val="Calibri"/>
        <family val="2"/>
        <scheme val="minor"/>
      </rPr>
      <t>Bmi1-ABCG2</t>
    </r>
    <r>
      <rPr>
        <sz val="11"/>
        <color theme="1"/>
        <rFont val="Calibri"/>
        <family val="2"/>
        <scheme val="minor"/>
      </rPr>
      <t xml:space="preserve"> signaling, and </t>
    </r>
    <r>
      <rPr>
        <b/>
        <sz val="11"/>
        <color theme="1"/>
        <rFont val="Calibri"/>
        <family val="2"/>
        <scheme val="minor"/>
      </rPr>
      <t>ABCG2</t>
    </r>
    <r>
      <rPr>
        <sz val="11"/>
        <color theme="1"/>
        <rFont val="Calibri"/>
        <family val="2"/>
        <scheme val="minor"/>
      </rPr>
      <t xml:space="preserve"> was a direct transcriptional target of </t>
    </r>
    <r>
      <rPr>
        <b/>
        <sz val="11"/>
        <color theme="1"/>
        <rFont val="Calibri"/>
        <family val="2"/>
        <scheme val="minor"/>
      </rPr>
      <t>Bmi1</t>
    </r>
    <r>
      <rPr>
        <sz val="11"/>
        <color theme="1"/>
        <rFont val="Calibri"/>
        <family val="2"/>
        <scheme val="minor"/>
      </rPr>
      <t xml:space="preserve">. </t>
    </r>
  </si>
  <si>
    <r>
      <rPr>
        <b/>
        <sz val="11"/>
        <color theme="1"/>
        <rFont val="Calibri"/>
        <family val="2"/>
        <scheme val="minor"/>
      </rPr>
      <t xml:space="preserve">1) Ovarian </t>
    </r>
    <r>
      <rPr>
        <sz val="11"/>
        <color theme="1"/>
        <rFont val="Calibri"/>
        <family val="2"/>
        <scheme val="minor"/>
      </rPr>
      <t>carcinoma</t>
    </r>
    <r>
      <rPr>
        <b/>
        <sz val="11"/>
        <color theme="1"/>
        <rFont val="Calibri"/>
        <family val="2"/>
        <scheme val="minor"/>
      </rPr>
      <t xml:space="preserve"> p</t>
    </r>
    <r>
      <rPr>
        <sz val="11"/>
        <color theme="1"/>
        <rFont val="Calibri"/>
        <family val="2"/>
        <scheme val="minor"/>
      </rPr>
      <t xml:space="preserve">atients who experienced a </t>
    </r>
    <r>
      <rPr>
        <b/>
        <sz val="11"/>
        <color theme="1"/>
        <rFont val="Calibri"/>
        <family val="2"/>
        <scheme val="minor"/>
      </rPr>
      <t>complete clinical response</t>
    </r>
    <r>
      <rPr>
        <sz val="11"/>
        <color theme="1"/>
        <rFont val="Calibri"/>
        <family val="2"/>
        <scheme val="minor"/>
      </rPr>
      <t xml:space="preserve"> to </t>
    </r>
    <r>
      <rPr>
        <b/>
        <sz val="11"/>
        <color theme="1"/>
        <rFont val="Calibri"/>
        <family val="2"/>
        <scheme val="minor"/>
      </rPr>
      <t>platinum</t>
    </r>
    <r>
      <rPr>
        <sz val="11"/>
        <color theme="1"/>
        <rFont val="Calibri"/>
        <family val="2"/>
        <scheme val="minor"/>
      </rPr>
      <t xml:space="preserve">-based chemotherapy were more frequently </t>
    </r>
    <r>
      <rPr>
        <b/>
        <sz val="11"/>
        <color theme="1"/>
        <rFont val="Calibri"/>
        <family val="2"/>
        <scheme val="minor"/>
      </rPr>
      <t>GLUT-1</t>
    </r>
    <r>
      <rPr>
        <sz val="11"/>
        <color theme="1"/>
        <rFont val="Calibri"/>
        <family val="2"/>
        <scheme val="minor"/>
      </rPr>
      <t xml:space="preserve"> positive than GLUT-1 negative. </t>
    </r>
    <r>
      <rPr>
        <b/>
        <sz val="11"/>
        <color theme="1"/>
        <rFont val="Calibri"/>
        <family val="2"/>
        <scheme val="minor"/>
      </rPr>
      <t xml:space="preserve">2) </t>
    </r>
    <r>
      <rPr>
        <sz val="11"/>
        <color theme="1"/>
        <rFont val="Calibri"/>
        <family val="2"/>
        <scheme val="minor"/>
      </rPr>
      <t xml:space="preserve">In multivariate analysis, high </t>
    </r>
    <r>
      <rPr>
        <b/>
        <sz val="11"/>
        <color theme="1"/>
        <rFont val="Calibri"/>
        <family val="2"/>
        <scheme val="minor"/>
      </rPr>
      <t>GLUT-1</t>
    </r>
    <r>
      <rPr>
        <sz val="11"/>
        <color theme="1"/>
        <rFont val="Calibri"/>
        <family val="2"/>
        <scheme val="minor"/>
      </rPr>
      <t xml:space="preserve"> expression levels were independent variables that maintained a significant association with response to chemotherapy.</t>
    </r>
    <r>
      <rPr>
        <b/>
        <sz val="11"/>
        <color theme="1"/>
        <rFont val="Calibri"/>
        <family val="2"/>
        <scheme val="minor"/>
      </rPr>
      <t xml:space="preserve"> 3) </t>
    </r>
    <r>
      <rPr>
        <sz val="11"/>
        <color theme="1"/>
        <rFont val="Calibri"/>
        <family val="2"/>
        <scheme val="minor"/>
      </rPr>
      <t xml:space="preserve">Suppression of </t>
    </r>
    <r>
      <rPr>
        <b/>
        <sz val="11"/>
        <color theme="1"/>
        <rFont val="Calibri"/>
        <family val="2"/>
        <scheme val="minor"/>
      </rPr>
      <t>GLUT1</t>
    </r>
    <r>
      <rPr>
        <sz val="11"/>
        <color theme="1"/>
        <rFont val="Calibri"/>
        <family val="2"/>
        <scheme val="minor"/>
      </rPr>
      <t xml:space="preserve"> by siRNA or by BAY‐876, a GLUT1 inhibitor, </t>
    </r>
    <r>
      <rPr>
        <u/>
        <sz val="11"/>
        <color theme="1"/>
        <rFont val="Calibri"/>
        <family val="2"/>
        <scheme val="minor"/>
      </rPr>
      <t>enhanced</t>
    </r>
    <r>
      <rPr>
        <sz val="11"/>
        <color theme="1"/>
        <rFont val="Calibri"/>
        <family val="2"/>
        <scheme val="minor"/>
      </rPr>
      <t xml:space="preserve"> </t>
    </r>
    <r>
      <rPr>
        <b/>
        <sz val="11"/>
        <color theme="1"/>
        <rFont val="Calibri"/>
        <family val="2"/>
        <scheme val="minor"/>
      </rPr>
      <t>cisplatin</t>
    </r>
    <r>
      <rPr>
        <sz val="11"/>
        <color theme="1"/>
        <rFont val="Calibri"/>
        <family val="2"/>
        <scheme val="minor"/>
      </rPr>
      <t xml:space="preserve">‐mediated inhibition of </t>
    </r>
    <r>
      <rPr>
        <b/>
        <sz val="11"/>
        <color theme="1"/>
        <rFont val="Calibri"/>
        <family val="2"/>
        <scheme val="minor"/>
      </rPr>
      <t>ESCC</t>
    </r>
    <r>
      <rPr>
        <sz val="11"/>
        <color theme="1"/>
        <rFont val="Calibri"/>
        <family val="2"/>
        <scheme val="minor"/>
      </rPr>
      <t xml:space="preserve"> cell proliferation. </t>
    </r>
    <r>
      <rPr>
        <b/>
        <sz val="11"/>
        <color theme="1"/>
        <rFont val="Calibri"/>
        <family val="2"/>
        <scheme val="minor"/>
      </rPr>
      <t>4) GLUT1</t>
    </r>
    <r>
      <rPr>
        <sz val="11"/>
        <color theme="1"/>
        <rFont val="Calibri"/>
        <family val="2"/>
        <scheme val="minor"/>
      </rPr>
      <t xml:space="preserve"> expression in pretreatment biopsy samples of </t>
    </r>
    <r>
      <rPr>
        <b/>
        <sz val="11"/>
        <color theme="1"/>
        <rFont val="Calibri"/>
        <family val="2"/>
        <scheme val="minor"/>
      </rPr>
      <t>esophageal</t>
    </r>
    <r>
      <rPr>
        <sz val="11"/>
        <color theme="1"/>
        <rFont val="Calibri"/>
        <family val="2"/>
        <scheme val="minor"/>
      </rPr>
      <t xml:space="preserve"> squamous cell carcinoma (</t>
    </r>
    <r>
      <rPr>
        <b/>
        <sz val="11"/>
        <color theme="1"/>
        <rFont val="Calibri"/>
        <family val="2"/>
        <scheme val="minor"/>
      </rPr>
      <t>ESCC</t>
    </r>
    <r>
      <rPr>
        <sz val="11"/>
        <color theme="1"/>
        <rFont val="Calibri"/>
        <family val="2"/>
        <scheme val="minor"/>
      </rPr>
      <t xml:space="preserve">) was associated with the response to platinum‐based chemotherapy as well as the pathological tumor stage and histological response grade after esophagectomy. </t>
    </r>
    <r>
      <rPr>
        <b/>
        <sz val="11"/>
        <color theme="1"/>
        <rFont val="Calibri"/>
        <family val="2"/>
        <scheme val="minor"/>
      </rPr>
      <t>5) cisplatin</t>
    </r>
    <r>
      <rPr>
        <sz val="11"/>
        <color theme="1"/>
        <rFont val="Calibri"/>
        <family val="2"/>
        <scheme val="minor"/>
      </rPr>
      <t xml:space="preserve"> is reported to suppress glucose uptake: </t>
    </r>
    <r>
      <rPr>
        <b/>
        <sz val="11"/>
        <color theme="1"/>
        <rFont val="Calibri"/>
        <family val="2"/>
        <scheme val="minor"/>
      </rPr>
      <t>cisplatin</t>
    </r>
    <r>
      <rPr>
        <sz val="11"/>
        <color theme="1"/>
        <rFont val="Calibri"/>
        <family val="2"/>
        <scheme val="minor"/>
      </rPr>
      <t xml:space="preserve"> suppressed glycolysis-related proteins expression, including </t>
    </r>
    <r>
      <rPr>
        <b/>
        <sz val="11"/>
        <color theme="1"/>
        <rFont val="Calibri"/>
        <family val="2"/>
        <scheme val="minor"/>
      </rPr>
      <t>GLUT1, GLUT4</t>
    </r>
    <r>
      <rPr>
        <sz val="11"/>
        <color theme="1"/>
        <rFont val="Calibri"/>
        <family val="2"/>
        <scheme val="minor"/>
      </rPr>
      <t xml:space="preserve"> and </t>
    </r>
    <r>
      <rPr>
        <b/>
        <sz val="11"/>
        <color theme="1"/>
        <rFont val="Calibri"/>
        <family val="2"/>
        <scheme val="minor"/>
      </rPr>
      <t>LDHB</t>
    </r>
    <r>
      <rPr>
        <sz val="11"/>
        <color theme="1"/>
        <rFont val="Calibri"/>
        <family val="2"/>
        <scheme val="minor"/>
      </rPr>
      <t xml:space="preserve">, through down-regulating </t>
    </r>
    <r>
      <rPr>
        <b/>
        <sz val="11"/>
        <color theme="1"/>
        <rFont val="Calibri"/>
        <family val="2"/>
        <scheme val="minor"/>
      </rPr>
      <t>ITGB5/FAK</t>
    </r>
    <r>
      <rPr>
        <sz val="11"/>
        <color theme="1"/>
        <rFont val="Calibri"/>
        <family val="2"/>
        <scheme val="minor"/>
      </rPr>
      <t xml:space="preserve"> signaling in </t>
    </r>
    <r>
      <rPr>
        <b/>
        <sz val="11"/>
        <color theme="1"/>
        <rFont val="Calibri"/>
        <family val="2"/>
        <scheme val="minor"/>
      </rPr>
      <t>breast</t>
    </r>
    <r>
      <rPr>
        <sz val="11"/>
        <color theme="1"/>
        <rFont val="Calibri"/>
        <family val="2"/>
        <scheme val="minor"/>
      </rPr>
      <t xml:space="preserve"> and </t>
    </r>
    <r>
      <rPr>
        <b/>
        <sz val="11"/>
        <color theme="1"/>
        <rFont val="Calibri"/>
        <family val="2"/>
        <scheme val="minor"/>
      </rPr>
      <t>cervical</t>
    </r>
    <r>
      <rPr>
        <sz val="11"/>
        <color theme="1"/>
        <rFont val="Calibri"/>
        <family val="2"/>
        <scheme val="minor"/>
      </rPr>
      <t xml:space="preserve"> cancer cell lines. </t>
    </r>
    <r>
      <rPr>
        <b/>
        <sz val="11"/>
        <color theme="1"/>
        <rFont val="Calibri"/>
        <family val="2"/>
        <scheme val="minor"/>
      </rPr>
      <t xml:space="preserve">6) </t>
    </r>
    <r>
      <rPr>
        <sz val="11"/>
        <color theme="1"/>
        <rFont val="Calibri"/>
        <family val="2"/>
        <scheme val="minor"/>
      </rPr>
      <t xml:space="preserve">Over-expression of </t>
    </r>
    <r>
      <rPr>
        <b/>
        <sz val="11"/>
        <color theme="1"/>
        <rFont val="Calibri"/>
        <family val="2"/>
        <scheme val="minor"/>
      </rPr>
      <t>miR-218</t>
    </r>
    <r>
      <rPr>
        <sz val="11"/>
        <color theme="1"/>
        <rFont val="Calibri"/>
        <family val="2"/>
        <scheme val="minor"/>
      </rPr>
      <t xml:space="preserve"> (targeting </t>
    </r>
    <r>
      <rPr>
        <b/>
        <sz val="11"/>
        <color theme="1"/>
        <rFont val="Calibri"/>
        <family val="2"/>
        <scheme val="minor"/>
      </rPr>
      <t>GLUT1</t>
    </r>
    <r>
      <rPr>
        <sz val="11"/>
        <color theme="1"/>
        <rFont val="Calibri"/>
        <family val="2"/>
        <scheme val="minor"/>
      </rPr>
      <t>) significantly reduced the rate of glucose uptake and total level of GSH and enhanced the chemo-sensitivity of</t>
    </r>
    <r>
      <rPr>
        <b/>
        <sz val="11"/>
        <color theme="1"/>
        <rFont val="Calibri"/>
        <family val="2"/>
        <scheme val="minor"/>
      </rPr>
      <t xml:space="preserve"> bladder</t>
    </r>
    <r>
      <rPr>
        <sz val="11"/>
        <color theme="1"/>
        <rFont val="Calibri"/>
        <family val="2"/>
        <scheme val="minor"/>
      </rPr>
      <t xml:space="preserve"> cancer to </t>
    </r>
    <r>
      <rPr>
        <b/>
        <sz val="11"/>
        <color theme="1"/>
        <rFont val="Calibri"/>
        <family val="2"/>
        <scheme val="minor"/>
      </rPr>
      <t>cisplatin</t>
    </r>
    <r>
      <rPr>
        <sz val="11"/>
        <color theme="1"/>
        <rFont val="Calibri"/>
        <family val="2"/>
        <scheme val="minor"/>
      </rPr>
      <t xml:space="preserve">. </t>
    </r>
    <r>
      <rPr>
        <b/>
        <sz val="11"/>
        <color theme="1"/>
        <rFont val="Calibri"/>
        <family val="2"/>
        <scheme val="minor"/>
      </rPr>
      <t>7)</t>
    </r>
    <r>
      <rPr>
        <sz val="11"/>
        <color theme="1"/>
        <rFont val="Calibri"/>
        <family val="2"/>
        <scheme val="minor"/>
      </rPr>
      <t xml:space="preserve"> Up-regulation of Glut1 could restore chemo-resistance in T24 and EJ cells. </t>
    </r>
  </si>
  <si>
    <r>
      <rPr>
        <b/>
        <sz val="11"/>
        <color theme="1"/>
        <rFont val="Calibri"/>
        <family val="2"/>
        <scheme val="minor"/>
      </rPr>
      <t xml:space="preserve">1) </t>
    </r>
    <r>
      <rPr>
        <sz val="11"/>
        <color theme="1"/>
        <rFont val="Calibri"/>
        <family val="2"/>
        <scheme val="minor"/>
      </rPr>
      <t>six genes were significantly decreased in</t>
    </r>
    <r>
      <rPr>
        <b/>
        <sz val="11"/>
        <color theme="1"/>
        <rFont val="Calibri"/>
        <family val="2"/>
        <scheme val="minor"/>
      </rPr>
      <t xml:space="preserve"> cisplatin</t>
    </r>
    <r>
      <rPr>
        <sz val="11"/>
        <color theme="1"/>
        <rFont val="Calibri"/>
        <family val="2"/>
        <scheme val="minor"/>
      </rPr>
      <t xml:space="preserve">-resistant </t>
    </r>
    <r>
      <rPr>
        <b/>
        <sz val="11"/>
        <color theme="1"/>
        <rFont val="Calibri"/>
        <family val="2"/>
        <scheme val="minor"/>
      </rPr>
      <t>ovarian</t>
    </r>
    <r>
      <rPr>
        <sz val="11"/>
        <color theme="1"/>
        <rFont val="Calibri"/>
        <family val="2"/>
        <scheme val="minor"/>
      </rPr>
      <t xml:space="preserve"> cell lines: SLC2A14, SLC7A3, SLC7A8, SLC7A11, </t>
    </r>
    <r>
      <rPr>
        <b/>
        <sz val="11"/>
        <color theme="1"/>
        <rFont val="Calibri"/>
        <family val="2"/>
        <scheme val="minor"/>
      </rPr>
      <t>SLC16A14</t>
    </r>
    <r>
      <rPr>
        <sz val="11"/>
        <color theme="1"/>
        <rFont val="Calibri"/>
        <family val="2"/>
        <scheme val="minor"/>
      </rPr>
      <t>, SLC38A9. </t>
    </r>
    <r>
      <rPr>
        <b/>
        <sz val="11"/>
        <color theme="1"/>
        <rFont val="Calibri"/>
        <family val="2"/>
        <scheme val="minor"/>
      </rPr>
      <t xml:space="preserve">2) </t>
    </r>
    <r>
      <rPr>
        <sz val="11"/>
        <color theme="1"/>
        <rFont val="Calibri"/>
        <family val="2"/>
        <scheme val="minor"/>
      </rPr>
      <t xml:space="preserve">cancerous epithelial cell take in larger amount of glucose. GLUT proteins, especially GLUT1, </t>
    </r>
    <r>
      <rPr>
        <b/>
        <sz val="11"/>
        <color theme="1"/>
        <rFont val="Calibri"/>
        <family val="2"/>
        <scheme val="minor"/>
      </rPr>
      <t>GLUT3</t>
    </r>
    <r>
      <rPr>
        <sz val="11"/>
        <color theme="1"/>
        <rFont val="Calibri"/>
        <family val="2"/>
        <scheme val="minor"/>
      </rPr>
      <t xml:space="preserve">, are expressed at higher levels in the malignant cell as are those not normally expressed in that tissue type. </t>
    </r>
    <r>
      <rPr>
        <b/>
        <sz val="11"/>
        <color theme="1"/>
        <rFont val="Calibri"/>
        <family val="2"/>
        <scheme val="minor"/>
      </rPr>
      <t xml:space="preserve">3) </t>
    </r>
    <r>
      <rPr>
        <sz val="11"/>
        <color theme="1"/>
        <rFont val="Calibri"/>
        <family val="2"/>
        <scheme val="minor"/>
      </rPr>
      <t xml:space="preserve">Multiple genotoxic stimuli such as Adriamycin (ADR), etoposide (ETOP), </t>
    </r>
    <r>
      <rPr>
        <b/>
        <sz val="11"/>
        <color theme="1"/>
        <rFont val="Calibri"/>
        <family val="2"/>
        <scheme val="minor"/>
      </rPr>
      <t>cisplatin</t>
    </r>
    <r>
      <rPr>
        <sz val="11"/>
        <color theme="1"/>
        <rFont val="Calibri"/>
        <family val="2"/>
        <scheme val="minor"/>
      </rPr>
      <t xml:space="preserve">, UV, and γ-radiation resulted in a suppression of </t>
    </r>
    <r>
      <rPr>
        <b/>
        <sz val="11"/>
        <color theme="1"/>
        <rFont val="Calibri"/>
        <family val="2"/>
        <scheme val="minor"/>
      </rPr>
      <t>GLUT3</t>
    </r>
    <r>
      <rPr>
        <sz val="11"/>
        <color theme="1"/>
        <rFont val="Calibri"/>
        <family val="2"/>
        <scheme val="minor"/>
      </rPr>
      <t xml:space="preserve"> expression and glucose metabolism. </t>
    </r>
    <r>
      <rPr>
        <b/>
        <sz val="11"/>
        <color theme="1"/>
        <rFont val="Calibri"/>
        <family val="2"/>
        <scheme val="minor"/>
      </rPr>
      <t xml:space="preserve">4) </t>
    </r>
    <r>
      <rPr>
        <sz val="11"/>
        <color theme="1"/>
        <rFont val="Calibri"/>
        <family val="2"/>
        <scheme val="minor"/>
      </rPr>
      <t xml:space="preserve">cisplatin-resistant cell lines did not show an early decrease in glucose uptake after cisplatin treatment. </t>
    </r>
    <r>
      <rPr>
        <b/>
        <sz val="11"/>
        <color theme="1"/>
        <rFont val="Calibri"/>
        <family val="2"/>
        <scheme val="minor"/>
      </rPr>
      <t xml:space="preserve">5) </t>
    </r>
    <r>
      <rPr>
        <sz val="11"/>
        <color theme="1"/>
        <rFont val="Calibri"/>
        <family val="2"/>
        <scheme val="minor"/>
      </rPr>
      <t xml:space="preserve">Glut-3 was associated with higher UICC stage and inferior prognosis </t>
    </r>
    <r>
      <rPr>
        <b/>
        <sz val="11"/>
        <color theme="1"/>
        <rFont val="Calibri"/>
        <family val="2"/>
        <scheme val="minor"/>
      </rPr>
      <t xml:space="preserve">6) </t>
    </r>
    <r>
      <rPr>
        <sz val="11"/>
        <color theme="1"/>
        <rFont val="Calibri"/>
        <family val="2"/>
        <scheme val="minor"/>
      </rPr>
      <t xml:space="preserve">See SLC2A1. </t>
    </r>
  </si>
  <si>
    <r>
      <rPr>
        <b/>
        <sz val="11"/>
        <color theme="1"/>
        <rFont val="Calibri"/>
        <family val="2"/>
        <scheme val="minor"/>
      </rPr>
      <t>1)</t>
    </r>
    <r>
      <rPr>
        <sz val="11"/>
        <color theme="1"/>
        <rFont val="Calibri"/>
        <family val="2"/>
        <scheme val="minor"/>
      </rPr>
      <t xml:space="preserve"> Knockdown of </t>
    </r>
    <r>
      <rPr>
        <b/>
        <sz val="11"/>
        <color theme="1"/>
        <rFont val="Calibri"/>
        <family val="2"/>
        <scheme val="minor"/>
      </rPr>
      <t>IMP3</t>
    </r>
    <r>
      <rPr>
        <sz val="11"/>
        <color theme="1"/>
        <rFont val="Calibri"/>
        <family val="2"/>
        <scheme val="minor"/>
      </rPr>
      <t xml:space="preserve"> or </t>
    </r>
    <r>
      <rPr>
        <b/>
        <sz val="11"/>
        <color theme="1"/>
        <rFont val="Calibri"/>
        <family val="2"/>
        <scheme val="minor"/>
      </rPr>
      <t>Lin28B</t>
    </r>
    <r>
      <rPr>
        <sz val="11"/>
        <color theme="1"/>
        <rFont val="Calibri"/>
        <family val="2"/>
        <scheme val="minor"/>
      </rPr>
      <t xml:space="preserve"> decreased cell proliferation, migration, and invasion, and increased the </t>
    </r>
    <r>
      <rPr>
        <b/>
        <sz val="11"/>
        <color theme="1"/>
        <rFont val="Calibri"/>
        <family val="2"/>
        <scheme val="minor"/>
      </rPr>
      <t>platinum</t>
    </r>
    <r>
      <rPr>
        <sz val="11"/>
        <color theme="1"/>
        <rFont val="Calibri"/>
        <family val="2"/>
        <scheme val="minor"/>
      </rPr>
      <t xml:space="preserve"> sensitivity, but not taxol sensitivity, </t>
    </r>
    <r>
      <rPr>
        <b/>
        <sz val="11"/>
        <color theme="1"/>
        <rFont val="Calibri"/>
        <family val="2"/>
        <scheme val="minor"/>
      </rPr>
      <t xml:space="preserve">2) </t>
    </r>
    <r>
      <rPr>
        <sz val="11"/>
        <color theme="1"/>
        <rFont val="Calibri"/>
        <family val="2"/>
        <scheme val="minor"/>
      </rPr>
      <t>of ovarian cancer cells through increased expression of</t>
    </r>
    <r>
      <rPr>
        <b/>
        <sz val="11"/>
        <color theme="1"/>
        <rFont val="Calibri"/>
        <family val="2"/>
        <scheme val="minor"/>
      </rPr>
      <t xml:space="preserve"> hCTR1</t>
    </r>
    <r>
      <rPr>
        <sz val="11"/>
        <color theme="1"/>
        <rFont val="Calibri"/>
        <family val="2"/>
        <scheme val="minor"/>
      </rPr>
      <t xml:space="preserve">, a copper transporter involved in platinum uptake. </t>
    </r>
    <r>
      <rPr>
        <b/>
        <sz val="11"/>
        <color theme="1"/>
        <rFont val="Calibri"/>
        <family val="2"/>
        <scheme val="minor"/>
      </rPr>
      <t>3)</t>
    </r>
    <r>
      <rPr>
        <sz val="11"/>
        <color theme="1"/>
        <rFont val="Calibri"/>
        <family val="2"/>
        <scheme val="minor"/>
      </rPr>
      <t xml:space="preserve"> High expression of </t>
    </r>
    <r>
      <rPr>
        <b/>
        <sz val="11"/>
        <color theme="1"/>
        <rFont val="Calibri"/>
        <family val="2"/>
        <scheme val="minor"/>
      </rPr>
      <t xml:space="preserve">hCTR1 </t>
    </r>
    <r>
      <rPr>
        <sz val="11"/>
        <color theme="1"/>
        <rFont val="Calibri"/>
        <family val="2"/>
        <scheme val="minor"/>
      </rPr>
      <t xml:space="preserve">correlated with low expression of </t>
    </r>
    <r>
      <rPr>
        <b/>
        <sz val="11"/>
        <color theme="1"/>
        <rFont val="Calibri"/>
        <family val="2"/>
        <scheme val="minor"/>
      </rPr>
      <t>IMP3/Lin28B</t>
    </r>
    <r>
      <rPr>
        <sz val="11"/>
        <color theme="1"/>
        <rFont val="Calibri"/>
        <family val="2"/>
        <scheme val="minor"/>
      </rPr>
      <t xml:space="preserve"> and better progression-free survival in advanced-stage </t>
    </r>
    <r>
      <rPr>
        <b/>
        <sz val="11"/>
        <color theme="1"/>
        <rFont val="Calibri"/>
        <family val="2"/>
        <scheme val="minor"/>
      </rPr>
      <t>EOC</t>
    </r>
    <r>
      <rPr>
        <sz val="11"/>
        <color theme="1"/>
        <rFont val="Calibri"/>
        <family val="2"/>
        <scheme val="minor"/>
      </rPr>
      <t xml:space="preserve"> patients. </t>
    </r>
    <r>
      <rPr>
        <b/>
        <sz val="11"/>
        <color theme="1"/>
        <rFont val="Calibri"/>
        <family val="2"/>
        <scheme val="minor"/>
      </rPr>
      <t>4)</t>
    </r>
    <r>
      <rPr>
        <sz val="11"/>
        <color theme="1"/>
        <rFont val="Calibri"/>
        <family val="2"/>
        <scheme val="minor"/>
      </rPr>
      <t xml:space="preserve"> Downregulation of </t>
    </r>
    <r>
      <rPr>
        <b/>
        <sz val="11"/>
        <color theme="1"/>
        <rFont val="Calibri"/>
        <family val="2"/>
        <scheme val="minor"/>
      </rPr>
      <t>EZH2</t>
    </r>
    <r>
      <rPr>
        <sz val="11"/>
        <color theme="1"/>
        <rFont val="Calibri"/>
        <family val="2"/>
        <scheme val="minor"/>
      </rPr>
      <t xml:space="preserve"> increased cellular </t>
    </r>
    <r>
      <rPr>
        <b/>
        <sz val="11"/>
        <color theme="1"/>
        <rFont val="Calibri"/>
        <family val="2"/>
        <scheme val="minor"/>
      </rPr>
      <t>platinum</t>
    </r>
    <r>
      <rPr>
        <sz val="11"/>
        <color theme="1"/>
        <rFont val="Calibri"/>
        <family val="2"/>
        <scheme val="minor"/>
      </rPr>
      <t xml:space="preserve"> accumulation by protecting </t>
    </r>
    <r>
      <rPr>
        <b/>
        <sz val="11"/>
        <color theme="1"/>
        <rFont val="Calibri"/>
        <family val="2"/>
        <scheme val="minor"/>
      </rPr>
      <t>CTR1</t>
    </r>
    <r>
      <rPr>
        <sz val="11"/>
        <color theme="1"/>
        <rFont val="Calibri"/>
        <family val="2"/>
        <scheme val="minor"/>
      </rPr>
      <t xml:space="preserve"> from cisplatin‐induced proteasomal degradation. </t>
    </r>
    <r>
      <rPr>
        <b/>
        <sz val="11"/>
        <color theme="1"/>
        <rFont val="Calibri"/>
        <family val="2"/>
        <scheme val="minor"/>
      </rPr>
      <t>5)</t>
    </r>
    <r>
      <rPr>
        <sz val="11"/>
        <color theme="1"/>
        <rFont val="Calibri"/>
        <family val="2"/>
        <scheme val="minor"/>
      </rPr>
      <t xml:space="preserve"> A2780cis cells showed decreased </t>
    </r>
    <r>
      <rPr>
        <b/>
        <sz val="11"/>
        <color theme="1"/>
        <rFont val="Calibri"/>
        <family val="2"/>
        <scheme val="minor"/>
      </rPr>
      <t>cisplatin</t>
    </r>
    <r>
      <rPr>
        <sz val="11"/>
        <color theme="1"/>
        <rFont val="Calibri"/>
        <family val="2"/>
        <scheme val="minor"/>
      </rPr>
      <t xml:space="preserve"> accumulation and lower </t>
    </r>
    <r>
      <rPr>
        <b/>
        <sz val="11"/>
        <color theme="1"/>
        <rFont val="Calibri"/>
        <family val="2"/>
        <scheme val="minor"/>
      </rPr>
      <t>CTR1</t>
    </r>
    <r>
      <rPr>
        <sz val="11"/>
        <color theme="1"/>
        <rFont val="Calibri"/>
        <family val="2"/>
        <scheme val="minor"/>
      </rPr>
      <t xml:space="preserve"> expression compared to A2780 cells. </t>
    </r>
    <r>
      <rPr>
        <b/>
        <sz val="11"/>
        <color theme="1"/>
        <rFont val="Calibri"/>
        <family val="2"/>
        <scheme val="minor"/>
      </rPr>
      <t>6)</t>
    </r>
    <r>
      <rPr>
        <sz val="11"/>
        <color theme="1"/>
        <rFont val="Calibri"/>
        <family val="2"/>
        <scheme val="minor"/>
      </rPr>
      <t xml:space="preserve"> In both cell lines, CTR1 was localised near the nucleus; the steady-state localisation of the protein in perinuclear region appears to involve its continuous </t>
    </r>
    <r>
      <rPr>
        <b/>
        <sz val="11"/>
        <color theme="1"/>
        <rFont val="Calibri"/>
        <family val="2"/>
        <scheme val="minor"/>
      </rPr>
      <t>endocytosis</t>
    </r>
    <r>
      <rPr>
        <sz val="11"/>
        <color theme="1"/>
        <rFont val="Calibri"/>
        <family val="2"/>
        <scheme val="minor"/>
      </rPr>
      <t xml:space="preserve"> from cell surface. </t>
    </r>
    <r>
      <rPr>
        <b/>
        <sz val="11"/>
        <color theme="1"/>
        <rFont val="Calibri"/>
        <family val="2"/>
        <scheme val="minor"/>
      </rPr>
      <t xml:space="preserve">7) </t>
    </r>
    <r>
      <rPr>
        <sz val="11"/>
        <color theme="1"/>
        <rFont val="Calibri"/>
        <family val="2"/>
        <scheme val="minor"/>
      </rPr>
      <t xml:space="preserve">Co-localisation between </t>
    </r>
    <r>
      <rPr>
        <b/>
        <sz val="11"/>
        <color theme="1"/>
        <rFont val="Calibri"/>
        <family val="2"/>
        <scheme val="minor"/>
      </rPr>
      <t>CTR1</t>
    </r>
    <r>
      <rPr>
        <sz val="11"/>
        <color theme="1"/>
        <rFont val="Calibri"/>
        <family val="2"/>
        <scheme val="minor"/>
      </rPr>
      <t xml:space="preserve"> and a fluorescent </t>
    </r>
    <r>
      <rPr>
        <b/>
        <sz val="11"/>
        <color theme="1"/>
        <rFont val="Calibri"/>
        <family val="2"/>
        <scheme val="minor"/>
      </rPr>
      <t>cisplatin</t>
    </r>
    <r>
      <rPr>
        <sz val="11"/>
        <color theme="1"/>
        <rFont val="Calibri"/>
        <family val="2"/>
        <scheme val="minor"/>
      </rPr>
      <t xml:space="preserve"> analogue labelled with carboxyfluorescein-diacetate could be observed in vesicular structures when continuous retrieval of the protein from cell membrane was inhibited. </t>
    </r>
  </si>
  <si>
    <r>
      <rPr>
        <b/>
        <sz val="11"/>
        <color theme="1"/>
        <rFont val="Calibri"/>
        <family val="2"/>
        <scheme val="minor"/>
      </rPr>
      <t xml:space="preserve">1) </t>
    </r>
    <r>
      <rPr>
        <sz val="11"/>
        <color theme="1"/>
        <rFont val="Calibri"/>
        <family val="2"/>
        <scheme val="minor"/>
      </rPr>
      <t xml:space="preserve">knockdown of </t>
    </r>
    <r>
      <rPr>
        <b/>
        <sz val="11"/>
        <color theme="1"/>
        <rFont val="Calibri"/>
        <family val="2"/>
        <scheme val="minor"/>
      </rPr>
      <t>CTR2</t>
    </r>
    <r>
      <rPr>
        <sz val="11"/>
        <color theme="1"/>
        <rFont val="Calibri"/>
        <family val="2"/>
        <scheme val="minor"/>
      </rPr>
      <t xml:space="preserve"> increased whole-cell </t>
    </r>
    <r>
      <rPr>
        <b/>
        <sz val="11"/>
        <color theme="1"/>
        <rFont val="Calibri"/>
        <family val="2"/>
        <scheme val="minor"/>
      </rPr>
      <t>DDP</t>
    </r>
    <r>
      <rPr>
        <sz val="11"/>
        <color theme="1"/>
        <rFont val="Calibri"/>
        <family val="2"/>
        <scheme val="minor"/>
      </rPr>
      <t xml:space="preserve"> </t>
    </r>
    <r>
      <rPr>
        <b/>
        <sz val="11"/>
        <color theme="1"/>
        <rFont val="Calibri"/>
        <family val="2"/>
        <scheme val="minor"/>
      </rPr>
      <t>uptake</t>
    </r>
    <r>
      <rPr>
        <sz val="11"/>
        <color theme="1"/>
        <rFont val="Calibri"/>
        <family val="2"/>
        <scheme val="minor"/>
      </rPr>
      <t xml:space="preserve"> and DNA platination in both CTR1(+/+) and CTR1(-/-) cells and proportionately enhanced cytotoxicity while producing no effect on vesicular accumulation or efflux. </t>
    </r>
    <r>
      <rPr>
        <b/>
        <sz val="11"/>
        <color theme="1"/>
        <rFont val="Calibri"/>
        <family val="2"/>
        <scheme val="minor"/>
      </rPr>
      <t>2)</t>
    </r>
    <r>
      <rPr>
        <sz val="11"/>
        <color theme="1"/>
        <rFont val="Calibri"/>
        <family val="2"/>
        <scheme val="minor"/>
      </rPr>
      <t xml:space="preserve"> A significant positive correlation was found between CTR2 mRNA and protein levels and resistance to </t>
    </r>
    <r>
      <rPr>
        <b/>
        <sz val="11"/>
        <color theme="1"/>
        <rFont val="Calibri"/>
        <family val="2"/>
        <scheme val="minor"/>
      </rPr>
      <t>DDP</t>
    </r>
    <r>
      <rPr>
        <sz val="11"/>
        <color theme="1"/>
        <rFont val="Calibri"/>
        <family val="2"/>
        <scheme val="minor"/>
      </rPr>
      <t xml:space="preserve"> in a </t>
    </r>
    <r>
      <rPr>
        <b/>
        <sz val="11"/>
        <color theme="1"/>
        <rFont val="Calibri"/>
        <family val="2"/>
        <scheme val="minor"/>
      </rPr>
      <t>panel</t>
    </r>
    <r>
      <rPr>
        <sz val="11"/>
        <color theme="1"/>
        <rFont val="Calibri"/>
        <family val="2"/>
        <scheme val="minor"/>
      </rPr>
      <t xml:space="preserve"> of six </t>
    </r>
    <r>
      <rPr>
        <b/>
        <sz val="11"/>
        <color theme="1"/>
        <rFont val="Calibri"/>
        <family val="2"/>
        <scheme val="minor"/>
      </rPr>
      <t>ovarian</t>
    </r>
    <r>
      <rPr>
        <sz val="11"/>
        <color theme="1"/>
        <rFont val="Calibri"/>
        <family val="2"/>
        <scheme val="minor"/>
      </rPr>
      <t xml:space="preserve"> carcinoma cell lines. </t>
    </r>
    <r>
      <rPr>
        <b/>
        <sz val="11"/>
        <color theme="1"/>
        <rFont val="Calibri"/>
        <family val="2"/>
        <scheme val="minor"/>
      </rPr>
      <t>3)</t>
    </r>
    <r>
      <rPr>
        <sz val="11"/>
        <color theme="1"/>
        <rFont val="Calibri"/>
        <family val="2"/>
        <scheme val="minor"/>
      </rPr>
      <t xml:space="preserve"> Knockdown of CTR2 was associated with activation of the </t>
    </r>
    <r>
      <rPr>
        <b/>
        <sz val="11"/>
        <color theme="1"/>
        <rFont val="Calibri"/>
        <family val="2"/>
        <scheme val="minor"/>
      </rPr>
      <t>Rac1 and cdc42</t>
    </r>
    <r>
      <rPr>
        <sz val="11"/>
        <color theme="1"/>
        <rFont val="Calibri"/>
        <family val="2"/>
        <scheme val="minor"/>
      </rPr>
      <t xml:space="preserve"> GTPases that control </t>
    </r>
    <r>
      <rPr>
        <b/>
        <sz val="11"/>
        <color theme="1"/>
        <rFont val="Calibri"/>
        <family val="2"/>
        <scheme val="minor"/>
      </rPr>
      <t>macropinocytosis</t>
    </r>
    <r>
      <rPr>
        <sz val="11"/>
        <color theme="1"/>
        <rFont val="Calibri"/>
        <family val="2"/>
        <scheme val="minor"/>
      </rPr>
      <t xml:space="preserve"> but not activation of the phosphoinositide-3 kinase pathway. </t>
    </r>
    <r>
      <rPr>
        <b/>
        <sz val="11"/>
        <color theme="1"/>
        <rFont val="Calibri"/>
        <family val="2"/>
        <scheme val="minor"/>
      </rPr>
      <t xml:space="preserve">4) </t>
    </r>
    <r>
      <rPr>
        <sz val="11"/>
        <color theme="1"/>
        <rFont val="Calibri"/>
        <family val="2"/>
        <scheme val="minor"/>
      </rPr>
      <t xml:space="preserve">CTR2 expression was increased in chemoresistant patients, but not significantly. However, the CTR2/CTR1 ratio was significantly increased in chemoresistant patients. </t>
    </r>
    <r>
      <rPr>
        <b/>
        <sz val="11"/>
        <color theme="1"/>
        <rFont val="Calibri"/>
        <family val="2"/>
        <scheme val="minor"/>
      </rPr>
      <t xml:space="preserve">5) </t>
    </r>
    <r>
      <rPr>
        <sz val="11"/>
        <color theme="1"/>
        <rFont val="Calibri"/>
        <family val="2"/>
        <scheme val="minor"/>
      </rPr>
      <t>Cases with positive CTR2 expression or positive CTR2/CTR1 ratio had poor prognoses. When the CTR2 expression in ovarian cancer cells was suppressed, sensitivity to cisplatin was significantly increased.</t>
    </r>
  </si>
  <si>
    <r>
      <rPr>
        <b/>
        <sz val="11"/>
        <color theme="1"/>
        <rFont val="Calibri"/>
        <family val="2"/>
        <scheme val="minor"/>
      </rPr>
      <t>1)</t>
    </r>
    <r>
      <rPr>
        <sz val="11"/>
        <color theme="1"/>
        <rFont val="Calibri"/>
        <family val="2"/>
        <scheme val="minor"/>
      </rPr>
      <t xml:space="preserve"> </t>
    </r>
    <r>
      <rPr>
        <b/>
        <sz val="11"/>
        <color theme="1"/>
        <rFont val="Calibri"/>
        <family val="2"/>
        <scheme val="minor"/>
      </rPr>
      <t>SLC39A4</t>
    </r>
    <r>
      <rPr>
        <sz val="11"/>
        <color theme="1"/>
        <rFont val="Calibri"/>
        <family val="2"/>
        <scheme val="minor"/>
      </rPr>
      <t xml:space="preserve"> expression is significantly correlated with increased tumour size and regional lymph node spread, as well as shorter overall survival (OS) and disease-free survival (DFS). </t>
    </r>
    <r>
      <rPr>
        <b/>
        <sz val="11"/>
        <color theme="1"/>
        <rFont val="Calibri"/>
        <family val="2"/>
        <scheme val="minor"/>
      </rPr>
      <t>2)</t>
    </r>
    <r>
      <rPr>
        <sz val="11"/>
        <color theme="1"/>
        <rFont val="Calibri"/>
        <family val="2"/>
        <scheme val="minor"/>
      </rPr>
      <t xml:space="preserve"> SLC39A4 silencing by lentivirus-mediated shRNA blocked human </t>
    </r>
    <r>
      <rPr>
        <b/>
        <sz val="11"/>
        <color theme="1"/>
        <rFont val="Calibri"/>
        <family val="2"/>
        <scheme val="minor"/>
      </rPr>
      <t>lung</t>
    </r>
    <r>
      <rPr>
        <sz val="11"/>
        <color theme="1"/>
        <rFont val="Calibri"/>
        <family val="2"/>
        <scheme val="minor"/>
      </rPr>
      <t xml:space="preserve"> cancer cell EMT and metastasis in vitro and in vivo, respectively. </t>
    </r>
    <r>
      <rPr>
        <b/>
        <sz val="11"/>
        <color theme="1"/>
        <rFont val="Calibri"/>
        <family val="2"/>
        <scheme val="minor"/>
      </rPr>
      <t>3)</t>
    </r>
    <r>
      <rPr>
        <sz val="11"/>
        <color theme="1"/>
        <rFont val="Calibri"/>
        <family val="2"/>
        <scheme val="minor"/>
      </rPr>
      <t xml:space="preserve"> SLC39A4 knockdown enhanced cancer cell sensitivity to </t>
    </r>
    <r>
      <rPr>
        <b/>
        <sz val="11"/>
        <color theme="1"/>
        <rFont val="Calibri"/>
        <family val="2"/>
        <scheme val="minor"/>
      </rPr>
      <t>cisplatin</t>
    </r>
    <r>
      <rPr>
        <sz val="11"/>
        <color theme="1"/>
        <rFont val="Calibri"/>
        <family val="2"/>
        <scheme val="minor"/>
      </rPr>
      <t>-induced death by inhibiting stemness in lung cancer cells.</t>
    </r>
  </si>
  <si>
    <r>
      <rPr>
        <b/>
        <sz val="11"/>
        <color theme="1"/>
        <rFont val="Calibri"/>
        <family val="2"/>
        <scheme val="minor"/>
      </rPr>
      <t>1) ZEB1</t>
    </r>
    <r>
      <rPr>
        <sz val="11"/>
        <color theme="1"/>
        <rFont val="Calibri"/>
        <family val="2"/>
        <scheme val="minor"/>
      </rPr>
      <t xml:space="preserve"> was increased in cisplatin-resistant SKOV3/DPP cells. </t>
    </r>
    <r>
      <rPr>
        <b/>
        <sz val="11"/>
        <color theme="1"/>
        <rFont val="Calibri"/>
        <family val="2"/>
        <scheme val="minor"/>
      </rPr>
      <t xml:space="preserve">2) </t>
    </r>
    <r>
      <rPr>
        <sz val="11"/>
        <color theme="1"/>
        <rFont val="Calibri"/>
        <family val="2"/>
        <scheme val="minor"/>
      </rPr>
      <t xml:space="preserve">Downregulation of </t>
    </r>
    <r>
      <rPr>
        <b/>
        <sz val="11"/>
        <color theme="1"/>
        <rFont val="Calibri"/>
        <family val="2"/>
        <scheme val="minor"/>
      </rPr>
      <t>ZEB1</t>
    </r>
    <r>
      <rPr>
        <sz val="11"/>
        <color theme="1"/>
        <rFont val="Calibri"/>
        <family val="2"/>
        <scheme val="minor"/>
      </rPr>
      <t xml:space="preserve"> significantly decreased cell viability in response to </t>
    </r>
    <r>
      <rPr>
        <b/>
        <sz val="11"/>
        <color theme="1"/>
        <rFont val="Calibri"/>
        <family val="2"/>
        <scheme val="minor"/>
      </rPr>
      <t>cisplatin</t>
    </r>
    <r>
      <rPr>
        <sz val="11"/>
        <color theme="1"/>
        <rFont val="Calibri"/>
        <family val="2"/>
        <scheme val="minor"/>
      </rPr>
      <t>, and decreased migration and invasion.</t>
    </r>
    <r>
      <rPr>
        <b/>
        <sz val="11"/>
        <color theme="1"/>
        <rFont val="Calibri"/>
        <family val="2"/>
        <scheme val="minor"/>
      </rPr>
      <t xml:space="preserve"> 3)</t>
    </r>
    <r>
      <rPr>
        <sz val="11"/>
        <color theme="1"/>
        <rFont val="Calibri"/>
        <family val="2"/>
        <scheme val="minor"/>
      </rPr>
      <t xml:space="preserve"> downregulation of ZEB1 decreased the volume and weight of implanted tumors. </t>
    </r>
    <r>
      <rPr>
        <b/>
        <sz val="11"/>
        <color theme="1"/>
        <rFont val="Calibri"/>
        <family val="2"/>
        <scheme val="minor"/>
      </rPr>
      <t>4) SLC3A2</t>
    </r>
    <r>
      <rPr>
        <sz val="11"/>
        <color theme="1"/>
        <rFont val="Calibri"/>
        <family val="2"/>
        <scheme val="minor"/>
      </rPr>
      <t xml:space="preserve"> was decreased in cisplatin-resistant SKOV3/DPP cells. </t>
    </r>
    <r>
      <rPr>
        <b/>
        <sz val="11"/>
        <color theme="1"/>
        <rFont val="Calibri"/>
        <family val="2"/>
        <scheme val="minor"/>
      </rPr>
      <t>5)</t>
    </r>
    <r>
      <rPr>
        <sz val="11"/>
        <color theme="1"/>
        <rFont val="Calibri"/>
        <family val="2"/>
        <scheme val="minor"/>
      </rPr>
      <t xml:space="preserve"> Upregulation of </t>
    </r>
    <r>
      <rPr>
        <b/>
        <sz val="11"/>
        <color theme="1"/>
        <rFont val="Calibri"/>
        <family val="2"/>
        <scheme val="minor"/>
      </rPr>
      <t>SLC3A2</t>
    </r>
    <r>
      <rPr>
        <sz val="11"/>
        <color theme="1"/>
        <rFont val="Calibri"/>
        <family val="2"/>
        <scheme val="minor"/>
      </rPr>
      <t xml:space="preserve"> significantly decreased cell viability in response to </t>
    </r>
    <r>
      <rPr>
        <b/>
        <sz val="11"/>
        <color theme="1"/>
        <rFont val="Calibri"/>
        <family val="2"/>
        <scheme val="minor"/>
      </rPr>
      <t>cisplatin</t>
    </r>
    <r>
      <rPr>
        <sz val="11"/>
        <color theme="1"/>
        <rFont val="Calibri"/>
        <family val="2"/>
        <scheme val="minor"/>
      </rPr>
      <t xml:space="preserve">, and decreased migration and invasion. </t>
    </r>
    <r>
      <rPr>
        <b/>
        <sz val="11"/>
        <color theme="1"/>
        <rFont val="Calibri"/>
        <family val="2"/>
        <scheme val="minor"/>
      </rPr>
      <t>6)</t>
    </r>
    <r>
      <rPr>
        <sz val="11"/>
        <color theme="1"/>
        <rFont val="Calibri"/>
        <family val="2"/>
        <scheme val="minor"/>
      </rPr>
      <t xml:space="preserve"> upregulation of SLC3A2 decreased the volume and weight of implanted tumors. </t>
    </r>
    <r>
      <rPr>
        <b/>
        <sz val="11"/>
        <color theme="1"/>
        <rFont val="Calibri"/>
        <family val="2"/>
        <scheme val="minor"/>
      </rPr>
      <t xml:space="preserve">7) </t>
    </r>
    <r>
      <rPr>
        <sz val="11"/>
        <color theme="1"/>
        <rFont val="Calibri"/>
        <family val="2"/>
        <scheme val="minor"/>
      </rPr>
      <t xml:space="preserve">Downregulation of </t>
    </r>
    <r>
      <rPr>
        <b/>
        <sz val="11"/>
        <color theme="1"/>
        <rFont val="Calibri"/>
        <family val="2"/>
        <scheme val="minor"/>
      </rPr>
      <t>ZEB1</t>
    </r>
    <r>
      <rPr>
        <sz val="11"/>
        <color theme="1"/>
        <rFont val="Calibri"/>
        <family val="2"/>
        <scheme val="minor"/>
      </rPr>
      <t xml:space="preserve"> resulted in a significant increase of </t>
    </r>
    <r>
      <rPr>
        <b/>
        <sz val="11"/>
        <color theme="1"/>
        <rFont val="Calibri"/>
        <family val="2"/>
        <scheme val="minor"/>
      </rPr>
      <t>SLC3A2</t>
    </r>
    <r>
      <rPr>
        <sz val="11"/>
        <color theme="1"/>
        <rFont val="Calibri"/>
        <family val="2"/>
        <scheme val="minor"/>
      </rPr>
      <t xml:space="preserve"> expression. </t>
    </r>
    <r>
      <rPr>
        <b/>
        <sz val="11"/>
        <color theme="1"/>
        <rFont val="Calibri"/>
        <family val="2"/>
        <scheme val="minor"/>
      </rPr>
      <t>8)</t>
    </r>
    <r>
      <rPr>
        <sz val="11"/>
        <color theme="1"/>
        <rFont val="Calibri"/>
        <family val="2"/>
        <scheme val="minor"/>
      </rPr>
      <t xml:space="preserve"> downregulation of SLC3A2 significantly inhibited ZEB1 knockdown-mediated inhibition of cisplatin-resistance.  </t>
    </r>
  </si>
  <si>
    <r>
      <rPr>
        <b/>
        <sz val="11"/>
        <color theme="1"/>
        <rFont val="Calibri"/>
        <family val="2"/>
        <scheme val="minor"/>
      </rPr>
      <t xml:space="preserve">1) </t>
    </r>
    <r>
      <rPr>
        <sz val="11"/>
        <color theme="1"/>
        <rFont val="Calibri"/>
        <family val="2"/>
        <scheme val="minor"/>
      </rPr>
      <t xml:space="preserve">Elevated level of Nrf2 and reduced level of </t>
    </r>
    <r>
      <rPr>
        <b/>
        <sz val="11"/>
        <color theme="1"/>
        <rFont val="Calibri"/>
        <family val="2"/>
        <scheme val="minor"/>
      </rPr>
      <t>SLC40A1</t>
    </r>
    <r>
      <rPr>
        <sz val="11"/>
        <color theme="1"/>
        <rFont val="Calibri"/>
        <family val="2"/>
        <scheme val="minor"/>
      </rPr>
      <t xml:space="preserve"> were found in </t>
    </r>
    <r>
      <rPr>
        <b/>
        <sz val="11"/>
        <color theme="1"/>
        <rFont val="Calibri"/>
        <family val="2"/>
        <scheme val="minor"/>
      </rPr>
      <t>cisplatin</t>
    </r>
    <r>
      <rPr>
        <sz val="11"/>
        <color theme="1"/>
        <rFont val="Calibri"/>
        <family val="2"/>
        <scheme val="minor"/>
      </rPr>
      <t xml:space="preserve">-resistant </t>
    </r>
    <r>
      <rPr>
        <b/>
        <sz val="11"/>
        <color theme="1"/>
        <rFont val="Calibri"/>
        <family val="2"/>
        <scheme val="minor"/>
      </rPr>
      <t>ovarian</t>
    </r>
    <r>
      <rPr>
        <sz val="11"/>
        <color theme="1"/>
        <rFont val="Calibri"/>
        <family val="2"/>
        <scheme val="minor"/>
      </rPr>
      <t xml:space="preserve"> cancer cells as compared with cisplatin-sensitive ovarian cancer cells. </t>
    </r>
    <r>
      <rPr>
        <b/>
        <sz val="11"/>
        <color theme="1"/>
        <rFont val="Calibri"/>
        <family val="2"/>
        <scheme val="minor"/>
      </rPr>
      <t xml:space="preserve">2) </t>
    </r>
    <r>
      <rPr>
        <sz val="11"/>
        <color theme="1"/>
        <rFont val="Calibri"/>
        <family val="2"/>
        <scheme val="minor"/>
      </rPr>
      <t xml:space="preserve"> knockdown of Nrf2 leaded to increased expression of SLC40A1. </t>
    </r>
    <r>
      <rPr>
        <b/>
        <sz val="11"/>
        <color theme="1"/>
        <rFont val="Calibri"/>
        <family val="2"/>
        <scheme val="minor"/>
      </rPr>
      <t>3)</t>
    </r>
    <r>
      <rPr>
        <sz val="11"/>
        <color theme="1"/>
        <rFont val="Calibri"/>
        <family val="2"/>
        <scheme val="minor"/>
      </rPr>
      <t xml:space="preserve"> Nrf2 inhibited the transcription of SLC40A1. </t>
    </r>
    <r>
      <rPr>
        <b/>
        <sz val="11"/>
        <color theme="1"/>
        <rFont val="Calibri"/>
        <family val="2"/>
        <scheme val="minor"/>
      </rPr>
      <t xml:space="preserve">4) </t>
    </r>
    <r>
      <rPr>
        <sz val="11"/>
        <color theme="1"/>
        <rFont val="Calibri"/>
        <family val="2"/>
        <scheme val="minor"/>
      </rPr>
      <t xml:space="preserve">Overexpression of SLC40A1 was able to reverse </t>
    </r>
    <r>
      <rPr>
        <b/>
        <sz val="11"/>
        <color theme="1"/>
        <rFont val="Calibri"/>
        <family val="2"/>
        <scheme val="minor"/>
      </rPr>
      <t>cisplatin</t>
    </r>
    <r>
      <rPr>
        <sz val="11"/>
        <color theme="1"/>
        <rFont val="Calibri"/>
        <family val="2"/>
        <scheme val="minor"/>
      </rPr>
      <t xml:space="preserve"> resistance induced by Nrf2, </t>
    </r>
    <r>
      <rPr>
        <b/>
        <sz val="11"/>
        <color theme="1"/>
        <rFont val="Calibri"/>
        <family val="2"/>
        <scheme val="minor"/>
      </rPr>
      <t xml:space="preserve">5) </t>
    </r>
    <r>
      <rPr>
        <sz val="11"/>
        <color theme="1"/>
        <rFont val="Calibri"/>
        <family val="2"/>
        <scheme val="minor"/>
      </rPr>
      <t xml:space="preserve">knockdown of SLC40A1 restored cisplatin resistance and increased iron concentration. </t>
    </r>
    <r>
      <rPr>
        <b/>
        <sz val="11"/>
        <color theme="1"/>
        <rFont val="Calibri"/>
        <family val="2"/>
        <scheme val="minor"/>
      </rPr>
      <t xml:space="preserve">6) </t>
    </r>
    <r>
      <rPr>
        <sz val="11"/>
        <color theme="1"/>
        <rFont val="Calibri"/>
        <family val="2"/>
        <scheme val="minor"/>
      </rPr>
      <t xml:space="preserve">Desferal, an iron chelator overcome cisplatin resistance; works synergistically with brusatol, an Nrf2 inhibitor. </t>
    </r>
    <r>
      <rPr>
        <b/>
        <sz val="11"/>
        <color theme="1"/>
        <rFont val="Calibri"/>
        <family val="2"/>
        <scheme val="minor"/>
      </rPr>
      <t xml:space="preserve">7) </t>
    </r>
    <r>
      <rPr>
        <sz val="11"/>
        <color theme="1"/>
        <rFont val="Calibri"/>
        <family val="2"/>
        <scheme val="minor"/>
      </rPr>
      <t xml:space="preserve">Iron overload induced by SLC40A1 knockdown resulted in cisplatin resistance in ovarian cancer. </t>
    </r>
  </si>
  <si>
    <r>
      <t xml:space="preserve">Dual Targeting of Epithelial Ovarian Cancer Via Folate Receptor α and the </t>
    </r>
    <r>
      <rPr>
        <b/>
        <sz val="11"/>
        <color theme="1"/>
        <rFont val="Calibri"/>
        <family val="2"/>
        <scheme val="minor"/>
      </rPr>
      <t>Proton-Coupled Folate Transporter</t>
    </r>
    <r>
      <rPr>
        <sz val="11"/>
        <color theme="1"/>
        <rFont val="Calibri"/>
        <family val="2"/>
        <scheme val="minor"/>
      </rPr>
      <t xml:space="preserve"> with 6-Substituted Pyrrolo[2,3-d]pyrimidine Antifolates overcome cisplatin resistance. </t>
    </r>
  </si>
  <si>
    <r>
      <rPr>
        <b/>
        <sz val="11"/>
        <color theme="1"/>
        <rFont val="Calibri"/>
        <family val="2"/>
        <scheme val="minor"/>
      </rPr>
      <t xml:space="preserve">1) </t>
    </r>
    <r>
      <rPr>
        <sz val="11"/>
        <color theme="1"/>
        <rFont val="Calibri"/>
        <family val="2"/>
        <scheme val="minor"/>
      </rPr>
      <t>A panel of miRNAs were found to be dysregulated in</t>
    </r>
    <r>
      <rPr>
        <b/>
        <sz val="11"/>
        <color theme="1"/>
        <rFont val="Calibri"/>
        <family val="2"/>
        <scheme val="minor"/>
      </rPr>
      <t> cisplatin</t>
    </r>
    <r>
      <rPr>
        <sz val="11"/>
        <color theme="1"/>
        <rFont val="Calibri"/>
        <family val="2"/>
        <scheme val="minor"/>
      </rPr>
      <t>-resistant</t>
    </r>
    <r>
      <rPr>
        <b/>
        <sz val="11"/>
        <color theme="1"/>
        <rFont val="Calibri"/>
        <family val="2"/>
        <scheme val="minor"/>
      </rPr>
      <t xml:space="preserve"> bladder</t>
    </r>
    <r>
      <rPr>
        <sz val="11"/>
        <color theme="1"/>
        <rFont val="Calibri"/>
        <family val="2"/>
        <scheme val="minor"/>
      </rPr>
      <t xml:space="preserve"> cancer cells: miRNA-27a was found to target the cystine/glutamate exchanger </t>
    </r>
    <r>
      <rPr>
        <b/>
        <sz val="11"/>
        <color theme="1"/>
        <rFont val="Calibri"/>
        <family val="2"/>
        <scheme val="minor"/>
      </rPr>
      <t>SLC7A11</t>
    </r>
    <r>
      <rPr>
        <sz val="11"/>
        <color theme="1"/>
        <rFont val="Calibri"/>
        <family val="2"/>
        <scheme val="minor"/>
      </rPr>
      <t xml:space="preserve"> and to contribute to cisplatin resistance through modulation of GSH biosynthesis. </t>
    </r>
    <r>
      <rPr>
        <b/>
        <sz val="11"/>
        <color theme="1"/>
        <rFont val="Calibri"/>
        <family val="2"/>
        <scheme val="minor"/>
      </rPr>
      <t>2)</t>
    </r>
    <r>
      <rPr>
        <sz val="11"/>
        <color theme="1"/>
        <rFont val="Calibri"/>
        <family val="2"/>
        <scheme val="minor"/>
      </rPr>
      <t xml:space="preserve"> In </t>
    </r>
    <r>
      <rPr>
        <b/>
        <sz val="11"/>
        <color theme="1"/>
        <rFont val="Calibri"/>
        <family val="2"/>
        <scheme val="minor"/>
      </rPr>
      <t>bladder</t>
    </r>
    <r>
      <rPr>
        <sz val="11"/>
        <color theme="1"/>
        <rFont val="Calibri"/>
        <family val="2"/>
        <scheme val="minor"/>
      </rPr>
      <t xml:space="preserve"> cancer patients, SLC7A11 expression was inversely related to miRNA-27a expression, and those tumors with high mRNA expression or high membrane staining for SLC7A11 experienced poorer clinical outcomes. </t>
    </r>
    <r>
      <rPr>
        <b/>
        <sz val="11"/>
        <color theme="1"/>
        <rFont val="Calibri"/>
        <family val="2"/>
        <scheme val="minor"/>
      </rPr>
      <t xml:space="preserve">3) </t>
    </r>
    <r>
      <rPr>
        <sz val="11"/>
        <color theme="1"/>
        <rFont val="Calibri"/>
        <family val="2"/>
        <scheme val="minor"/>
      </rPr>
      <t xml:space="preserve">Resistant cell lines were resensitized by restoring miRNA-27a expression or reducing SLC7A11 activity with siRNA or with sulfasalazine. </t>
    </r>
    <r>
      <rPr>
        <b/>
        <sz val="11"/>
        <color theme="1"/>
        <rFont val="Calibri"/>
        <family val="2"/>
        <scheme val="minor"/>
      </rPr>
      <t>4)</t>
    </r>
    <r>
      <rPr>
        <sz val="11"/>
        <color theme="1"/>
        <rFont val="Calibri"/>
        <family val="2"/>
        <scheme val="minor"/>
      </rPr>
      <t xml:space="preserve"> GSH and cysteine released by fibroblasts contribute to </t>
    </r>
    <r>
      <rPr>
        <b/>
        <sz val="11"/>
        <color theme="1"/>
        <rFont val="Calibri"/>
        <family val="2"/>
        <scheme val="minor"/>
      </rPr>
      <t>platinum</t>
    </r>
    <r>
      <rPr>
        <sz val="11"/>
        <color theme="1"/>
        <rFont val="Calibri"/>
        <family val="2"/>
        <scheme val="minor"/>
      </rPr>
      <t xml:space="preserve"> resistance; we mixed fibroblasts with </t>
    </r>
    <r>
      <rPr>
        <b/>
        <sz val="11"/>
        <color theme="1"/>
        <rFont val="Calibri"/>
        <family val="2"/>
        <scheme val="minor"/>
      </rPr>
      <t>OC</t>
    </r>
    <r>
      <rPr>
        <sz val="11"/>
        <color theme="1"/>
        <rFont val="Calibri"/>
        <family val="2"/>
        <scheme val="minor"/>
      </rPr>
      <t xml:space="preserve"> cell line A2780 and inoculated subcutaneously into nude mice and treated the mice with cisplatin; knockdown of </t>
    </r>
    <r>
      <rPr>
        <b/>
        <sz val="11"/>
        <color theme="1"/>
        <rFont val="Calibri"/>
        <family val="2"/>
        <scheme val="minor"/>
      </rPr>
      <t>xCT</t>
    </r>
    <r>
      <rPr>
        <sz val="11"/>
        <color theme="1"/>
        <rFont val="Calibri"/>
        <family val="2"/>
        <scheme val="minor"/>
      </rPr>
      <t xml:space="preserve"> expression in fibroblasts attenuated fibroblast-mediated </t>
    </r>
    <r>
      <rPr>
        <b/>
        <sz val="11"/>
        <color theme="1"/>
        <rFont val="Calibri"/>
        <family val="2"/>
        <scheme val="minor"/>
      </rPr>
      <t>cisplatin</t>
    </r>
    <r>
      <rPr>
        <sz val="11"/>
        <color theme="1"/>
        <rFont val="Calibri"/>
        <family val="2"/>
        <scheme val="minor"/>
      </rPr>
      <t xml:space="preserve"> resistance in A2780. </t>
    </r>
  </si>
  <si>
    <r>
      <t xml:space="preserve">1) </t>
    </r>
    <r>
      <rPr>
        <sz val="11"/>
        <color theme="1"/>
        <rFont val="Calibri"/>
        <family val="2"/>
        <scheme val="minor"/>
      </rPr>
      <t xml:space="preserve">human </t>
    </r>
    <r>
      <rPr>
        <b/>
        <sz val="11"/>
        <color theme="1"/>
        <rFont val="Calibri"/>
        <family val="2"/>
        <scheme val="minor"/>
      </rPr>
      <t>head and neck</t>
    </r>
    <r>
      <rPr>
        <sz val="11"/>
        <color theme="1"/>
        <rFont val="Calibri"/>
        <family val="2"/>
        <scheme val="minor"/>
      </rPr>
      <t xml:space="preserve"> cancer cell line, Hep-2, expresses both </t>
    </r>
    <r>
      <rPr>
        <b/>
        <sz val="11"/>
        <color theme="1"/>
        <rFont val="Calibri"/>
        <family val="2"/>
        <scheme val="minor"/>
      </rPr>
      <t>LAT1</t>
    </r>
    <r>
      <rPr>
        <sz val="11"/>
        <color theme="1"/>
        <rFont val="Calibri"/>
        <family val="2"/>
        <scheme val="minor"/>
      </rPr>
      <t xml:space="preserve"> and </t>
    </r>
    <r>
      <rPr>
        <b/>
        <sz val="11"/>
        <color theme="1"/>
        <rFont val="Calibri"/>
        <family val="2"/>
        <scheme val="minor"/>
      </rPr>
      <t>4F2hc</t>
    </r>
    <r>
      <rPr>
        <sz val="11"/>
        <color theme="1"/>
        <rFont val="Calibri"/>
        <family val="2"/>
        <scheme val="minor"/>
      </rPr>
      <t>, another subunit of system L transporter.</t>
    </r>
    <r>
      <rPr>
        <b/>
        <sz val="11"/>
        <color theme="1"/>
        <rFont val="Calibri"/>
        <family val="2"/>
        <scheme val="minor"/>
      </rPr>
      <t xml:space="preserve"> 2)</t>
    </r>
    <r>
      <rPr>
        <sz val="11"/>
        <color theme="1"/>
        <rFont val="Calibri"/>
        <family val="2"/>
        <scheme val="minor"/>
      </rPr>
      <t xml:space="preserve"> BCH inhibited leucine uptake by the cells: Co-administration of </t>
    </r>
    <r>
      <rPr>
        <b/>
        <sz val="11"/>
        <color theme="1"/>
        <rFont val="Calibri"/>
        <family val="2"/>
        <scheme val="minor"/>
      </rPr>
      <t>cisplatin</t>
    </r>
    <r>
      <rPr>
        <sz val="11"/>
        <color theme="1"/>
        <rFont val="Calibri"/>
        <family val="2"/>
        <scheme val="minor"/>
      </rPr>
      <t xml:space="preserve"> with </t>
    </r>
    <r>
      <rPr>
        <b/>
        <sz val="11"/>
        <color theme="1"/>
        <rFont val="Calibri"/>
        <family val="2"/>
        <scheme val="minor"/>
      </rPr>
      <t>BCH</t>
    </r>
    <r>
      <rPr>
        <sz val="11"/>
        <color theme="1"/>
        <rFont val="Calibri"/>
        <family val="2"/>
        <scheme val="minor"/>
      </rPr>
      <t xml:space="preserve"> reduced the viability of the cells more than either agent alone. </t>
    </r>
    <r>
      <rPr>
        <b/>
        <sz val="11"/>
        <color theme="1"/>
        <rFont val="Calibri"/>
        <family val="2"/>
        <scheme val="minor"/>
      </rPr>
      <t xml:space="preserve">3) </t>
    </r>
    <r>
      <rPr>
        <sz val="11"/>
        <color theme="1"/>
        <rFont val="Calibri"/>
        <family val="2"/>
        <scheme val="minor"/>
      </rPr>
      <t xml:space="preserve">BCH treatment decreased the phosphorylation of </t>
    </r>
    <r>
      <rPr>
        <b/>
        <sz val="11"/>
        <color theme="1"/>
        <rFont val="Calibri"/>
        <family val="2"/>
        <scheme val="minor"/>
      </rPr>
      <t>mTOR</t>
    </r>
    <r>
      <rPr>
        <sz val="11"/>
        <color theme="1"/>
        <rFont val="Calibri"/>
        <family val="2"/>
        <scheme val="minor"/>
      </rPr>
      <t xml:space="preserve">, </t>
    </r>
    <r>
      <rPr>
        <b/>
        <sz val="11"/>
        <color theme="1"/>
        <rFont val="Calibri"/>
        <family val="2"/>
        <scheme val="minor"/>
      </rPr>
      <t>p70S6K</t>
    </r>
    <r>
      <rPr>
        <sz val="11"/>
        <color theme="1"/>
        <rFont val="Calibri"/>
        <family val="2"/>
        <scheme val="minor"/>
      </rPr>
      <t xml:space="preserve"> and </t>
    </r>
    <r>
      <rPr>
        <b/>
        <sz val="11"/>
        <color theme="1"/>
        <rFont val="Calibri"/>
        <family val="2"/>
        <scheme val="minor"/>
      </rPr>
      <t>4EBP1</t>
    </r>
    <r>
      <rPr>
        <sz val="11"/>
        <color theme="1"/>
        <rFont val="Calibri"/>
        <family val="2"/>
        <scheme val="minor"/>
      </rPr>
      <t xml:space="preserve">. </t>
    </r>
  </si>
  <si>
    <r>
      <rPr>
        <b/>
        <sz val="11"/>
        <color theme="1"/>
        <rFont val="Calibri"/>
        <family val="2"/>
        <scheme val="minor"/>
      </rPr>
      <t xml:space="preserve">1) </t>
    </r>
    <r>
      <rPr>
        <sz val="11"/>
        <color theme="1"/>
        <rFont val="Calibri"/>
        <family val="2"/>
        <scheme val="minor"/>
      </rPr>
      <t>Na⁺/H⁺ Exchanger Regulatory Factor 1 (</t>
    </r>
    <r>
      <rPr>
        <b/>
        <sz val="11"/>
        <color theme="1"/>
        <rFont val="Calibri"/>
        <family val="2"/>
        <scheme val="minor"/>
      </rPr>
      <t>NHERF1</t>
    </r>
    <r>
      <rPr>
        <sz val="11"/>
        <color theme="1"/>
        <rFont val="Calibri"/>
        <family val="2"/>
        <scheme val="minor"/>
      </rPr>
      <t xml:space="preserve">) was downregulated in cisplatin-resistant cells. </t>
    </r>
    <r>
      <rPr>
        <b/>
        <sz val="11"/>
        <color theme="1"/>
        <rFont val="Calibri"/>
        <family val="2"/>
        <scheme val="minor"/>
      </rPr>
      <t>2)</t>
    </r>
    <r>
      <rPr>
        <sz val="11"/>
        <color theme="1"/>
        <rFont val="Calibri"/>
        <family val="2"/>
        <scheme val="minor"/>
      </rPr>
      <t xml:space="preserve"> association of </t>
    </r>
    <r>
      <rPr>
        <b/>
        <sz val="11"/>
        <color theme="1"/>
        <rFont val="Calibri"/>
        <family val="2"/>
        <scheme val="minor"/>
      </rPr>
      <t>NHERF1</t>
    </r>
    <r>
      <rPr>
        <sz val="11"/>
        <color theme="1"/>
        <rFont val="Calibri"/>
        <family val="2"/>
        <scheme val="minor"/>
      </rPr>
      <t xml:space="preserve"> expression with disease-free survival of patients received</t>
    </r>
    <r>
      <rPr>
        <b/>
        <sz val="11"/>
        <color theme="1"/>
        <rFont val="Calibri"/>
        <family val="2"/>
        <scheme val="minor"/>
      </rPr>
      <t xml:space="preserve"> cisplatin</t>
    </r>
    <r>
      <rPr>
        <sz val="11"/>
        <color theme="1"/>
        <rFont val="Calibri"/>
        <family val="2"/>
        <scheme val="minor"/>
      </rPr>
      <t xml:space="preserve"> treatment. </t>
    </r>
    <r>
      <rPr>
        <b/>
        <sz val="11"/>
        <color theme="1"/>
        <rFont val="Calibri"/>
        <family val="2"/>
        <scheme val="minor"/>
      </rPr>
      <t xml:space="preserve">3) NHERF1 </t>
    </r>
    <r>
      <rPr>
        <sz val="11"/>
        <color theme="1"/>
        <rFont val="Calibri"/>
        <family val="2"/>
        <scheme val="minor"/>
      </rPr>
      <t xml:space="preserve">overexpression inhibited proliferation and enhanced apoptosis in cisplatin-resistant HeLa cells, whereas NHERF1 knockdown had inverse effects. </t>
    </r>
    <r>
      <rPr>
        <b/>
        <sz val="11"/>
        <color theme="1"/>
        <rFont val="Calibri"/>
        <family val="2"/>
        <scheme val="minor"/>
      </rPr>
      <t>4)</t>
    </r>
    <r>
      <rPr>
        <sz val="11"/>
        <color theme="1"/>
        <rFont val="Calibri"/>
        <family val="2"/>
        <scheme val="minor"/>
      </rPr>
      <t xml:space="preserve"> </t>
    </r>
    <r>
      <rPr>
        <b/>
        <sz val="11"/>
        <color theme="1"/>
        <rFont val="Calibri"/>
        <family val="2"/>
        <scheme val="minor"/>
      </rPr>
      <t>NHERF1</t>
    </r>
    <r>
      <rPr>
        <sz val="11"/>
        <color theme="1"/>
        <rFont val="Calibri"/>
        <family val="2"/>
        <scheme val="minor"/>
      </rPr>
      <t xml:space="preserve"> significantly inhibited </t>
    </r>
    <r>
      <rPr>
        <b/>
        <sz val="11"/>
        <color theme="1"/>
        <rFont val="Calibri"/>
        <family val="2"/>
        <scheme val="minor"/>
      </rPr>
      <t>AKT</t>
    </r>
    <r>
      <rPr>
        <sz val="11"/>
        <color theme="1"/>
        <rFont val="Calibri"/>
        <family val="2"/>
        <scheme val="minor"/>
      </rPr>
      <t xml:space="preserve"> and extracellular signal-regulated kinase (</t>
    </r>
    <r>
      <rPr>
        <b/>
        <sz val="11"/>
        <color theme="1"/>
        <rFont val="Calibri"/>
        <family val="2"/>
        <scheme val="minor"/>
      </rPr>
      <t>ERK</t>
    </r>
    <r>
      <rPr>
        <sz val="11"/>
        <color theme="1"/>
        <rFont val="Calibri"/>
        <family val="2"/>
        <scheme val="minor"/>
      </rPr>
      <t xml:space="preserve">) signaling pathways in cisplatin-resistant cells. </t>
    </r>
    <r>
      <rPr>
        <b/>
        <sz val="11"/>
        <color theme="1"/>
        <rFont val="Calibri"/>
        <family val="2"/>
        <scheme val="minor"/>
      </rPr>
      <t>5) NHERF1</t>
    </r>
    <r>
      <rPr>
        <sz val="11"/>
        <color theme="1"/>
        <rFont val="Calibri"/>
        <family val="2"/>
        <scheme val="minor"/>
      </rPr>
      <t xml:space="preserve"> inhibition of </t>
    </r>
    <r>
      <rPr>
        <b/>
        <sz val="11"/>
        <color theme="1"/>
        <rFont val="Calibri"/>
        <family val="2"/>
        <scheme val="minor"/>
      </rPr>
      <t>cervical</t>
    </r>
    <r>
      <rPr>
        <sz val="11"/>
        <color theme="1"/>
        <rFont val="Calibri"/>
        <family val="2"/>
        <scheme val="minor"/>
      </rPr>
      <t xml:space="preserve"> cancer cell proliferation through </t>
    </r>
    <r>
      <rPr>
        <b/>
        <sz val="11"/>
        <color theme="1"/>
        <rFont val="Calibri"/>
        <family val="2"/>
        <scheme val="minor"/>
      </rPr>
      <t>Wnt/β-catenin signaling</t>
    </r>
    <r>
      <rPr>
        <sz val="11"/>
        <color theme="1"/>
        <rFont val="Calibri"/>
        <family val="2"/>
        <scheme val="minor"/>
      </rPr>
      <t xml:space="preserve"> was dependent on α-actinin-4 (</t>
    </r>
    <r>
      <rPr>
        <b/>
        <sz val="11"/>
        <color theme="1"/>
        <rFont val="Calibri"/>
        <family val="2"/>
        <scheme val="minor"/>
      </rPr>
      <t>ACTN4</t>
    </r>
    <r>
      <rPr>
        <sz val="11"/>
        <color theme="1"/>
        <rFont val="Calibri"/>
        <family val="2"/>
        <scheme val="minor"/>
      </rPr>
      <t xml:space="preserve">) expression. </t>
    </r>
    <r>
      <rPr>
        <b/>
        <sz val="11"/>
        <color theme="1"/>
        <rFont val="Calibri"/>
        <family val="2"/>
        <scheme val="minor"/>
      </rPr>
      <t xml:space="preserve">6) </t>
    </r>
    <r>
      <rPr>
        <sz val="11"/>
        <color theme="1"/>
        <rFont val="Calibri"/>
        <family val="2"/>
        <scheme val="minor"/>
      </rPr>
      <t xml:space="preserve">A negative association between </t>
    </r>
    <r>
      <rPr>
        <b/>
        <sz val="11"/>
        <color theme="1"/>
        <rFont val="Calibri"/>
        <family val="2"/>
        <scheme val="minor"/>
      </rPr>
      <t>NHERF1</t>
    </r>
    <r>
      <rPr>
        <sz val="11"/>
        <color theme="1"/>
        <rFont val="Calibri"/>
        <family val="2"/>
        <scheme val="minor"/>
      </rPr>
      <t xml:space="preserve"> expression and levels of </t>
    </r>
    <r>
      <rPr>
        <b/>
        <sz val="11"/>
        <color theme="1"/>
        <rFont val="Calibri"/>
        <family val="2"/>
        <scheme val="minor"/>
      </rPr>
      <t>ACTN4</t>
    </r>
    <r>
      <rPr>
        <sz val="11"/>
        <color theme="1"/>
        <rFont val="Calibri"/>
        <family val="2"/>
        <scheme val="minor"/>
      </rPr>
      <t xml:space="preserve"> and </t>
    </r>
    <r>
      <rPr>
        <b/>
        <sz val="11"/>
        <color theme="1"/>
        <rFont val="Calibri"/>
        <family val="2"/>
        <scheme val="minor"/>
      </rPr>
      <t>β-catenin</t>
    </r>
    <r>
      <rPr>
        <sz val="11"/>
        <color theme="1"/>
        <rFont val="Calibri"/>
        <family val="2"/>
        <scheme val="minor"/>
      </rPr>
      <t xml:space="preserve"> was found in mouse xenograft model and cervical cancer specimens. </t>
    </r>
    <r>
      <rPr>
        <b/>
        <sz val="11"/>
        <color theme="1"/>
        <rFont val="Calibri"/>
        <family val="2"/>
        <scheme val="minor"/>
      </rPr>
      <t>7)</t>
    </r>
    <r>
      <rPr>
        <sz val="11"/>
        <color theme="1"/>
        <rFont val="Calibri"/>
        <family val="2"/>
        <scheme val="minor"/>
      </rPr>
      <t xml:space="preserve"> Low levels of </t>
    </r>
    <r>
      <rPr>
        <b/>
        <sz val="11"/>
        <color theme="1"/>
        <rFont val="Calibri"/>
        <family val="2"/>
        <scheme val="minor"/>
      </rPr>
      <t>NHERF1</t>
    </r>
    <r>
      <rPr>
        <sz val="11"/>
        <color theme="1"/>
        <rFont val="Calibri"/>
        <family val="2"/>
        <scheme val="minor"/>
      </rPr>
      <t xml:space="preserve"> in </t>
    </r>
    <r>
      <rPr>
        <b/>
        <sz val="11"/>
        <color theme="1"/>
        <rFont val="Calibri"/>
        <family val="2"/>
        <scheme val="minor"/>
      </rPr>
      <t>cervical</t>
    </r>
    <r>
      <rPr>
        <sz val="11"/>
        <color theme="1"/>
        <rFont val="Calibri"/>
        <family val="2"/>
        <scheme val="minor"/>
      </rPr>
      <t xml:space="preserve"> cancer specimens were found to associate with activation of cell proliferation and </t>
    </r>
    <r>
      <rPr>
        <b/>
        <sz val="11"/>
        <color theme="1"/>
        <rFont val="Calibri"/>
        <family val="2"/>
        <scheme val="minor"/>
      </rPr>
      <t>Wnt/β-catenin</t>
    </r>
    <r>
      <rPr>
        <sz val="11"/>
        <color theme="1"/>
        <rFont val="Calibri"/>
        <family val="2"/>
        <scheme val="minor"/>
      </rPr>
      <t xml:space="preserve"> signaling by gene set enrichment analysis, and also were an independent predictive factor for worse prognosis of cervical cancer patients by Cox regression analysis. </t>
    </r>
  </si>
  <si>
    <r>
      <rPr>
        <b/>
        <sz val="11"/>
        <color theme="1"/>
        <rFont val="Calibri"/>
        <family val="2"/>
        <scheme val="minor"/>
      </rPr>
      <t xml:space="preserve">1) </t>
    </r>
    <r>
      <rPr>
        <sz val="11"/>
        <color theme="1"/>
        <rFont val="Calibri"/>
        <family val="2"/>
        <scheme val="minor"/>
      </rPr>
      <t xml:space="preserve">OATP1B3, but not OATP1B1, is abundantly expressed in multiple human solid tumors that include hepatocellular, lung, and </t>
    </r>
    <r>
      <rPr>
        <b/>
        <sz val="11"/>
        <color theme="1"/>
        <rFont val="Calibri"/>
        <family val="2"/>
        <scheme val="minor"/>
      </rPr>
      <t>ovarian</t>
    </r>
    <r>
      <rPr>
        <sz val="11"/>
        <color theme="1"/>
        <rFont val="Calibri"/>
        <family val="2"/>
        <scheme val="minor"/>
      </rPr>
      <t xml:space="preserve"> carcinomas. </t>
    </r>
    <r>
      <rPr>
        <b/>
        <sz val="11"/>
        <color theme="1"/>
        <rFont val="Calibri"/>
        <family val="2"/>
        <scheme val="minor"/>
      </rPr>
      <t>2)</t>
    </r>
    <r>
      <rPr>
        <sz val="11"/>
        <color theme="1"/>
        <rFont val="Calibri"/>
        <family val="2"/>
        <scheme val="minor"/>
      </rPr>
      <t xml:space="preserve"> OATP1B3 gene </t>
    </r>
    <r>
      <rPr>
        <b/>
        <sz val="11"/>
        <color theme="1"/>
        <rFont val="Calibri"/>
        <family val="2"/>
        <scheme val="minor"/>
      </rPr>
      <t>expression</t>
    </r>
    <r>
      <rPr>
        <sz val="11"/>
        <color theme="1"/>
        <rFont val="Calibri"/>
        <family val="2"/>
        <scheme val="minor"/>
      </rPr>
      <t xml:space="preserve"> in a panel of 60 human tumor cell lines was linked with sensitivity to multiple cytotoxic agents, including </t>
    </r>
    <r>
      <rPr>
        <b/>
        <sz val="11"/>
        <color theme="1"/>
        <rFont val="Calibri"/>
        <family val="2"/>
        <scheme val="minor"/>
      </rPr>
      <t>cisplatin, carboplatin, and oxaliplatin</t>
    </r>
    <r>
      <rPr>
        <sz val="11"/>
        <color theme="1"/>
        <rFont val="Calibri"/>
        <family val="2"/>
        <scheme val="minor"/>
      </rPr>
      <t xml:space="preserve">. </t>
    </r>
    <r>
      <rPr>
        <b/>
        <sz val="11"/>
        <color theme="1"/>
        <rFont val="Calibri"/>
        <family val="2"/>
        <scheme val="minor"/>
      </rPr>
      <t xml:space="preserve">3) </t>
    </r>
    <r>
      <rPr>
        <sz val="11"/>
        <color theme="1"/>
        <rFont val="Calibri"/>
        <family val="2"/>
        <scheme val="minor"/>
      </rPr>
      <t xml:space="preserve">overexpression of OATP1B3 in mammalian cells increased cellular accumulation of platinum agents and decreased cell survival. </t>
    </r>
  </si>
  <si>
    <r>
      <rPr>
        <b/>
        <sz val="11"/>
        <color theme="1"/>
        <rFont val="Calibri"/>
        <family val="2"/>
        <scheme val="minor"/>
      </rPr>
      <t>1)</t>
    </r>
    <r>
      <rPr>
        <sz val="11"/>
        <color theme="1"/>
        <rFont val="Calibri"/>
        <family val="2"/>
        <scheme val="minor"/>
      </rPr>
      <t xml:space="preserve"> promoter CpG island hypermethylation-associated silencing of </t>
    </r>
    <r>
      <rPr>
        <b/>
        <sz val="11"/>
        <color theme="1"/>
        <rFont val="Calibri"/>
        <family val="2"/>
        <scheme val="minor"/>
      </rPr>
      <t>SLFN11</t>
    </r>
    <r>
      <rPr>
        <sz val="11"/>
        <color theme="1"/>
        <rFont val="Calibri"/>
        <family val="2"/>
        <scheme val="minor"/>
      </rPr>
      <t xml:space="preserve"> to be associated with increased resistance to </t>
    </r>
    <r>
      <rPr>
        <b/>
        <sz val="11"/>
        <color theme="1"/>
        <rFont val="Calibri"/>
        <family val="2"/>
        <scheme val="minor"/>
      </rPr>
      <t>platinum</t>
    </r>
    <r>
      <rPr>
        <sz val="11"/>
        <color theme="1"/>
        <rFont val="Calibri"/>
        <family val="2"/>
        <scheme val="minor"/>
      </rPr>
      <t xml:space="preserve"> compounds. </t>
    </r>
    <r>
      <rPr>
        <b/>
        <sz val="11"/>
        <color theme="1"/>
        <rFont val="Calibri"/>
        <family val="2"/>
        <scheme val="minor"/>
      </rPr>
      <t xml:space="preserve">2) </t>
    </r>
    <r>
      <rPr>
        <sz val="11"/>
        <color theme="1"/>
        <rFont val="Calibri"/>
        <family val="2"/>
        <scheme val="minor"/>
      </rPr>
      <t>silencing of SLFN11 gene expression increases resistance to cisplatin and carboplatin treatments.</t>
    </r>
    <r>
      <rPr>
        <b/>
        <sz val="11"/>
        <color theme="1"/>
        <rFont val="Calibri"/>
        <family val="2"/>
        <scheme val="minor"/>
      </rPr>
      <t xml:space="preserve"> 3) </t>
    </r>
    <r>
      <rPr>
        <sz val="11"/>
        <color theme="1"/>
        <rFont val="Calibri"/>
        <family val="2"/>
        <scheme val="minor"/>
      </rPr>
      <t xml:space="preserve">the BRCA1 interacting DHX9 RNA helicase as a protein partner for SLFN11. </t>
    </r>
    <r>
      <rPr>
        <b/>
        <sz val="11"/>
        <color theme="1"/>
        <rFont val="Calibri"/>
        <family val="2"/>
        <scheme val="minor"/>
      </rPr>
      <t>4)</t>
    </r>
    <r>
      <rPr>
        <sz val="11"/>
        <color theme="1"/>
        <rFont val="Calibri"/>
        <family val="2"/>
        <scheme val="minor"/>
      </rPr>
      <t xml:space="preserve"> those patients with ovarian and non-small cell lung cancer carrying SLFN11 hypermethylation had a poor response to both cisplatin and carboplatin treatments. </t>
    </r>
    <r>
      <rPr>
        <b/>
        <sz val="11"/>
        <color theme="1"/>
        <rFont val="Calibri"/>
        <family val="2"/>
        <scheme val="minor"/>
      </rPr>
      <t xml:space="preserve">5) </t>
    </r>
    <r>
      <rPr>
        <sz val="11"/>
        <color theme="1"/>
        <rFont val="Calibri"/>
        <family val="2"/>
        <scheme val="minor"/>
      </rPr>
      <t xml:space="preserve">high SLFN11 expression independently predicts overall survival in a group of </t>
    </r>
    <r>
      <rPr>
        <b/>
        <sz val="11"/>
        <color theme="1"/>
        <rFont val="Calibri"/>
        <family val="2"/>
        <scheme val="minor"/>
      </rPr>
      <t>ovarian</t>
    </r>
    <r>
      <rPr>
        <sz val="11"/>
        <color theme="1"/>
        <rFont val="Calibri"/>
        <family val="2"/>
        <scheme val="minor"/>
      </rPr>
      <t xml:space="preserve"> cancer patients treated with </t>
    </r>
    <r>
      <rPr>
        <b/>
        <sz val="11"/>
        <color theme="1"/>
        <rFont val="Calibri"/>
        <family val="2"/>
        <scheme val="minor"/>
      </rPr>
      <t>cisplatin</t>
    </r>
    <r>
      <rPr>
        <sz val="11"/>
        <color theme="1"/>
        <rFont val="Calibri"/>
        <family val="2"/>
        <scheme val="minor"/>
      </rPr>
      <t xml:space="preserve">-containing regimens. </t>
    </r>
    <r>
      <rPr>
        <b/>
        <sz val="11"/>
        <color theme="1"/>
        <rFont val="Calibri"/>
        <family val="2"/>
        <scheme val="minor"/>
      </rPr>
      <t>6)</t>
    </r>
    <r>
      <rPr>
        <sz val="11"/>
        <color theme="1"/>
        <rFont val="Calibri"/>
        <family val="2"/>
        <scheme val="minor"/>
      </rPr>
      <t xml:space="preserve"> SLFN11 irreversibly blocks replication in cells under replication stress, explaining why SLFN11-positive cells are markedly more efficiently killed by DNA-targeting drugs than SLFN11-negative cells. </t>
    </r>
    <r>
      <rPr>
        <b/>
        <sz val="11"/>
        <color theme="1"/>
        <rFont val="Calibri"/>
        <family val="2"/>
        <scheme val="minor"/>
      </rPr>
      <t>7) SLFN11</t>
    </r>
    <r>
      <rPr>
        <sz val="11"/>
        <color theme="1"/>
        <rFont val="Calibri"/>
        <family val="2"/>
        <scheme val="minor"/>
      </rPr>
      <t xml:space="preserve"> is inactivated in ~50% of cancer cell lines and in a large fraction of tumors,</t>
    </r>
    <r>
      <rPr>
        <b/>
        <sz val="11"/>
        <color theme="1"/>
        <rFont val="Calibri"/>
        <family val="2"/>
        <scheme val="minor"/>
      </rPr>
      <t xml:space="preserve"> 8)</t>
    </r>
    <r>
      <rPr>
        <sz val="11"/>
        <color theme="1"/>
        <rFont val="Calibri"/>
        <family val="2"/>
        <scheme val="minor"/>
      </rPr>
      <t xml:space="preserve"> is linked with the native immune, interferon and T-cells responses, implying the translational relevance of measuring SLFN11 expression as a predictive biomarker of response and resistance in patients. </t>
    </r>
  </si>
  <si>
    <r>
      <rPr>
        <b/>
        <sz val="11"/>
        <color theme="1"/>
        <rFont val="Calibri"/>
        <family val="2"/>
        <scheme val="minor"/>
      </rPr>
      <t xml:space="preserve">1) </t>
    </r>
    <r>
      <rPr>
        <sz val="11"/>
        <color theme="1"/>
        <rFont val="Calibri"/>
        <family val="2"/>
        <scheme val="minor"/>
      </rPr>
      <t xml:space="preserve">Downregulation of SWI/SNF chromatin remodeling factor subunits </t>
    </r>
    <r>
      <rPr>
        <b/>
        <sz val="11"/>
        <color theme="1"/>
        <rFont val="Calibri"/>
        <family val="2"/>
        <scheme val="minor"/>
      </rPr>
      <t xml:space="preserve">brg1 </t>
    </r>
    <r>
      <rPr>
        <sz val="11"/>
        <color theme="1"/>
        <rFont val="Calibri"/>
        <family val="2"/>
        <scheme val="minor"/>
      </rPr>
      <t xml:space="preserve">or </t>
    </r>
    <r>
      <rPr>
        <b/>
        <sz val="11"/>
        <color theme="1"/>
        <rFont val="Calibri"/>
        <family val="2"/>
        <scheme val="minor"/>
      </rPr>
      <t>brm</t>
    </r>
    <r>
      <rPr>
        <sz val="11"/>
        <color theme="1"/>
        <rFont val="Calibri"/>
        <family val="2"/>
        <scheme val="minor"/>
      </rPr>
      <t xml:space="preserve"> modulates </t>
    </r>
    <r>
      <rPr>
        <b/>
        <sz val="11"/>
        <color theme="1"/>
        <rFont val="Calibri"/>
        <family val="2"/>
        <scheme val="minor"/>
      </rPr>
      <t>cisplatin</t>
    </r>
    <r>
      <rPr>
        <sz val="11"/>
        <color theme="1"/>
        <rFont val="Calibri"/>
        <family val="2"/>
        <scheme val="minor"/>
      </rPr>
      <t xml:space="preserve"> cytotoxicity by impeding the repair of both intrastrand adducts and interstrand crosslinks (ICLs) </t>
    </r>
    <r>
      <rPr>
        <b/>
        <sz val="11"/>
        <color theme="1"/>
        <rFont val="Calibri"/>
        <family val="2"/>
        <scheme val="minor"/>
      </rPr>
      <t xml:space="preserve">2) </t>
    </r>
    <r>
      <rPr>
        <sz val="11"/>
        <color theme="1"/>
        <rFont val="Calibri"/>
        <family val="2"/>
        <scheme val="minor"/>
      </rPr>
      <t xml:space="preserve">CAMK2D and </t>
    </r>
    <r>
      <rPr>
        <b/>
        <sz val="11"/>
        <color theme="1"/>
        <rFont val="Calibri"/>
        <family val="2"/>
        <scheme val="minor"/>
      </rPr>
      <t>SMARCA2</t>
    </r>
    <r>
      <rPr>
        <sz val="11"/>
        <color theme="1"/>
        <rFont val="Calibri"/>
        <family val="2"/>
        <scheme val="minor"/>
      </rPr>
      <t xml:space="preserve"> were identified as exhibiting increased expression in cisplatin-resistant cells. </t>
    </r>
    <r>
      <rPr>
        <b/>
        <sz val="11"/>
        <color theme="1"/>
        <rFont val="Calibri"/>
        <family val="2"/>
        <scheme val="minor"/>
      </rPr>
      <t>3)</t>
    </r>
    <r>
      <rPr>
        <sz val="11"/>
        <color theme="1"/>
        <rFont val="Calibri"/>
        <family val="2"/>
        <scheme val="minor"/>
      </rPr>
      <t xml:space="preserve"> Overexpression of either SMARCA2 or CAMK2D led to a significant increase in the survival rates of A2780 and SKVO3 cells following cisplatin treatment. 4) An increased mRNA level of CAMK2D was detected in samples with shorter RFS rates. </t>
    </r>
  </si>
  <si>
    <r>
      <rPr>
        <b/>
        <sz val="11"/>
        <color theme="1"/>
        <rFont val="Calibri"/>
        <family val="2"/>
        <scheme val="minor"/>
      </rPr>
      <t>1) BAF57</t>
    </r>
    <r>
      <rPr>
        <sz val="11"/>
        <color theme="1"/>
        <rFont val="Calibri"/>
        <family val="2"/>
        <scheme val="minor"/>
      </rPr>
      <t xml:space="preserve"> expression was strongly correlated with sensitivities to </t>
    </r>
    <r>
      <rPr>
        <b/>
        <sz val="11"/>
        <color theme="1"/>
        <rFont val="Calibri"/>
        <family val="2"/>
        <scheme val="minor"/>
      </rPr>
      <t>cisplatin</t>
    </r>
    <r>
      <rPr>
        <sz val="11"/>
        <color theme="1"/>
        <rFont val="Calibri"/>
        <family val="2"/>
        <scheme val="minor"/>
      </rPr>
      <t>, doxorubicin, and 5-fluorouracil in 10 ovarian cancer cell lines.</t>
    </r>
    <r>
      <rPr>
        <b/>
        <sz val="11"/>
        <color theme="1"/>
        <rFont val="Calibri"/>
        <family val="2"/>
        <scheme val="minor"/>
      </rPr>
      <t xml:space="preserve"> 2) </t>
    </r>
    <r>
      <rPr>
        <sz val="11"/>
        <color theme="1"/>
        <rFont val="Calibri"/>
        <family val="2"/>
        <scheme val="minor"/>
      </rPr>
      <t xml:space="preserve">In A2780 ovarian cancer cells, siRNA knockdown of BAF57 increased cell cycle arrest at G1 phase and the sensitivities to these anticancer agents. </t>
    </r>
    <r>
      <rPr>
        <b/>
        <sz val="11"/>
        <color theme="1"/>
        <rFont val="Calibri"/>
        <family val="2"/>
        <scheme val="minor"/>
      </rPr>
      <t>3)</t>
    </r>
    <r>
      <rPr>
        <sz val="11"/>
        <color theme="1"/>
        <rFont val="Calibri"/>
        <family val="2"/>
        <scheme val="minor"/>
      </rPr>
      <t xml:space="preserve"> cDNA microarray analysis of A2780 cells transfected with BAF57 siRNA showed that 134 genes were positively regulated by BAF57, including WHITE, ABCG2, BCRP.</t>
    </r>
    <r>
      <rPr>
        <b/>
        <sz val="11"/>
        <color theme="1"/>
        <rFont val="Calibri"/>
        <family val="2"/>
        <scheme val="minor"/>
      </rPr>
      <t xml:space="preserve"> 4) </t>
    </r>
    <r>
      <rPr>
        <sz val="11"/>
        <color theme="1"/>
        <rFont val="Calibri"/>
        <family val="2"/>
        <scheme val="minor"/>
      </rPr>
      <t xml:space="preserve">knockdown of BAF57  results in decreased BCRP and ABCG2 gene expression. </t>
    </r>
  </si>
  <si>
    <r>
      <rPr>
        <b/>
        <sz val="11"/>
        <color theme="1"/>
        <rFont val="Calibri"/>
        <family val="2"/>
        <scheme val="minor"/>
      </rPr>
      <t xml:space="preserve">1) </t>
    </r>
    <r>
      <rPr>
        <sz val="11"/>
        <color theme="1"/>
        <rFont val="Calibri"/>
        <family val="2"/>
        <scheme val="minor"/>
      </rPr>
      <t xml:space="preserve">The expression of Hh signaling pathway components (SHH, </t>
    </r>
    <r>
      <rPr>
        <b/>
        <sz val="11"/>
        <color theme="1"/>
        <rFont val="Calibri"/>
        <family val="2"/>
        <scheme val="minor"/>
      </rPr>
      <t>SMO</t>
    </r>
    <r>
      <rPr>
        <sz val="11"/>
        <color theme="1"/>
        <rFont val="Calibri"/>
        <family val="2"/>
        <scheme val="minor"/>
      </rPr>
      <t xml:space="preserve">, PTCH, and GLI1) in 193 ovarian epithelial tumor specimens (including 147 malignant epithelial ovarian cancers, 30 borderline ovarian tumors, 16 benign ovarian epithelial tumors) and 11 normal ovarian epithelial tissues: significant differences were also revealed in the expression levels of SMO (P=0.013) and GLI1 (P=0.0005) between the </t>
    </r>
    <r>
      <rPr>
        <b/>
        <sz val="11"/>
        <color theme="1"/>
        <rFont val="Calibri"/>
        <family val="2"/>
        <scheme val="minor"/>
      </rPr>
      <t>platinum</t>
    </r>
    <r>
      <rPr>
        <sz val="11"/>
        <color theme="1"/>
        <rFont val="Calibri"/>
        <family val="2"/>
        <scheme val="minor"/>
      </rPr>
      <t xml:space="preserve"> drug-sensitive and drug-resistant groups. </t>
    </r>
    <r>
      <rPr>
        <b/>
        <sz val="11"/>
        <color theme="1"/>
        <rFont val="Calibri"/>
        <family val="2"/>
        <scheme val="minor"/>
      </rPr>
      <t xml:space="preserve">2) </t>
    </r>
    <r>
      <rPr>
        <sz val="11"/>
        <color theme="1"/>
        <rFont val="Calibri"/>
        <family val="2"/>
        <scheme val="minor"/>
      </rPr>
      <t xml:space="preserve">The overexpression of SMO and GLI1 was further confirmed in the cisplatin-resistant ovarian cancer cell line A2780/DDP by immunofluorescence, flow cytometry and western blotting. </t>
    </r>
    <r>
      <rPr>
        <b/>
        <sz val="11"/>
        <color theme="1"/>
        <rFont val="Calibri"/>
        <family val="2"/>
        <scheme val="minor"/>
      </rPr>
      <t>3)</t>
    </r>
    <r>
      <rPr>
        <sz val="11"/>
        <color theme="1"/>
        <rFont val="Calibri"/>
        <family val="2"/>
        <scheme val="minor"/>
      </rPr>
      <t xml:space="preserve"> Hedgehog inhibition enhances efficacy of radiation and cisplatin in orthotopic cervical cancer xenografts.</t>
    </r>
  </si>
  <si>
    <r>
      <rPr>
        <b/>
        <sz val="11"/>
        <color theme="1"/>
        <rFont val="Calibri"/>
        <family val="2"/>
        <scheme val="minor"/>
      </rPr>
      <t>1)</t>
    </r>
    <r>
      <rPr>
        <sz val="11"/>
        <color theme="1"/>
        <rFont val="Calibri"/>
        <family val="2"/>
        <scheme val="minor"/>
      </rPr>
      <t xml:space="preserve"> </t>
    </r>
    <r>
      <rPr>
        <b/>
        <sz val="11"/>
        <color theme="1"/>
        <rFont val="Calibri"/>
        <family val="2"/>
        <scheme val="minor"/>
      </rPr>
      <t>Cisplatin</t>
    </r>
    <r>
      <rPr>
        <sz val="11"/>
        <color theme="1"/>
        <rFont val="Calibri"/>
        <family val="2"/>
        <scheme val="minor"/>
      </rPr>
      <t xml:space="preserve"> treatment induced </t>
    </r>
    <r>
      <rPr>
        <b/>
        <sz val="11"/>
        <color theme="1"/>
        <rFont val="Calibri"/>
        <family val="2"/>
        <scheme val="minor"/>
      </rPr>
      <t>ovarian</t>
    </r>
    <r>
      <rPr>
        <sz val="11"/>
        <color theme="1"/>
        <rFont val="Calibri"/>
        <family val="2"/>
        <scheme val="minor"/>
      </rPr>
      <t xml:space="preserve"> cell plasma membrane alterations accompanied by increased </t>
    </r>
    <r>
      <rPr>
        <b/>
        <sz val="11"/>
        <color theme="1"/>
        <rFont val="Calibri"/>
        <family val="2"/>
        <scheme val="minor"/>
      </rPr>
      <t>ASMase</t>
    </r>
    <r>
      <rPr>
        <sz val="11"/>
        <color theme="1"/>
        <rFont val="Calibri"/>
        <family val="2"/>
        <scheme val="minor"/>
      </rPr>
      <t xml:space="preserve"> activity, leading to the upregulation of FAS, FASL and related pro-apoptotic BAX and PUMA genes. </t>
    </r>
    <r>
      <rPr>
        <b/>
        <sz val="11"/>
        <color theme="1"/>
        <rFont val="Calibri"/>
        <family val="2"/>
        <scheme val="minor"/>
      </rPr>
      <t>2)</t>
    </r>
    <r>
      <rPr>
        <sz val="11"/>
        <color theme="1"/>
        <rFont val="Calibri"/>
        <family val="2"/>
        <scheme val="minor"/>
      </rPr>
      <t xml:space="preserve"> Asm(-/-) mice were resistant to cisplatin and no apoptosis was observed in these organs after treatment. </t>
    </r>
    <r>
      <rPr>
        <b/>
        <sz val="11"/>
        <color theme="1"/>
        <rFont val="Calibri"/>
        <family val="2"/>
        <scheme val="minor"/>
      </rPr>
      <t xml:space="preserve">3) </t>
    </r>
    <r>
      <rPr>
        <sz val="11"/>
        <color theme="1"/>
        <rFont val="Calibri"/>
        <family val="2"/>
        <scheme val="minor"/>
      </rPr>
      <t xml:space="preserve">Cells’ exposure to cisplatin induces a translocation of </t>
    </r>
    <r>
      <rPr>
        <b/>
        <sz val="11"/>
        <color theme="1"/>
        <rFont val="Calibri"/>
        <family val="2"/>
        <scheme val="minor"/>
      </rPr>
      <t>acidic sphingomyelinase (ASMase</t>
    </r>
    <r>
      <rPr>
        <sz val="11"/>
        <color theme="1"/>
        <rFont val="Calibri"/>
        <family val="2"/>
        <scheme val="minor"/>
      </rPr>
      <t xml:space="preserve">) to the extracellular surface of the plasma membrane, which induce a rapid increase of ceramide levels, triggering the redistribution of FAS, together with the adaptor molecule FADD and procaspase-8 to induce apoptosis. </t>
    </r>
    <r>
      <rPr>
        <b/>
        <sz val="11"/>
        <color theme="1"/>
        <rFont val="Calibri"/>
        <family val="2"/>
        <scheme val="minor"/>
      </rPr>
      <t>4)</t>
    </r>
    <r>
      <rPr>
        <sz val="11"/>
        <color theme="1"/>
        <rFont val="Calibri"/>
        <family val="2"/>
        <scheme val="minor"/>
      </rPr>
      <t xml:space="preserve"> Chemo-resistance to </t>
    </r>
    <r>
      <rPr>
        <b/>
        <sz val="11"/>
        <color theme="1"/>
        <rFont val="Calibri"/>
        <family val="2"/>
        <scheme val="minor"/>
      </rPr>
      <t>cisplatin</t>
    </r>
    <r>
      <rPr>
        <sz val="11"/>
        <color theme="1"/>
        <rFont val="Calibri"/>
        <family val="2"/>
        <scheme val="minor"/>
      </rPr>
      <t xml:space="preserve"> is</t>
    </r>
    <r>
      <rPr>
        <u/>
        <sz val="11"/>
        <color theme="1"/>
        <rFont val="Calibri"/>
        <family val="2"/>
        <scheme val="minor"/>
      </rPr>
      <t xml:space="preserve"> inversely</t>
    </r>
    <r>
      <rPr>
        <sz val="11"/>
        <color theme="1"/>
        <rFont val="Calibri"/>
        <family val="2"/>
        <scheme val="minor"/>
      </rPr>
      <t xml:space="preserve"> proportional to </t>
    </r>
    <r>
      <rPr>
        <b/>
        <sz val="11"/>
        <color theme="1"/>
        <rFont val="Calibri"/>
        <family val="2"/>
        <scheme val="minor"/>
      </rPr>
      <t>A-SMase</t>
    </r>
    <r>
      <rPr>
        <sz val="11"/>
        <color theme="1"/>
        <rFont val="Calibri"/>
        <family val="2"/>
        <scheme val="minor"/>
      </rPr>
      <t xml:space="preserve"> levels in melanoma cells and grafts. </t>
    </r>
  </si>
  <si>
    <r>
      <rPr>
        <b/>
        <sz val="11"/>
        <color theme="1"/>
        <rFont val="Calibri"/>
        <family val="2"/>
        <scheme val="minor"/>
      </rPr>
      <t xml:space="preserve">1) </t>
    </r>
    <r>
      <rPr>
        <sz val="11"/>
        <color theme="1"/>
        <rFont val="Calibri"/>
        <family val="2"/>
        <scheme val="minor"/>
      </rPr>
      <t xml:space="preserve">An enhanced </t>
    </r>
    <r>
      <rPr>
        <b/>
        <sz val="11"/>
        <color theme="1"/>
        <rFont val="Calibri"/>
        <family val="2"/>
        <scheme val="minor"/>
      </rPr>
      <t>cisplatin</t>
    </r>
    <r>
      <rPr>
        <sz val="11"/>
        <color theme="1"/>
        <rFont val="Calibri"/>
        <family val="2"/>
        <scheme val="minor"/>
      </rPr>
      <t xml:space="preserve"> sensitivity was observed in the </t>
    </r>
    <r>
      <rPr>
        <b/>
        <sz val="11"/>
        <color theme="1"/>
        <rFont val="Calibri"/>
        <family val="2"/>
        <scheme val="minor"/>
      </rPr>
      <t>ovarian</t>
    </r>
    <r>
      <rPr>
        <sz val="11"/>
        <color theme="1"/>
        <rFont val="Calibri"/>
        <family val="2"/>
        <scheme val="minor"/>
      </rPr>
      <t xml:space="preserve"> cancer A2780/CP cells treated with SOD1-specific siRNA, compared to non-siRNA-treated or scrambled-siRNA-treated control cells.</t>
    </r>
  </si>
  <si>
    <r>
      <rPr>
        <b/>
        <sz val="11"/>
        <color theme="1"/>
        <rFont val="Calibri"/>
        <family val="2"/>
        <scheme val="minor"/>
      </rPr>
      <t xml:space="preserve">1) </t>
    </r>
    <r>
      <rPr>
        <sz val="11"/>
        <color theme="1"/>
        <rFont val="Calibri"/>
        <family val="2"/>
        <scheme val="minor"/>
      </rPr>
      <t xml:space="preserve">a higher expression of </t>
    </r>
    <r>
      <rPr>
        <b/>
        <sz val="11"/>
        <color theme="1"/>
        <rFont val="Calibri"/>
        <family val="2"/>
        <scheme val="minor"/>
      </rPr>
      <t>SOD‑2</t>
    </r>
    <r>
      <rPr>
        <sz val="11"/>
        <color theme="1"/>
        <rFont val="Calibri"/>
        <family val="2"/>
        <scheme val="minor"/>
      </rPr>
      <t xml:space="preserve"> in human </t>
    </r>
    <r>
      <rPr>
        <b/>
        <sz val="11"/>
        <color theme="1"/>
        <rFont val="Calibri"/>
        <family val="2"/>
        <scheme val="minor"/>
      </rPr>
      <t>ESCC</t>
    </r>
    <r>
      <rPr>
        <sz val="11"/>
        <color theme="1"/>
        <rFont val="Calibri"/>
        <family val="2"/>
        <scheme val="minor"/>
      </rPr>
      <t xml:space="preserve"> samples was associated with </t>
    </r>
    <r>
      <rPr>
        <b/>
        <sz val="11"/>
        <color theme="1"/>
        <rFont val="Calibri"/>
        <family val="2"/>
        <scheme val="minor"/>
      </rPr>
      <t xml:space="preserve">TNF‑α </t>
    </r>
    <r>
      <rPr>
        <sz val="11"/>
        <color theme="1"/>
        <rFont val="Calibri"/>
        <family val="2"/>
        <scheme val="minor"/>
      </rPr>
      <t xml:space="preserve">expression and poor overall survival in patients with ESCC. </t>
    </r>
    <r>
      <rPr>
        <b/>
        <sz val="11"/>
        <color theme="1"/>
        <rFont val="Calibri"/>
        <family val="2"/>
        <scheme val="minor"/>
      </rPr>
      <t>2)</t>
    </r>
    <r>
      <rPr>
        <sz val="11"/>
        <color theme="1"/>
        <rFont val="Calibri"/>
        <family val="2"/>
        <scheme val="minor"/>
      </rPr>
      <t xml:space="preserve"> the human</t>
    </r>
    <r>
      <rPr>
        <b/>
        <sz val="11"/>
        <color theme="1"/>
        <rFont val="Calibri"/>
        <family val="2"/>
        <scheme val="minor"/>
      </rPr>
      <t xml:space="preserve"> ESCC</t>
    </r>
    <r>
      <rPr>
        <sz val="11"/>
        <color theme="1"/>
        <rFont val="Calibri"/>
        <family val="2"/>
        <scheme val="minor"/>
      </rPr>
      <t xml:space="preserve"> cell line Eca‑109 was treated with TNF‑α in vitro. TNF‑α could upregulate SOD‑2 and induce cell proliferation in Eca109 cells, while blocking </t>
    </r>
    <r>
      <rPr>
        <b/>
        <sz val="11"/>
        <color theme="1"/>
        <rFont val="Calibri"/>
        <family val="2"/>
        <scheme val="minor"/>
      </rPr>
      <t>SOD‑2</t>
    </r>
    <r>
      <rPr>
        <sz val="11"/>
        <color theme="1"/>
        <rFont val="Calibri"/>
        <family val="2"/>
        <scheme val="minor"/>
      </rPr>
      <t xml:space="preserve"> using siRNA inhibited </t>
    </r>
    <r>
      <rPr>
        <b/>
        <sz val="11"/>
        <color theme="1"/>
        <rFont val="Calibri"/>
        <family val="2"/>
        <scheme val="minor"/>
      </rPr>
      <t>TNF‑α</t>
    </r>
    <r>
      <rPr>
        <sz val="11"/>
        <color theme="1"/>
        <rFont val="Calibri"/>
        <family val="2"/>
        <scheme val="minor"/>
      </rPr>
      <t xml:space="preserve">‑induced cell proliferation. </t>
    </r>
    <r>
      <rPr>
        <b/>
        <sz val="11"/>
        <color theme="1"/>
        <rFont val="Calibri"/>
        <family val="2"/>
        <scheme val="minor"/>
      </rPr>
      <t>3)</t>
    </r>
    <r>
      <rPr>
        <sz val="11"/>
        <color theme="1"/>
        <rFont val="Calibri"/>
        <family val="2"/>
        <scheme val="minor"/>
      </rPr>
      <t xml:space="preserve"> Upregulation of SOD‑2 by TNF‑α was inhibited by blocking the </t>
    </r>
    <r>
      <rPr>
        <b/>
        <sz val="11"/>
        <color theme="1"/>
        <rFont val="Calibri"/>
        <family val="2"/>
        <scheme val="minor"/>
      </rPr>
      <t>NF‑κB</t>
    </r>
    <r>
      <rPr>
        <sz val="11"/>
        <color theme="1"/>
        <rFont val="Calibri"/>
        <family val="2"/>
        <scheme val="minor"/>
      </rPr>
      <t xml:space="preserve"> pathway. </t>
    </r>
    <r>
      <rPr>
        <b/>
        <sz val="11"/>
        <color theme="1"/>
        <rFont val="Calibri"/>
        <family val="2"/>
        <scheme val="minor"/>
      </rPr>
      <t xml:space="preserve">4) </t>
    </r>
    <r>
      <rPr>
        <sz val="11"/>
        <color theme="1"/>
        <rFont val="Calibri"/>
        <family val="2"/>
        <scheme val="minor"/>
      </rPr>
      <t xml:space="preserve">TNF‑α could induce </t>
    </r>
    <r>
      <rPr>
        <b/>
        <sz val="11"/>
        <color theme="1"/>
        <rFont val="Calibri"/>
        <family val="2"/>
        <scheme val="minor"/>
      </rPr>
      <t>cisplatin resistance</t>
    </r>
    <r>
      <rPr>
        <sz val="11"/>
        <color theme="1"/>
        <rFont val="Calibri"/>
        <family val="2"/>
        <scheme val="minor"/>
      </rPr>
      <t xml:space="preserve"> in Eca109 cells, while transfection with SOD‑2 siRNA could significantly increase the chemosensitivity of ESCC to </t>
    </r>
    <r>
      <rPr>
        <b/>
        <sz val="11"/>
        <color theme="1"/>
        <rFont val="Calibri"/>
        <family val="2"/>
        <scheme val="minor"/>
      </rPr>
      <t>cisplatin</t>
    </r>
    <r>
      <rPr>
        <sz val="11"/>
        <color theme="1"/>
        <rFont val="Calibri"/>
        <family val="2"/>
        <scheme val="minor"/>
      </rPr>
      <t>. </t>
    </r>
    <r>
      <rPr>
        <b/>
        <sz val="11"/>
        <color theme="1"/>
        <rFont val="Calibri"/>
        <family val="2"/>
        <scheme val="minor"/>
      </rPr>
      <t xml:space="preserve">5) </t>
    </r>
    <r>
      <rPr>
        <sz val="11"/>
        <color theme="1"/>
        <rFont val="Calibri"/>
        <family val="2"/>
        <scheme val="minor"/>
      </rPr>
      <t>the development of drug resistance was accompanied by enhanced expression of the genes encoding the key antioxidant enzymes (</t>
    </r>
    <r>
      <rPr>
        <b/>
        <sz val="11"/>
        <color theme="1"/>
        <rFont val="Calibri"/>
        <family val="2"/>
        <scheme val="minor"/>
      </rPr>
      <t>SOD2</t>
    </r>
    <r>
      <rPr>
        <sz val="11"/>
        <color theme="1"/>
        <rFont val="Calibri"/>
        <family val="2"/>
        <scheme val="minor"/>
      </rPr>
      <t xml:space="preserve">, CAT, GPX1, and HO-1) and transcription factor </t>
    </r>
    <r>
      <rPr>
        <b/>
        <sz val="11"/>
        <color theme="1"/>
        <rFont val="Calibri"/>
        <family val="2"/>
        <scheme val="minor"/>
      </rPr>
      <t>Nrf2</t>
    </r>
    <r>
      <rPr>
        <sz val="11"/>
        <color theme="1"/>
        <rFont val="Calibri"/>
        <family val="2"/>
        <scheme val="minor"/>
      </rPr>
      <t xml:space="preserve"> in </t>
    </r>
    <r>
      <rPr>
        <b/>
        <sz val="11"/>
        <color theme="1"/>
        <rFont val="Calibri"/>
        <family val="2"/>
        <scheme val="minor"/>
      </rPr>
      <t>OC</t>
    </r>
    <r>
      <rPr>
        <sz val="11"/>
        <color theme="1"/>
        <rFont val="Calibri"/>
        <family val="2"/>
        <scheme val="minor"/>
      </rPr>
      <t xml:space="preserve"> SKOV-3 cells. </t>
    </r>
    <r>
      <rPr>
        <b/>
        <sz val="11"/>
        <color theme="1"/>
        <rFont val="Calibri"/>
        <family val="2"/>
        <scheme val="minor"/>
      </rPr>
      <t>6)</t>
    </r>
    <r>
      <rPr>
        <sz val="11"/>
        <color theme="1"/>
        <rFont val="Calibri"/>
        <family val="2"/>
        <scheme val="minor"/>
      </rPr>
      <t xml:space="preserve"> the IC50 of cisplatin was positively correlated with </t>
    </r>
    <r>
      <rPr>
        <b/>
        <sz val="11"/>
        <color theme="1"/>
        <rFont val="Calibri"/>
        <family val="2"/>
        <scheme val="minor"/>
      </rPr>
      <t>MnSOD</t>
    </r>
    <r>
      <rPr>
        <sz val="11"/>
        <color theme="1"/>
        <rFont val="Calibri"/>
        <family val="2"/>
        <scheme val="minor"/>
      </rPr>
      <t xml:space="preserve"> expression and its activity in a panel of </t>
    </r>
    <r>
      <rPr>
        <b/>
        <sz val="11"/>
        <color theme="1"/>
        <rFont val="Calibri"/>
        <family val="2"/>
        <scheme val="minor"/>
      </rPr>
      <t>lung</t>
    </r>
    <r>
      <rPr>
        <sz val="11"/>
        <color theme="1"/>
        <rFont val="Calibri"/>
        <family val="2"/>
        <scheme val="minor"/>
      </rPr>
      <t xml:space="preserve"> adenocarcinoma cells. </t>
    </r>
    <r>
      <rPr>
        <b/>
        <sz val="11"/>
        <color theme="1"/>
        <rFont val="Calibri"/>
        <family val="2"/>
        <scheme val="minor"/>
      </rPr>
      <t>7)</t>
    </r>
    <r>
      <rPr>
        <sz val="11"/>
        <color theme="1"/>
        <rFont val="Calibri"/>
        <family val="2"/>
        <scheme val="minor"/>
      </rPr>
      <t xml:space="preserve"> an increase in </t>
    </r>
    <r>
      <rPr>
        <b/>
        <sz val="11"/>
        <color theme="1"/>
        <rFont val="Calibri"/>
        <family val="2"/>
        <scheme val="minor"/>
      </rPr>
      <t>Bcl-2</t>
    </r>
    <r>
      <rPr>
        <sz val="11"/>
        <color theme="1"/>
        <rFont val="Calibri"/>
        <family val="2"/>
        <scheme val="minor"/>
      </rPr>
      <t xml:space="preserve"> by </t>
    </r>
    <r>
      <rPr>
        <b/>
        <sz val="11"/>
        <color theme="1"/>
        <rFont val="Calibri"/>
        <family val="2"/>
        <scheme val="minor"/>
      </rPr>
      <t>MnSOD</t>
    </r>
    <r>
      <rPr>
        <sz val="11"/>
        <color theme="1"/>
        <rFont val="Calibri"/>
        <family val="2"/>
        <scheme val="minor"/>
      </rPr>
      <t xml:space="preserve">-mediated </t>
    </r>
    <r>
      <rPr>
        <b/>
        <sz val="11"/>
        <color theme="1"/>
        <rFont val="Calibri"/>
        <family val="2"/>
        <scheme val="minor"/>
      </rPr>
      <t>NF-κB</t>
    </r>
    <r>
      <rPr>
        <sz val="11"/>
        <color theme="1"/>
        <rFont val="Calibri"/>
        <family val="2"/>
        <scheme val="minor"/>
      </rPr>
      <t xml:space="preserve"> activation confers greater </t>
    </r>
    <r>
      <rPr>
        <b/>
        <sz val="11"/>
        <color theme="1"/>
        <rFont val="Calibri"/>
        <family val="2"/>
        <scheme val="minor"/>
      </rPr>
      <t>cisplatin</t>
    </r>
    <r>
      <rPr>
        <sz val="11"/>
        <color theme="1"/>
        <rFont val="Calibri"/>
        <family val="2"/>
        <scheme val="minor"/>
      </rPr>
      <t xml:space="preserve"> resistance than </t>
    </r>
    <r>
      <rPr>
        <b/>
        <sz val="11"/>
        <color theme="1"/>
        <rFont val="Calibri"/>
        <family val="2"/>
        <scheme val="minor"/>
      </rPr>
      <t>cIAP2</t>
    </r>
    <r>
      <rPr>
        <sz val="11"/>
        <color theme="1"/>
        <rFont val="Calibri"/>
        <family val="2"/>
        <scheme val="minor"/>
      </rPr>
      <t xml:space="preserve">, </t>
    </r>
    <r>
      <rPr>
        <b/>
        <sz val="11"/>
        <color theme="1"/>
        <rFont val="Calibri"/>
        <family val="2"/>
        <scheme val="minor"/>
      </rPr>
      <t>Bcl-xL</t>
    </r>
    <r>
      <rPr>
        <sz val="11"/>
        <color theme="1"/>
        <rFont val="Calibri"/>
        <family val="2"/>
        <scheme val="minor"/>
      </rPr>
      <t xml:space="preserve">, </t>
    </r>
    <r>
      <rPr>
        <b/>
        <sz val="11"/>
        <color theme="1"/>
        <rFont val="Calibri"/>
        <family val="2"/>
        <scheme val="minor"/>
      </rPr>
      <t>Mcl-1</t>
    </r>
    <r>
      <rPr>
        <sz val="11"/>
        <color theme="1"/>
        <rFont val="Calibri"/>
        <family val="2"/>
        <scheme val="minor"/>
      </rPr>
      <t xml:space="preserve">, and </t>
    </r>
    <r>
      <rPr>
        <b/>
        <sz val="11"/>
        <color theme="1"/>
        <rFont val="Calibri"/>
        <family val="2"/>
        <scheme val="minor"/>
      </rPr>
      <t>Snail</t>
    </r>
    <r>
      <rPr>
        <sz val="11"/>
        <color theme="1"/>
        <rFont val="Calibri"/>
        <family val="2"/>
        <scheme val="minor"/>
      </rPr>
      <t xml:space="preserve">. </t>
    </r>
    <r>
      <rPr>
        <b/>
        <sz val="11"/>
        <color theme="1"/>
        <rFont val="Calibri"/>
        <family val="2"/>
        <scheme val="minor"/>
      </rPr>
      <t>8) MnSOD</t>
    </r>
    <r>
      <rPr>
        <sz val="11"/>
        <color theme="1"/>
        <rFont val="Calibri"/>
        <family val="2"/>
        <scheme val="minor"/>
      </rPr>
      <t xml:space="preserve">-mediated cisplatin resistance can be overcome by a Bcl-2 antagonist (ABT-199) or IKKβ inhibitor (curcumin) in cells and xenograft tumors. </t>
    </r>
    <r>
      <rPr>
        <b/>
        <sz val="11"/>
        <color theme="1"/>
        <rFont val="Calibri"/>
        <family val="2"/>
        <scheme val="minor"/>
      </rPr>
      <t>9) MnSOD</t>
    </r>
    <r>
      <rPr>
        <sz val="11"/>
        <color theme="1"/>
        <rFont val="Calibri"/>
        <family val="2"/>
        <scheme val="minor"/>
      </rPr>
      <t xml:space="preserve"> expression was positively correlated with nuclear </t>
    </r>
    <r>
      <rPr>
        <b/>
        <sz val="11"/>
        <color theme="1"/>
        <rFont val="Calibri"/>
        <family val="2"/>
        <scheme val="minor"/>
      </rPr>
      <t>p65</t>
    </r>
    <r>
      <rPr>
        <sz val="11"/>
        <color theme="1"/>
        <rFont val="Calibri"/>
        <family val="2"/>
        <scheme val="minor"/>
      </rPr>
      <t xml:space="preserve"> protein and</t>
    </r>
    <r>
      <rPr>
        <b/>
        <sz val="11"/>
        <color theme="1"/>
        <rFont val="Calibri"/>
        <family val="2"/>
        <scheme val="minor"/>
      </rPr>
      <t xml:space="preserve"> Bcl-2</t>
    </r>
    <r>
      <rPr>
        <sz val="11"/>
        <color theme="1"/>
        <rFont val="Calibri"/>
        <family val="2"/>
        <scheme val="minor"/>
      </rPr>
      <t xml:space="preserve"> mRNA expression in tumors from patients with lung adenocarcinomas. It was more common for MnSOD-positive, nuclear p65-positive, or high Bcl-2 mRNA tumors to have an unfavorable response to </t>
    </r>
    <r>
      <rPr>
        <b/>
        <sz val="11"/>
        <color theme="1"/>
        <rFont val="Calibri"/>
        <family val="2"/>
        <scheme val="minor"/>
      </rPr>
      <t>cisplatin</t>
    </r>
    <r>
      <rPr>
        <sz val="11"/>
        <color theme="1"/>
        <rFont val="Calibri"/>
        <family val="2"/>
        <scheme val="minor"/>
      </rPr>
      <t>-based chemotherapy than their counterparts. </t>
    </r>
  </si>
  <si>
    <r>
      <rPr>
        <b/>
        <sz val="11"/>
        <color theme="1"/>
        <rFont val="Calibri"/>
        <family val="2"/>
        <scheme val="minor"/>
      </rPr>
      <t>1)</t>
    </r>
    <r>
      <rPr>
        <sz val="11"/>
        <color theme="1"/>
        <rFont val="Calibri"/>
        <family val="2"/>
        <scheme val="minor"/>
      </rPr>
      <t xml:space="preserve"> The level of </t>
    </r>
    <r>
      <rPr>
        <b/>
        <sz val="11"/>
        <color theme="1"/>
        <rFont val="Calibri"/>
        <family val="2"/>
        <scheme val="minor"/>
      </rPr>
      <t>SOX1</t>
    </r>
    <r>
      <rPr>
        <sz val="11"/>
        <color theme="1"/>
        <rFont val="Calibri"/>
        <family val="2"/>
        <scheme val="minor"/>
      </rPr>
      <t xml:space="preserve"> mRNA in</t>
    </r>
    <r>
      <rPr>
        <b/>
        <sz val="11"/>
        <color theme="1"/>
        <rFont val="Calibri"/>
        <family val="2"/>
        <scheme val="minor"/>
      </rPr>
      <t xml:space="preserve"> cisplatin</t>
    </r>
    <r>
      <rPr>
        <sz val="11"/>
        <color theme="1"/>
        <rFont val="Calibri"/>
        <family val="2"/>
        <scheme val="minor"/>
      </rPr>
      <t xml:space="preserve"> resistance cells was markedly reduced when compared to parental cells. </t>
    </r>
    <r>
      <rPr>
        <b/>
        <sz val="11"/>
        <color theme="1"/>
        <rFont val="Calibri"/>
        <family val="2"/>
        <scheme val="minor"/>
      </rPr>
      <t>2)</t>
    </r>
    <r>
      <rPr>
        <sz val="11"/>
        <color theme="1"/>
        <rFont val="Calibri"/>
        <family val="2"/>
        <scheme val="minor"/>
      </rPr>
      <t xml:space="preserve"> Promoter methylation of SOX1 was induced in cisplatin resistance cells. </t>
    </r>
    <r>
      <rPr>
        <b/>
        <sz val="11"/>
        <color theme="1"/>
        <rFont val="Calibri"/>
        <family val="2"/>
        <scheme val="minor"/>
      </rPr>
      <t>3)</t>
    </r>
    <r>
      <rPr>
        <sz val="11"/>
        <color theme="1"/>
        <rFont val="Calibri"/>
        <family val="2"/>
        <scheme val="minor"/>
      </rPr>
      <t xml:space="preserve"> SOX1 silencing enhanced the cisplatin-mediated autophagy in </t>
    </r>
    <r>
      <rPr>
        <b/>
        <sz val="11"/>
        <color theme="1"/>
        <rFont val="Calibri"/>
        <family val="2"/>
        <scheme val="minor"/>
      </rPr>
      <t>NSCLC</t>
    </r>
    <r>
      <rPr>
        <sz val="11"/>
        <color theme="1"/>
        <rFont val="Calibri"/>
        <family val="2"/>
        <scheme val="minor"/>
      </rPr>
      <t xml:space="preserve">. </t>
    </r>
  </si>
  <si>
    <r>
      <rPr>
        <b/>
        <sz val="11"/>
        <color theme="1"/>
        <rFont val="Calibri"/>
        <family val="2"/>
        <scheme val="minor"/>
      </rPr>
      <t xml:space="preserve">1) </t>
    </r>
    <r>
      <rPr>
        <sz val="11"/>
        <color theme="1"/>
        <rFont val="Calibri"/>
        <family val="2"/>
        <scheme val="minor"/>
      </rPr>
      <t xml:space="preserve">Malignant serous, mucinous, and endometrioid tumors were significantly more likely to express </t>
    </r>
    <r>
      <rPr>
        <b/>
        <sz val="11"/>
        <color theme="1"/>
        <rFont val="Calibri"/>
        <family val="2"/>
        <scheme val="minor"/>
      </rPr>
      <t>Sox10</t>
    </r>
    <r>
      <rPr>
        <sz val="11"/>
        <color theme="1"/>
        <rFont val="Calibri"/>
        <family val="2"/>
        <scheme val="minor"/>
      </rPr>
      <t xml:space="preserve"> than benign and borderline tumors. </t>
    </r>
    <r>
      <rPr>
        <b/>
        <sz val="11"/>
        <color theme="1"/>
        <rFont val="Calibri"/>
        <family val="2"/>
        <scheme val="minor"/>
      </rPr>
      <t xml:space="preserve">2) </t>
    </r>
    <r>
      <rPr>
        <sz val="11"/>
        <color theme="1"/>
        <rFont val="Calibri"/>
        <family val="2"/>
        <scheme val="minor"/>
      </rPr>
      <t xml:space="preserve">Nuclear </t>
    </r>
    <r>
      <rPr>
        <b/>
        <sz val="11"/>
        <color theme="1"/>
        <rFont val="Calibri"/>
        <family val="2"/>
        <scheme val="minor"/>
      </rPr>
      <t>Sox10</t>
    </r>
    <r>
      <rPr>
        <sz val="11"/>
        <color theme="1"/>
        <rFont val="Calibri"/>
        <family val="2"/>
        <scheme val="minor"/>
      </rPr>
      <t xml:space="preserve"> staining was also associated with </t>
    </r>
    <r>
      <rPr>
        <b/>
        <sz val="11"/>
        <color theme="1"/>
        <rFont val="Calibri"/>
        <family val="2"/>
        <scheme val="minor"/>
      </rPr>
      <t>chemoresistance</t>
    </r>
    <r>
      <rPr>
        <sz val="11"/>
        <color theme="1"/>
        <rFont val="Calibri"/>
        <family val="2"/>
        <scheme val="minor"/>
      </rPr>
      <t xml:space="preserve"> and shorter overall survival in </t>
    </r>
    <r>
      <rPr>
        <b/>
        <sz val="11"/>
        <color theme="1"/>
        <rFont val="Calibri"/>
        <family val="2"/>
        <scheme val="minor"/>
      </rPr>
      <t>ovarian</t>
    </r>
    <r>
      <rPr>
        <sz val="11"/>
        <color theme="1"/>
        <rFont val="Calibri"/>
        <family val="2"/>
        <scheme val="minor"/>
      </rPr>
      <t xml:space="preserve"> adenocarcinomas, notably in high-grade serous adenocarcinoma. </t>
    </r>
    <r>
      <rPr>
        <b/>
        <sz val="11"/>
        <color theme="1"/>
        <rFont val="Calibri"/>
        <family val="2"/>
        <scheme val="minor"/>
      </rPr>
      <t>3)</t>
    </r>
    <r>
      <rPr>
        <sz val="11"/>
        <color theme="1"/>
        <rFont val="Calibri"/>
        <family val="2"/>
        <scheme val="minor"/>
      </rPr>
      <t xml:space="preserve"> Nuclear Sox10 expression is an independent indicator of poor prognosis in ovarian adenocarcinomas, notably in high-grade serous adenocarcinomas</t>
    </r>
  </si>
  <si>
    <r>
      <rPr>
        <b/>
        <sz val="11"/>
        <color theme="1"/>
        <rFont val="Calibri"/>
        <family val="2"/>
        <scheme val="minor"/>
      </rPr>
      <t xml:space="preserve">1) </t>
    </r>
    <r>
      <rPr>
        <sz val="11"/>
        <color theme="1"/>
        <rFont val="Calibri"/>
        <family val="2"/>
        <scheme val="minor"/>
      </rPr>
      <t xml:space="preserve">High DNA methylation coincided with low mRNA and protein expression levels of SOX17 in pre-treatment endoscopic biopsy from </t>
    </r>
    <r>
      <rPr>
        <b/>
        <sz val="11"/>
        <color theme="1"/>
        <rFont val="Calibri"/>
        <family val="2"/>
        <scheme val="minor"/>
      </rPr>
      <t>ESCC</t>
    </r>
    <r>
      <rPr>
        <sz val="11"/>
        <color theme="1"/>
        <rFont val="Calibri"/>
        <family val="2"/>
        <scheme val="minor"/>
      </rPr>
      <t xml:space="preserve"> patients with poor </t>
    </r>
    <r>
      <rPr>
        <b/>
        <sz val="11"/>
        <color theme="1"/>
        <rFont val="Calibri"/>
        <family val="2"/>
        <scheme val="minor"/>
      </rPr>
      <t>CCRT</t>
    </r>
    <r>
      <rPr>
        <sz val="11"/>
        <color theme="1"/>
        <rFont val="Calibri"/>
        <family val="2"/>
        <scheme val="minor"/>
      </rPr>
      <t xml:space="preserve"> response. </t>
    </r>
    <r>
      <rPr>
        <b/>
        <sz val="11"/>
        <color theme="1"/>
        <rFont val="Calibri"/>
        <family val="2"/>
        <scheme val="minor"/>
      </rPr>
      <t>2)</t>
    </r>
    <r>
      <rPr>
        <sz val="11"/>
        <color theme="1"/>
        <rFont val="Calibri"/>
        <family val="2"/>
        <scheme val="minor"/>
      </rPr>
      <t xml:space="preserve"> SOX17 protein expression exhibited a good prediction performance in discriminating poor CCRT responders from good responder. </t>
    </r>
    <r>
      <rPr>
        <b/>
        <sz val="11"/>
        <color theme="1"/>
        <rFont val="Calibri"/>
        <family val="2"/>
        <scheme val="minor"/>
      </rPr>
      <t xml:space="preserve">3) </t>
    </r>
    <r>
      <rPr>
        <sz val="11"/>
        <color theme="1"/>
        <rFont val="Calibri"/>
        <family val="2"/>
        <scheme val="minor"/>
      </rPr>
      <t>Overexpression of SOX17 sensitized KYSE510 radio-resistant cells to </t>
    </r>
    <r>
      <rPr>
        <b/>
        <sz val="11"/>
        <color theme="1"/>
        <rFont val="Calibri"/>
        <family val="2"/>
        <scheme val="minor"/>
      </rPr>
      <t>cisplatin</t>
    </r>
    <r>
      <rPr>
        <sz val="11"/>
        <color theme="1"/>
        <rFont val="Calibri"/>
        <family val="2"/>
        <scheme val="minor"/>
      </rPr>
      <t xml:space="preserve">, radiation or CCRT treatment in cell and xenograft models. </t>
    </r>
    <r>
      <rPr>
        <b/>
        <sz val="11"/>
        <color theme="1"/>
        <rFont val="Calibri"/>
        <family val="2"/>
        <scheme val="minor"/>
      </rPr>
      <t>4)</t>
    </r>
    <r>
      <rPr>
        <sz val="11"/>
        <color theme="1"/>
        <rFont val="Calibri"/>
        <family val="2"/>
        <scheme val="minor"/>
      </rPr>
      <t xml:space="preserve"> SOX17 transcriptionally down-regulated DNA repair and damage response-related genes including BRCA1, BRCA2, RAD51, KU80 DNAPK, p21, SIRT1, NFAT5 and REV3L in KYSE510 radio-resistant cells to achieve the sensitization effect to anti-cancer treatment. </t>
    </r>
    <r>
      <rPr>
        <b/>
        <sz val="11"/>
        <color theme="1"/>
        <rFont val="Calibri"/>
        <family val="2"/>
        <scheme val="minor"/>
      </rPr>
      <t>5)</t>
    </r>
    <r>
      <rPr>
        <sz val="11"/>
        <color theme="1"/>
        <rFont val="Calibri"/>
        <family val="2"/>
        <scheme val="minor"/>
      </rPr>
      <t xml:space="preserve"> Low expression of BRCA1, DNAPK, p21, RAD51 and SIRT1 was confirmed in SOX17 sensitized xenograft tissues derived from radio-resistant ESCC cells.</t>
    </r>
  </si>
  <si>
    <r>
      <rPr>
        <b/>
        <sz val="11"/>
        <color theme="1"/>
        <rFont val="Calibri"/>
        <family val="2"/>
        <scheme val="minor"/>
      </rPr>
      <t>1) SOX2</t>
    </r>
    <r>
      <rPr>
        <sz val="11"/>
        <color theme="1"/>
        <rFont val="Calibri"/>
        <family val="2"/>
        <scheme val="minor"/>
      </rPr>
      <t xml:space="preserve">-expressing cells display enhanced apoptosis resistance in response to conventional chemotherapies (such as </t>
    </r>
    <r>
      <rPr>
        <b/>
        <sz val="11"/>
        <color theme="1"/>
        <rFont val="Calibri"/>
        <family val="2"/>
        <scheme val="minor"/>
      </rPr>
      <t>platinum</t>
    </r>
    <r>
      <rPr>
        <sz val="11"/>
        <color theme="1"/>
        <rFont val="Calibri"/>
        <family val="2"/>
        <scheme val="minor"/>
      </rPr>
      <t xml:space="preserve">). </t>
    </r>
    <r>
      <rPr>
        <b/>
        <sz val="11"/>
        <color theme="1"/>
        <rFont val="Calibri"/>
        <family val="2"/>
        <scheme val="minor"/>
      </rPr>
      <t>2)</t>
    </r>
    <r>
      <rPr>
        <sz val="11"/>
        <color theme="1"/>
        <rFont val="Calibri"/>
        <family val="2"/>
        <scheme val="minor"/>
      </rPr>
      <t xml:space="preserve"> SOX2 associates with stem cell state in </t>
    </r>
    <r>
      <rPr>
        <b/>
        <sz val="11"/>
        <color theme="1"/>
        <rFont val="Calibri"/>
        <family val="2"/>
        <scheme val="minor"/>
      </rPr>
      <t>ovarian</t>
    </r>
    <r>
      <rPr>
        <sz val="11"/>
        <color theme="1"/>
        <rFont val="Calibri"/>
        <family val="2"/>
        <scheme val="minor"/>
      </rPr>
      <t xml:space="preserve"> carcinoma and induction of SOX2 imposes CSC properties on SOC cells. </t>
    </r>
    <r>
      <rPr>
        <b/>
        <sz val="11"/>
        <color theme="1"/>
        <rFont val="Calibri"/>
        <family val="2"/>
        <scheme val="minor"/>
      </rPr>
      <t>3) SOX2</t>
    </r>
    <r>
      <rPr>
        <sz val="11"/>
        <color theme="1"/>
        <rFont val="Calibri"/>
        <family val="2"/>
        <scheme val="minor"/>
      </rPr>
      <t xml:space="preserve"> </t>
    </r>
    <r>
      <rPr>
        <b/>
        <sz val="11"/>
        <color theme="1"/>
        <rFont val="Calibri"/>
        <family val="2"/>
        <scheme val="minor"/>
      </rPr>
      <t>mediates</t>
    </r>
    <r>
      <rPr>
        <sz val="11"/>
        <color theme="1"/>
        <rFont val="Calibri"/>
        <family val="2"/>
        <scheme val="minor"/>
      </rPr>
      <t xml:space="preserve"> cisplatin resistance in small‐cell </t>
    </r>
    <r>
      <rPr>
        <b/>
        <sz val="11"/>
        <color theme="1"/>
        <rFont val="Calibri"/>
        <family val="2"/>
        <scheme val="minor"/>
      </rPr>
      <t>lung</t>
    </r>
    <r>
      <rPr>
        <sz val="11"/>
        <color theme="1"/>
        <rFont val="Calibri"/>
        <family val="2"/>
        <scheme val="minor"/>
      </rPr>
      <t xml:space="preserve"> cancer with downregulated expression of hsa‐miR‐340‐5p. </t>
    </r>
    <r>
      <rPr>
        <b/>
        <sz val="11"/>
        <color theme="1"/>
        <rFont val="Calibri"/>
        <family val="2"/>
        <scheme val="minor"/>
      </rPr>
      <t>4)</t>
    </r>
    <r>
      <rPr>
        <sz val="11"/>
        <color theme="1"/>
        <rFont val="Calibri"/>
        <family val="2"/>
        <scheme val="minor"/>
      </rPr>
      <t xml:space="preserve"> knockdown of SOX2 expression in SKOV3 or HO8910 </t>
    </r>
    <r>
      <rPr>
        <b/>
        <sz val="11"/>
        <color theme="1"/>
        <rFont val="Calibri"/>
        <family val="2"/>
        <scheme val="minor"/>
      </rPr>
      <t>ovarian</t>
    </r>
    <r>
      <rPr>
        <sz val="11"/>
        <color theme="1"/>
        <rFont val="Calibri"/>
        <family val="2"/>
        <scheme val="minor"/>
      </rPr>
      <t xml:space="preserve"> cancer spheroid cells decreased spheroid formation, cell proliferation, cell migration, resistance to </t>
    </r>
    <r>
      <rPr>
        <b/>
        <sz val="11"/>
        <color theme="1"/>
        <rFont val="Calibri"/>
        <family val="2"/>
        <scheme val="minor"/>
      </rPr>
      <t>Cisplatin</t>
    </r>
    <r>
      <rPr>
        <sz val="11"/>
        <color theme="1"/>
        <rFont val="Calibri"/>
        <family val="2"/>
        <scheme val="minor"/>
      </rPr>
      <t xml:space="preserve"> treatment, tumorigenicity, and the expression of stemness-related genes and epithelial to mesenchymal transition-related genes, </t>
    </r>
    <r>
      <rPr>
        <b/>
        <sz val="11"/>
        <color theme="1"/>
        <rFont val="Calibri"/>
        <family val="2"/>
        <scheme val="minor"/>
      </rPr>
      <t>5)</t>
    </r>
    <r>
      <rPr>
        <sz val="11"/>
        <color theme="1"/>
        <rFont val="Calibri"/>
        <family val="2"/>
        <scheme val="minor"/>
      </rPr>
      <t xml:space="preserve"> overexpression of SOX2 in SKOV3 or HO8910 ovarian cancer cells showed the opposite effects. </t>
    </r>
    <r>
      <rPr>
        <b/>
        <sz val="11"/>
        <color theme="1"/>
        <rFont val="Calibri"/>
        <family val="2"/>
        <scheme val="minor"/>
      </rPr>
      <t>6)</t>
    </r>
    <r>
      <rPr>
        <sz val="11"/>
        <color theme="1"/>
        <rFont val="Calibri"/>
        <family val="2"/>
        <scheme val="minor"/>
      </rPr>
      <t xml:space="preserve"> SOX2 expression was closely associated with chemo-resistance and poor prognosis in </t>
    </r>
    <r>
      <rPr>
        <b/>
        <sz val="11"/>
        <color theme="1"/>
        <rFont val="Calibri"/>
        <family val="2"/>
        <scheme val="minor"/>
      </rPr>
      <t>EOC</t>
    </r>
    <r>
      <rPr>
        <sz val="11"/>
        <color theme="1"/>
        <rFont val="Calibri"/>
        <family val="2"/>
        <scheme val="minor"/>
      </rPr>
      <t xml:space="preserve"> patients. </t>
    </r>
  </si>
  <si>
    <r>
      <rPr>
        <b/>
        <sz val="11"/>
        <color theme="1"/>
        <rFont val="Calibri"/>
        <family val="2"/>
        <scheme val="minor"/>
      </rPr>
      <t>1) SOX8</t>
    </r>
    <r>
      <rPr>
        <sz val="11"/>
        <color theme="1"/>
        <rFont val="Calibri"/>
        <family val="2"/>
        <scheme val="minor"/>
      </rPr>
      <t xml:space="preserve"> was upregulated in </t>
    </r>
    <r>
      <rPr>
        <b/>
        <sz val="11"/>
        <color theme="1"/>
        <rFont val="Calibri"/>
        <family val="2"/>
        <scheme val="minor"/>
      </rPr>
      <t>cisplatin</t>
    </r>
    <r>
      <rPr>
        <sz val="11"/>
        <color theme="1"/>
        <rFont val="Calibri"/>
        <family val="2"/>
        <scheme val="minor"/>
      </rPr>
      <t xml:space="preserve">-resistant </t>
    </r>
    <r>
      <rPr>
        <b/>
        <sz val="11"/>
        <color theme="1"/>
        <rFont val="Calibri"/>
        <family val="2"/>
        <scheme val="minor"/>
      </rPr>
      <t>tongue</t>
    </r>
    <r>
      <rPr>
        <sz val="11"/>
        <color theme="1"/>
        <rFont val="Calibri"/>
        <family val="2"/>
        <scheme val="minor"/>
      </rPr>
      <t xml:space="preserve"> squamous cell carcinoma </t>
    </r>
    <r>
      <rPr>
        <b/>
        <sz val="11"/>
        <color theme="1"/>
        <rFont val="Calibri"/>
        <family val="2"/>
        <scheme val="minor"/>
      </rPr>
      <t>TSCC</t>
    </r>
    <r>
      <rPr>
        <sz val="11"/>
        <color theme="1"/>
        <rFont val="Calibri"/>
        <family val="2"/>
        <scheme val="minor"/>
      </rPr>
      <t xml:space="preserve"> cells, which displayed CSC-like properties and exhibited EMT. </t>
    </r>
    <r>
      <rPr>
        <b/>
        <sz val="11"/>
        <color theme="1"/>
        <rFont val="Calibri"/>
        <family val="2"/>
        <scheme val="minor"/>
      </rPr>
      <t>2) SOX8</t>
    </r>
    <r>
      <rPr>
        <sz val="11"/>
        <color theme="1"/>
        <rFont val="Calibri"/>
        <family val="2"/>
        <scheme val="minor"/>
      </rPr>
      <t xml:space="preserve"> was also overexpressed in chemoresistant </t>
    </r>
    <r>
      <rPr>
        <b/>
        <sz val="11"/>
        <color theme="1"/>
        <rFont val="Calibri"/>
        <family val="2"/>
        <scheme val="minor"/>
      </rPr>
      <t>patients</t>
    </r>
    <r>
      <rPr>
        <sz val="11"/>
        <color theme="1"/>
        <rFont val="Calibri"/>
        <family val="2"/>
        <scheme val="minor"/>
      </rPr>
      <t xml:space="preserve"> with TSCC and was associated with higher lymph node metastasis, advanced tumor stage and shorter overall survival. </t>
    </r>
    <r>
      <rPr>
        <b/>
        <sz val="11"/>
        <color theme="1"/>
        <rFont val="Calibri"/>
        <family val="2"/>
        <scheme val="minor"/>
      </rPr>
      <t xml:space="preserve">3) </t>
    </r>
    <r>
      <rPr>
        <sz val="11"/>
        <color theme="1"/>
        <rFont val="Calibri"/>
        <family val="2"/>
        <scheme val="minor"/>
      </rPr>
      <t xml:space="preserve">Stable knockdown of SOX8 in cisplatin-resistant TSCC cells inhibited chemoresistance, tumorsphere formation, and EMT. </t>
    </r>
    <r>
      <rPr>
        <b/>
        <sz val="11"/>
        <color theme="1"/>
        <rFont val="Calibri"/>
        <family val="2"/>
        <scheme val="minor"/>
      </rPr>
      <t>4)</t>
    </r>
    <r>
      <rPr>
        <sz val="11"/>
        <color theme="1"/>
        <rFont val="Calibri"/>
        <family val="2"/>
        <scheme val="minor"/>
      </rPr>
      <t xml:space="preserve"> The </t>
    </r>
    <r>
      <rPr>
        <b/>
        <sz val="11"/>
        <color theme="1"/>
        <rFont val="Calibri"/>
        <family val="2"/>
        <scheme val="minor"/>
      </rPr>
      <t>Wnt/β-catenin</t>
    </r>
    <r>
      <rPr>
        <sz val="11"/>
        <color theme="1"/>
        <rFont val="Calibri"/>
        <family val="2"/>
        <scheme val="minor"/>
      </rPr>
      <t xml:space="preserve"> pathway mediated the cancer stem-like properties in cisplatin-resistant TSCC cells. </t>
    </r>
    <r>
      <rPr>
        <b/>
        <sz val="11"/>
        <color theme="1"/>
        <rFont val="Calibri"/>
        <family val="2"/>
        <scheme val="minor"/>
      </rPr>
      <t>5)</t>
    </r>
    <r>
      <rPr>
        <sz val="11"/>
        <color theme="1"/>
        <rFont val="Calibri"/>
        <family val="2"/>
        <scheme val="minor"/>
      </rPr>
      <t xml:space="preserve"> the transfection of active β-catenin in SOX8 stable-knockdown cells partly rescued the SOX8 silencing-induced repression of stem-like features and chemoresistance. </t>
    </r>
    <r>
      <rPr>
        <b/>
        <sz val="11"/>
        <color theme="1"/>
        <rFont val="Calibri"/>
        <family val="2"/>
        <scheme val="minor"/>
      </rPr>
      <t>6)</t>
    </r>
    <r>
      <rPr>
        <sz val="11"/>
        <color theme="1"/>
        <rFont val="Calibri"/>
        <family val="2"/>
        <scheme val="minor"/>
      </rPr>
      <t xml:space="preserve"> SOX8 bound to the promoter region of Frizzled-7 (</t>
    </r>
    <r>
      <rPr>
        <b/>
        <sz val="11"/>
        <color theme="1"/>
        <rFont val="Calibri"/>
        <family val="2"/>
        <scheme val="minor"/>
      </rPr>
      <t>FZD7</t>
    </r>
    <r>
      <rPr>
        <sz val="11"/>
        <color theme="1"/>
        <rFont val="Calibri"/>
        <family val="2"/>
        <scheme val="minor"/>
      </rPr>
      <t>) and induced the FZD7-mediated activation of the Wnt/β-catenin pathway. </t>
    </r>
  </si>
  <si>
    <r>
      <rPr>
        <b/>
        <sz val="11"/>
        <color theme="1"/>
        <rFont val="Calibri"/>
        <family val="2"/>
        <scheme val="minor"/>
      </rPr>
      <t>1)</t>
    </r>
    <r>
      <rPr>
        <sz val="11"/>
        <color theme="1"/>
        <rFont val="Calibri"/>
        <family val="2"/>
        <scheme val="minor"/>
      </rPr>
      <t xml:space="preserve"> we screened for candidate miRNAs potentially regulate </t>
    </r>
    <r>
      <rPr>
        <b/>
        <sz val="11"/>
        <color theme="1"/>
        <rFont val="Calibri"/>
        <family val="2"/>
        <scheme val="minor"/>
      </rPr>
      <t>CTR1</t>
    </r>
    <r>
      <rPr>
        <sz val="11"/>
        <color theme="1"/>
        <rFont val="Calibri"/>
        <family val="2"/>
        <scheme val="minor"/>
      </rPr>
      <t xml:space="preserve">, among which </t>
    </r>
    <r>
      <rPr>
        <b/>
        <sz val="11"/>
        <color theme="1"/>
        <rFont val="Calibri"/>
        <family val="2"/>
        <scheme val="minor"/>
      </rPr>
      <t>miR-130a</t>
    </r>
    <r>
      <rPr>
        <sz val="11"/>
        <color theme="1"/>
        <rFont val="Calibri"/>
        <family val="2"/>
        <scheme val="minor"/>
      </rPr>
      <t xml:space="preserve"> has been proved to promote cervical cancer cell proliferation through targeting </t>
    </r>
    <r>
      <rPr>
        <b/>
        <sz val="11"/>
        <color theme="1"/>
        <rFont val="Calibri"/>
        <family val="2"/>
        <scheme val="minor"/>
      </rPr>
      <t>PTEN</t>
    </r>
    <r>
      <rPr>
        <sz val="11"/>
        <color theme="1"/>
        <rFont val="Calibri"/>
        <family val="2"/>
        <scheme val="minor"/>
      </rPr>
      <t xml:space="preserve"> in our previous study. </t>
    </r>
    <r>
      <rPr>
        <b/>
        <sz val="11"/>
        <color theme="1"/>
        <rFont val="Calibri"/>
        <family val="2"/>
        <scheme val="minor"/>
      </rPr>
      <t>2)</t>
    </r>
    <r>
      <rPr>
        <sz val="11"/>
        <color theme="1"/>
        <rFont val="Calibri"/>
        <family val="2"/>
        <scheme val="minor"/>
      </rPr>
      <t xml:space="preserve"> we investigated the role of miR-130a in cervical cancer chemoresistance to DDP, and confirmed the </t>
    </r>
    <r>
      <rPr>
        <u/>
        <sz val="11"/>
        <color theme="1"/>
        <rFont val="Calibri"/>
        <family val="2"/>
        <scheme val="minor"/>
      </rPr>
      <t>binding of miR-130a to CTR1</t>
    </r>
    <r>
      <rPr>
        <sz val="11"/>
        <color theme="1"/>
        <rFont val="Calibri"/>
        <family val="2"/>
        <scheme val="minor"/>
      </rPr>
      <t>.</t>
    </r>
    <r>
      <rPr>
        <b/>
        <sz val="11"/>
        <color theme="1"/>
        <rFont val="Calibri"/>
        <family val="2"/>
        <scheme val="minor"/>
      </rPr>
      <t xml:space="preserve"> 3) </t>
    </r>
    <r>
      <rPr>
        <sz val="11"/>
        <color theme="1"/>
        <rFont val="Calibri"/>
        <family val="2"/>
        <scheme val="minor"/>
      </rPr>
      <t xml:space="preserve">SOX9 also reportedly act on cancer chemoresistance to </t>
    </r>
    <r>
      <rPr>
        <b/>
        <sz val="11"/>
        <color theme="1"/>
        <rFont val="Calibri"/>
        <family val="2"/>
        <scheme val="minor"/>
      </rPr>
      <t>DDP</t>
    </r>
    <r>
      <rPr>
        <sz val="11"/>
        <color theme="1"/>
        <rFont val="Calibri"/>
        <family val="2"/>
        <scheme val="minor"/>
      </rPr>
      <t xml:space="preserve">. </t>
    </r>
    <r>
      <rPr>
        <b/>
        <sz val="11"/>
        <color theme="1"/>
        <rFont val="Calibri"/>
        <family val="2"/>
        <scheme val="minor"/>
      </rPr>
      <t xml:space="preserve">4) </t>
    </r>
    <r>
      <rPr>
        <sz val="11"/>
        <color theme="1"/>
        <rFont val="Calibri"/>
        <family val="2"/>
        <scheme val="minor"/>
      </rPr>
      <t xml:space="preserve">SOX9 inversely regulated miR-130a through direct targeting the promoter of miR-130a. </t>
    </r>
    <r>
      <rPr>
        <b/>
        <sz val="11"/>
        <color theme="1"/>
        <rFont val="Calibri"/>
        <family val="2"/>
        <scheme val="minor"/>
      </rPr>
      <t xml:space="preserve">5) </t>
    </r>
    <r>
      <rPr>
        <sz val="11"/>
        <color theme="1"/>
        <rFont val="Calibri"/>
        <family val="2"/>
        <scheme val="minor"/>
      </rPr>
      <t xml:space="preserve">FBW7 is either mutated or downregulated in </t>
    </r>
    <r>
      <rPr>
        <b/>
        <sz val="11"/>
        <color theme="1"/>
        <rFont val="Calibri"/>
        <family val="2"/>
        <scheme val="minor"/>
      </rPr>
      <t>medulloblastoma</t>
    </r>
    <r>
      <rPr>
        <sz val="11"/>
        <color theme="1"/>
        <rFont val="Calibri"/>
        <family val="2"/>
        <scheme val="minor"/>
      </rPr>
      <t xml:space="preserve">, and in cases where FBW7 mRNA levels are low, </t>
    </r>
    <r>
      <rPr>
        <b/>
        <sz val="11"/>
        <color theme="1"/>
        <rFont val="Calibri"/>
        <family val="2"/>
        <scheme val="minor"/>
      </rPr>
      <t>SOX9</t>
    </r>
    <r>
      <rPr>
        <sz val="11"/>
        <color theme="1"/>
        <rFont val="Calibri"/>
        <family val="2"/>
        <scheme val="minor"/>
      </rPr>
      <t xml:space="preserve"> protein is significantly elevated and this phenotype is associated with metastasis at diagnosis and poor patient outcome. </t>
    </r>
    <r>
      <rPr>
        <b/>
        <sz val="11"/>
        <color theme="1"/>
        <rFont val="Calibri"/>
        <family val="2"/>
        <scheme val="minor"/>
      </rPr>
      <t>6)</t>
    </r>
    <r>
      <rPr>
        <sz val="11"/>
        <color theme="1"/>
        <rFont val="Calibri"/>
        <family val="2"/>
        <scheme val="minor"/>
      </rPr>
      <t xml:space="preserve"> SOX9 expression is elevated in </t>
    </r>
    <r>
      <rPr>
        <b/>
        <sz val="11"/>
        <color theme="1"/>
        <rFont val="Calibri"/>
        <family val="2"/>
        <scheme val="minor"/>
      </rPr>
      <t>NSCLC</t>
    </r>
    <r>
      <rPr>
        <sz val="11"/>
        <color theme="1"/>
        <rFont val="Calibri"/>
        <family val="2"/>
        <scheme val="minor"/>
      </rPr>
      <t xml:space="preserve"> cells after treatment with the chemotherapeutic </t>
    </r>
    <r>
      <rPr>
        <b/>
        <sz val="11"/>
        <color theme="1"/>
        <rFont val="Calibri"/>
        <family val="2"/>
        <scheme val="minor"/>
      </rPr>
      <t>cisplatin</t>
    </r>
    <r>
      <rPr>
        <sz val="11"/>
        <color theme="1"/>
        <rFont val="Calibri"/>
        <family val="2"/>
        <scheme val="minor"/>
      </rPr>
      <t xml:space="preserve"> and that overexpression of SOX9 correlates with worse overall survival in lung cancer patients. </t>
    </r>
    <r>
      <rPr>
        <b/>
        <sz val="11"/>
        <color theme="1"/>
        <rFont val="Calibri"/>
        <family val="2"/>
        <scheme val="minor"/>
      </rPr>
      <t xml:space="preserve">7) </t>
    </r>
    <r>
      <rPr>
        <sz val="11"/>
        <color theme="1"/>
        <rFont val="Calibri"/>
        <family val="2"/>
        <scheme val="minor"/>
      </rPr>
      <t xml:space="preserve">SOX9 knockdown increases cellular sensitivity to cisplatin, </t>
    </r>
    <r>
      <rPr>
        <b/>
        <sz val="11"/>
        <color theme="1"/>
        <rFont val="Calibri"/>
        <family val="2"/>
        <scheme val="minor"/>
      </rPr>
      <t xml:space="preserve">8) </t>
    </r>
    <r>
      <rPr>
        <sz val="11"/>
        <color theme="1"/>
        <rFont val="Calibri"/>
        <family val="2"/>
        <scheme val="minor"/>
      </rPr>
      <t xml:space="preserve">its overexpression promotes drug resistance. </t>
    </r>
    <r>
      <rPr>
        <b/>
        <sz val="11"/>
        <color theme="1"/>
        <rFont val="Calibri"/>
        <family val="2"/>
        <scheme val="minor"/>
      </rPr>
      <t>9) SOX9</t>
    </r>
    <r>
      <rPr>
        <sz val="11"/>
        <color theme="1"/>
        <rFont val="Calibri"/>
        <family val="2"/>
        <scheme val="minor"/>
      </rPr>
      <t xml:space="preserve"> promotes the stem-like properties and increases their </t>
    </r>
    <r>
      <rPr>
        <b/>
        <sz val="11"/>
        <color theme="1"/>
        <rFont val="Calibri"/>
        <family val="2"/>
        <scheme val="minor"/>
      </rPr>
      <t>aldehyde dehydrogenase (ALDH)</t>
    </r>
    <r>
      <rPr>
        <sz val="11"/>
        <color theme="1"/>
        <rFont val="Calibri"/>
        <family val="2"/>
        <scheme val="minor"/>
      </rPr>
      <t xml:space="preserve"> activity, which was identified to be the key mechanism of SOX9-induced chemoresistance. </t>
    </r>
    <r>
      <rPr>
        <b/>
        <sz val="11"/>
        <color theme="1"/>
        <rFont val="Calibri"/>
        <family val="2"/>
        <scheme val="minor"/>
      </rPr>
      <t>10) ALDH1A1</t>
    </r>
    <r>
      <rPr>
        <sz val="11"/>
        <color theme="1"/>
        <rFont val="Calibri"/>
        <family val="2"/>
        <scheme val="minor"/>
      </rPr>
      <t xml:space="preserve"> is a direct transcriptional target of SOX9, based on chromatin immunoprecipitation and luciferase reporter assays. </t>
    </r>
  </si>
  <si>
    <r>
      <rPr>
        <b/>
        <sz val="11"/>
        <color theme="1"/>
        <rFont val="Calibri"/>
        <family val="2"/>
        <scheme val="minor"/>
      </rPr>
      <t xml:space="preserve">1) </t>
    </r>
    <r>
      <rPr>
        <sz val="11"/>
        <color theme="1"/>
        <rFont val="Calibri"/>
        <family val="2"/>
        <scheme val="minor"/>
      </rPr>
      <t xml:space="preserve">In vivo, tumor growth was more aggressive in the absence of host-derived </t>
    </r>
    <r>
      <rPr>
        <b/>
        <sz val="11"/>
        <color theme="1"/>
        <rFont val="Calibri"/>
        <family val="2"/>
        <scheme val="minor"/>
      </rPr>
      <t>SPARC</t>
    </r>
    <r>
      <rPr>
        <sz val="11"/>
        <color theme="1"/>
        <rFont val="Calibri"/>
        <family val="2"/>
        <scheme val="minor"/>
      </rPr>
      <t xml:space="preserve"> resulting in decreased survival compared with WT </t>
    </r>
    <r>
      <rPr>
        <b/>
        <sz val="11"/>
        <color theme="1"/>
        <rFont val="Calibri"/>
        <family val="2"/>
        <scheme val="minor"/>
      </rPr>
      <t>mice</t>
    </r>
    <r>
      <rPr>
        <sz val="11"/>
        <color theme="1"/>
        <rFont val="Calibri"/>
        <family val="2"/>
        <scheme val="minor"/>
      </rPr>
      <t xml:space="preserve"> (P = .005). </t>
    </r>
    <r>
      <rPr>
        <b/>
        <sz val="11"/>
        <color theme="1"/>
        <rFont val="Calibri"/>
        <family val="2"/>
        <scheme val="minor"/>
      </rPr>
      <t xml:space="preserve">2) </t>
    </r>
    <r>
      <rPr>
        <sz val="11"/>
        <color theme="1"/>
        <rFont val="Calibri"/>
        <family val="2"/>
        <scheme val="minor"/>
      </rPr>
      <t xml:space="preserve">Cisplatin did not improve survival of WT mice. In contrast, cisplatin therapy resulted in a significant survival advantage (P = .0048) and decreased tumor volume (P = .02) in SP-/- animals. </t>
    </r>
    <r>
      <rPr>
        <b/>
        <sz val="11"/>
        <color theme="1"/>
        <rFont val="Calibri"/>
        <family val="2"/>
        <scheme val="minor"/>
      </rPr>
      <t xml:space="preserve">3) </t>
    </r>
    <r>
      <rPr>
        <sz val="11"/>
        <color theme="1"/>
        <rFont val="Calibri"/>
        <family val="2"/>
        <scheme val="minor"/>
      </rPr>
      <t xml:space="preserve">SPARC appears to control tumor cell growth but also impede the efficacy of cisplatin therapy. </t>
    </r>
    <r>
      <rPr>
        <b/>
        <sz val="11"/>
        <color theme="1"/>
        <rFont val="Calibri"/>
        <family val="2"/>
        <scheme val="minor"/>
      </rPr>
      <t xml:space="preserve">4) SPARC </t>
    </r>
    <r>
      <rPr>
        <sz val="11"/>
        <color theme="1"/>
        <rFont val="Calibri"/>
        <family val="2"/>
        <scheme val="minor"/>
      </rPr>
      <t xml:space="preserve">expression induces </t>
    </r>
    <r>
      <rPr>
        <b/>
        <sz val="11"/>
        <color theme="1"/>
        <rFont val="Calibri"/>
        <family val="2"/>
        <scheme val="minor"/>
      </rPr>
      <t>cisplatin</t>
    </r>
    <r>
      <rPr>
        <sz val="11"/>
        <color theme="1"/>
        <rFont val="Calibri"/>
        <family val="2"/>
        <scheme val="minor"/>
      </rPr>
      <t xml:space="preserve"> resistance in medulloblastoma cells. </t>
    </r>
    <r>
      <rPr>
        <b/>
        <sz val="11"/>
        <color theme="1"/>
        <rFont val="Calibri"/>
        <family val="2"/>
        <scheme val="minor"/>
      </rPr>
      <t xml:space="preserve">5) </t>
    </r>
    <r>
      <rPr>
        <sz val="11"/>
        <color theme="1"/>
        <rFont val="Calibri"/>
        <family val="2"/>
        <scheme val="minor"/>
      </rPr>
      <t xml:space="preserve">autophagy was involved in SPARC expression mediated resistance to cisplatin. Suppression of autophagy by either autophagy inhibitor, 3-methyladenosine (3MA) or Atg5 siRNA enhanced cisplatin sensitivity in SPARC expressed cells. </t>
    </r>
    <r>
      <rPr>
        <b/>
        <sz val="11"/>
        <color theme="1"/>
        <rFont val="Calibri"/>
        <family val="2"/>
        <scheme val="minor"/>
      </rPr>
      <t xml:space="preserve">6) </t>
    </r>
    <r>
      <rPr>
        <sz val="11"/>
        <color theme="1"/>
        <rFont val="Calibri"/>
        <family val="2"/>
        <scheme val="minor"/>
      </rPr>
      <t xml:space="preserve">SPARC expression suppressed miR-let-7f-1 expression which resulted in disrupted repression of High Mobility Group Box 1 (HMGB1), a critical regulator of autophagy. </t>
    </r>
    <r>
      <rPr>
        <b/>
        <sz val="11"/>
        <color theme="1"/>
        <rFont val="Calibri"/>
        <family val="2"/>
        <scheme val="minor"/>
      </rPr>
      <t>7)</t>
    </r>
    <r>
      <rPr>
        <sz val="11"/>
        <color theme="1"/>
        <rFont val="Calibri"/>
        <family val="2"/>
        <scheme val="minor"/>
      </rPr>
      <t xml:space="preserve"> By Kaplan-Meier analysis, patients whose</t>
    </r>
    <r>
      <rPr>
        <b/>
        <sz val="11"/>
        <color theme="1"/>
        <rFont val="Calibri"/>
        <family val="2"/>
        <scheme val="minor"/>
      </rPr>
      <t xml:space="preserve"> pancreatic</t>
    </r>
    <r>
      <rPr>
        <sz val="11"/>
        <color theme="1"/>
        <rFont val="Calibri"/>
        <family val="2"/>
        <scheme val="minor"/>
      </rPr>
      <t xml:space="preserve"> cancer </t>
    </r>
    <r>
      <rPr>
        <b/>
        <sz val="11"/>
        <color theme="1"/>
        <rFont val="Calibri"/>
        <family val="2"/>
        <scheme val="minor"/>
      </rPr>
      <t>stromal fibroblasts</t>
    </r>
    <r>
      <rPr>
        <sz val="11"/>
        <color theme="1"/>
        <rFont val="Calibri"/>
        <family val="2"/>
        <scheme val="minor"/>
      </rPr>
      <t xml:space="preserve"> expressed SPARC
(median survival, 15 months) had a significantly worse prognosis than patients whose tumor
stroma did not express SPARC (median survival, 30 months; log-rank P&lt; .001).</t>
    </r>
  </si>
  <si>
    <r>
      <rPr>
        <b/>
        <sz val="11"/>
        <color theme="1"/>
        <rFont val="Calibri"/>
        <family val="2"/>
        <scheme val="minor"/>
      </rPr>
      <t xml:space="preserve">1) </t>
    </r>
    <r>
      <rPr>
        <sz val="11"/>
        <color theme="1"/>
        <rFont val="Calibri"/>
        <family val="2"/>
        <scheme val="minor"/>
      </rPr>
      <t xml:space="preserve">The anti-proliferative effect of </t>
    </r>
    <r>
      <rPr>
        <b/>
        <sz val="11"/>
        <color theme="1"/>
        <rFont val="Calibri"/>
        <family val="2"/>
        <scheme val="minor"/>
      </rPr>
      <t>ECRG2</t>
    </r>
    <r>
      <rPr>
        <sz val="11"/>
        <color theme="1"/>
        <rFont val="Calibri"/>
        <family val="2"/>
        <scheme val="minor"/>
      </rPr>
      <t xml:space="preserve"> in combination with DDP was superior when compared to ECRG2 or DDP alone. </t>
    </r>
    <r>
      <rPr>
        <b/>
        <sz val="11"/>
        <color theme="1"/>
        <rFont val="Calibri"/>
        <family val="2"/>
        <scheme val="minor"/>
      </rPr>
      <t xml:space="preserve">2) </t>
    </r>
    <r>
      <rPr>
        <sz val="11"/>
        <color theme="1"/>
        <rFont val="Calibri"/>
        <family val="2"/>
        <scheme val="minor"/>
      </rPr>
      <t xml:space="preserve">The combination of ECRG2 and DDP significantly upregulated p53 mRNA and protein levels and downregulated PCNA mRNA and protein levels compared to ECRG2 or DDP alone. </t>
    </r>
    <r>
      <rPr>
        <b/>
        <sz val="11"/>
        <color theme="1"/>
        <rFont val="Calibri"/>
        <family val="2"/>
        <scheme val="minor"/>
      </rPr>
      <t xml:space="preserve">3) </t>
    </r>
    <r>
      <rPr>
        <sz val="11"/>
        <color theme="1"/>
        <rFont val="Calibri"/>
        <family val="2"/>
        <scheme val="minor"/>
      </rPr>
      <t xml:space="preserve">lower expression of </t>
    </r>
    <r>
      <rPr>
        <b/>
        <sz val="11"/>
        <color theme="1"/>
        <rFont val="Calibri"/>
        <family val="2"/>
        <scheme val="minor"/>
      </rPr>
      <t>ECRG2</t>
    </r>
    <r>
      <rPr>
        <sz val="11"/>
        <color theme="1"/>
        <rFont val="Calibri"/>
        <family val="2"/>
        <scheme val="minor"/>
      </rPr>
      <t xml:space="preserve"> in multiple human malignancies correlated with reduced disease-free survival in patients.</t>
    </r>
  </si>
  <si>
    <r>
      <rPr>
        <b/>
        <sz val="11"/>
        <color theme="1"/>
        <rFont val="Calibri"/>
        <family val="2"/>
        <scheme val="minor"/>
      </rPr>
      <t>1) SPP1</t>
    </r>
    <r>
      <rPr>
        <sz val="11"/>
        <color theme="1"/>
        <rFont val="Calibri"/>
        <family val="2"/>
        <scheme val="minor"/>
      </rPr>
      <t xml:space="preserve"> was overexpressed in </t>
    </r>
    <r>
      <rPr>
        <b/>
        <sz val="11"/>
        <color theme="1"/>
        <rFont val="Calibri"/>
        <family val="2"/>
        <scheme val="minor"/>
      </rPr>
      <t>cervical</t>
    </r>
    <r>
      <rPr>
        <sz val="11"/>
        <color theme="1"/>
        <rFont val="Calibri"/>
        <family val="2"/>
        <scheme val="minor"/>
      </rPr>
      <t xml:space="preserve"> cancer tissues and cell lines. </t>
    </r>
    <r>
      <rPr>
        <b/>
        <sz val="11"/>
        <color theme="1"/>
        <rFont val="Calibri"/>
        <family val="2"/>
        <scheme val="minor"/>
      </rPr>
      <t xml:space="preserve">2) </t>
    </r>
    <r>
      <rPr>
        <sz val="11"/>
        <color theme="1"/>
        <rFont val="Calibri"/>
        <family val="2"/>
        <scheme val="minor"/>
      </rPr>
      <t xml:space="preserve">Compared to normal HeLa cells, expression of SPP1 was significantly enhanced in </t>
    </r>
    <r>
      <rPr>
        <b/>
        <sz val="11"/>
        <color theme="1"/>
        <rFont val="Calibri"/>
        <family val="2"/>
        <scheme val="minor"/>
      </rPr>
      <t xml:space="preserve">cisplatin </t>
    </r>
    <r>
      <rPr>
        <sz val="11"/>
        <color theme="1"/>
        <rFont val="Calibri"/>
        <family val="2"/>
        <scheme val="minor"/>
      </rPr>
      <t xml:space="preserve">resistant res-HeLa cells. </t>
    </r>
    <r>
      <rPr>
        <b/>
        <sz val="11"/>
        <color theme="1"/>
        <rFont val="Calibri"/>
        <family val="2"/>
        <scheme val="minor"/>
      </rPr>
      <t>3)</t>
    </r>
    <r>
      <rPr>
        <sz val="11"/>
        <color theme="1"/>
        <rFont val="Calibri"/>
        <family val="2"/>
        <scheme val="minor"/>
      </rPr>
      <t xml:space="preserve"> SPP1 knockdown resulted in repressed proliferation and enhanced apoptosis of res-HeLa cells, which could be reversed by SPP1 overexpression in HeLa cells.</t>
    </r>
    <r>
      <rPr>
        <b/>
        <sz val="11"/>
        <color theme="1"/>
        <rFont val="Calibri"/>
        <family val="2"/>
        <scheme val="minor"/>
      </rPr>
      <t xml:space="preserve"> 4)</t>
    </r>
    <r>
      <rPr>
        <sz val="11"/>
        <color theme="1"/>
        <rFont val="Calibri"/>
        <family val="2"/>
        <scheme val="minor"/>
      </rPr>
      <t xml:space="preserve"> downregulation of SPP1 improved the DDP sensitivity of HeLa by inhibiting the PI3K/Akt signaling pathway.</t>
    </r>
  </si>
  <si>
    <r>
      <rPr>
        <b/>
        <sz val="11"/>
        <color theme="1"/>
        <rFont val="Calibri"/>
        <family val="2"/>
        <scheme val="minor"/>
      </rPr>
      <t>1) cisplatin</t>
    </r>
    <r>
      <rPr>
        <sz val="11"/>
        <color theme="1"/>
        <rFont val="Calibri"/>
        <family val="2"/>
        <scheme val="minor"/>
      </rPr>
      <t>-resistant SKOV3/DDP cells express much higher levels of</t>
    </r>
    <r>
      <rPr>
        <b/>
        <sz val="11"/>
        <color theme="1"/>
        <rFont val="Calibri"/>
        <family val="2"/>
        <scheme val="minor"/>
      </rPr>
      <t xml:space="preserve"> p62</t>
    </r>
    <r>
      <rPr>
        <sz val="11"/>
        <color theme="1"/>
        <rFont val="Calibri"/>
        <family val="2"/>
        <scheme val="minor"/>
      </rPr>
      <t xml:space="preserve"> than do cisplatin-sensitive SKOV3 cells. </t>
    </r>
    <r>
      <rPr>
        <b/>
        <sz val="11"/>
        <color theme="1"/>
        <rFont val="Calibri"/>
        <family val="2"/>
        <scheme val="minor"/>
      </rPr>
      <t>2)</t>
    </r>
    <r>
      <rPr>
        <sz val="11"/>
        <color theme="1"/>
        <rFont val="Calibri"/>
        <family val="2"/>
        <scheme val="minor"/>
      </rPr>
      <t xml:space="preserve"> The protein p62 binds ubiquitinated proteins for transport to autophagic degradation, reducing apoptosis induced by endoplasmic reticulum (ER) stress in SKOV3/DDP cells. </t>
    </r>
    <r>
      <rPr>
        <b/>
        <sz val="11"/>
        <color theme="1"/>
        <rFont val="Calibri"/>
        <family val="2"/>
        <scheme val="minor"/>
      </rPr>
      <t>3)</t>
    </r>
    <r>
      <rPr>
        <sz val="11"/>
        <color theme="1"/>
        <rFont val="Calibri"/>
        <family val="2"/>
        <scheme val="minor"/>
      </rPr>
      <t xml:space="preserve"> Knockdown of p62 or inhibition of autophagy using 3-methyladenine resensitises SKOV3/DDP cells to </t>
    </r>
    <r>
      <rPr>
        <b/>
        <sz val="11"/>
        <color theme="1"/>
        <rFont val="Calibri"/>
        <family val="2"/>
        <scheme val="minor"/>
      </rPr>
      <t>cisplatin</t>
    </r>
    <r>
      <rPr>
        <sz val="11"/>
        <color theme="1"/>
        <rFont val="Calibri"/>
        <family val="2"/>
        <scheme val="minor"/>
      </rPr>
      <t xml:space="preserve">. </t>
    </r>
    <r>
      <rPr>
        <b/>
        <sz val="11"/>
        <color theme="1"/>
        <rFont val="Calibri"/>
        <family val="2"/>
        <scheme val="minor"/>
      </rPr>
      <t xml:space="preserve">4) </t>
    </r>
    <r>
      <rPr>
        <sz val="11"/>
        <color theme="1"/>
        <rFont val="Calibri"/>
        <family val="2"/>
        <scheme val="minor"/>
      </rPr>
      <t xml:space="preserve">SQSTM1 expression was localized in cancer cells of clinical high-grade serous tumors. </t>
    </r>
    <r>
      <rPr>
        <b/>
        <sz val="11"/>
        <color theme="1"/>
        <rFont val="Calibri"/>
        <family val="2"/>
        <scheme val="minor"/>
      </rPr>
      <t xml:space="preserve">5) </t>
    </r>
    <r>
      <rPr>
        <sz val="11"/>
        <color theme="1"/>
        <rFont val="Calibri"/>
        <family val="2"/>
        <scheme val="minor"/>
      </rPr>
      <t xml:space="preserve">PCA analysis identified a distinctive </t>
    </r>
    <r>
      <rPr>
        <b/>
        <sz val="11"/>
        <color theme="1"/>
        <rFont val="Calibri"/>
        <family val="2"/>
        <scheme val="minor"/>
      </rPr>
      <t>phosphoproteomic</t>
    </r>
    <r>
      <rPr>
        <sz val="11"/>
        <color theme="1"/>
        <rFont val="Calibri"/>
        <family val="2"/>
        <scheme val="minor"/>
      </rPr>
      <t xml:space="preserve"> signature between cisplatin sensitive and resistant cell lines. The most </t>
    </r>
    <r>
      <rPr>
        <b/>
        <sz val="11"/>
        <color theme="1"/>
        <rFont val="Calibri"/>
        <family val="2"/>
        <scheme val="minor"/>
      </rPr>
      <t>phosphorylated</t>
    </r>
    <r>
      <rPr>
        <sz val="11"/>
        <color theme="1"/>
        <rFont val="Calibri"/>
        <family val="2"/>
        <scheme val="minor"/>
      </rPr>
      <t xml:space="preserve"> protein in cisplatin resistant cells was sequestosome-1 (p62/SQSTM1). </t>
    </r>
    <r>
      <rPr>
        <b/>
        <sz val="11"/>
        <color theme="1"/>
        <rFont val="Calibri"/>
        <family val="2"/>
        <scheme val="minor"/>
      </rPr>
      <t xml:space="preserve">6) </t>
    </r>
    <r>
      <rPr>
        <sz val="11"/>
        <color theme="1"/>
        <rFont val="Calibri"/>
        <family val="2"/>
        <scheme val="minor"/>
      </rPr>
      <t xml:space="preserve">deletion of the </t>
    </r>
    <r>
      <rPr>
        <b/>
        <sz val="11"/>
        <color theme="1"/>
        <rFont val="Calibri"/>
        <family val="2"/>
        <scheme val="minor"/>
      </rPr>
      <t>ZZ domain</t>
    </r>
    <r>
      <rPr>
        <sz val="11"/>
        <color theme="1"/>
        <rFont val="Calibri"/>
        <family val="2"/>
        <scheme val="minor"/>
      </rPr>
      <t xml:space="preserve"> of </t>
    </r>
    <r>
      <rPr>
        <b/>
        <sz val="11"/>
        <color theme="1"/>
        <rFont val="Calibri"/>
        <family val="2"/>
        <scheme val="minor"/>
      </rPr>
      <t>p62</t>
    </r>
    <r>
      <rPr>
        <sz val="11"/>
        <color theme="1"/>
        <rFont val="Calibri"/>
        <family val="2"/>
        <scheme val="minor"/>
      </rPr>
      <t xml:space="preserve"> that interacts with RIP1 in SKOV3 cells markedly decreased K63‐linked ubiquitination of </t>
    </r>
    <r>
      <rPr>
        <b/>
        <sz val="11"/>
        <color theme="1"/>
        <rFont val="Calibri"/>
        <family val="2"/>
        <scheme val="minor"/>
      </rPr>
      <t>RIP1</t>
    </r>
    <r>
      <rPr>
        <sz val="11"/>
        <color theme="1"/>
        <rFont val="Calibri"/>
        <family val="2"/>
        <scheme val="minor"/>
      </rPr>
      <t xml:space="preserve"> and inhibited the activation of the </t>
    </r>
    <r>
      <rPr>
        <b/>
        <sz val="11"/>
        <color theme="1"/>
        <rFont val="Calibri"/>
        <family val="2"/>
        <scheme val="minor"/>
      </rPr>
      <t>NF‐κB</t>
    </r>
    <r>
      <rPr>
        <sz val="11"/>
        <color theme="1"/>
        <rFont val="Calibri"/>
        <family val="2"/>
        <scheme val="minor"/>
      </rPr>
      <t xml:space="preserve"> signaling pathway. </t>
    </r>
    <r>
      <rPr>
        <b/>
        <sz val="11"/>
        <color theme="1"/>
        <rFont val="Calibri"/>
        <family val="2"/>
        <scheme val="minor"/>
      </rPr>
      <t>7)</t>
    </r>
    <r>
      <rPr>
        <sz val="11"/>
        <color theme="1"/>
        <rFont val="Calibri"/>
        <family val="2"/>
        <scheme val="minor"/>
      </rPr>
      <t xml:space="preserve"> loss of the ZZ domain from p62 led to poor proliferative capacity and high levels of apoptosis in SKOV3 cells and made them more sensitive to cisplatin treatment.</t>
    </r>
  </si>
  <si>
    <r>
      <rPr>
        <b/>
        <sz val="11"/>
        <color theme="1"/>
        <rFont val="Calibri"/>
        <family val="2"/>
        <scheme val="minor"/>
      </rPr>
      <t xml:space="preserve">1) </t>
    </r>
    <r>
      <rPr>
        <sz val="11"/>
        <color theme="1"/>
        <rFont val="Calibri"/>
        <family val="2"/>
        <scheme val="minor"/>
      </rPr>
      <t xml:space="preserve">Patients with advanced-stage mucinous </t>
    </r>
    <r>
      <rPr>
        <b/>
        <sz val="11"/>
        <color theme="1"/>
        <rFont val="Calibri"/>
        <family val="2"/>
        <scheme val="minor"/>
      </rPr>
      <t>ovarian</t>
    </r>
    <r>
      <rPr>
        <sz val="11"/>
        <color theme="1"/>
        <rFont val="Calibri"/>
        <family val="2"/>
        <scheme val="minor"/>
      </rPr>
      <t xml:space="preserve"> cancer had significantly worse survival than those with serous histology. </t>
    </r>
    <r>
      <rPr>
        <b/>
        <sz val="11"/>
        <color theme="1"/>
        <rFont val="Calibri"/>
        <family val="2"/>
        <scheme val="minor"/>
      </rPr>
      <t>2)</t>
    </r>
    <r>
      <rPr>
        <sz val="11"/>
        <color theme="1"/>
        <rFont val="Calibri"/>
        <family val="2"/>
        <scheme val="minor"/>
      </rPr>
      <t xml:space="preserve"> Among multiple ovarian cancer cell lines, RMUG-S-ip2 mucinous ovarian cancer cells showed the highest </t>
    </r>
    <r>
      <rPr>
        <b/>
        <sz val="11"/>
        <color theme="1"/>
        <rFont val="Calibri"/>
        <family val="2"/>
        <scheme val="minor"/>
      </rPr>
      <t>Src kinase</t>
    </r>
    <r>
      <rPr>
        <sz val="11"/>
        <color theme="1"/>
        <rFont val="Calibri"/>
        <family val="2"/>
        <scheme val="minor"/>
      </rPr>
      <t xml:space="preserve"> activity. </t>
    </r>
    <r>
      <rPr>
        <b/>
        <sz val="11"/>
        <color theme="1"/>
        <rFont val="Calibri"/>
        <family val="2"/>
        <scheme val="minor"/>
      </rPr>
      <t>3)</t>
    </r>
    <r>
      <rPr>
        <sz val="11"/>
        <color theme="1"/>
        <rFont val="Calibri"/>
        <family val="2"/>
        <scheme val="minor"/>
      </rPr>
      <t xml:space="preserve"> oxaliplatin treatment induced phosphorylation of Src kinase. </t>
    </r>
    <r>
      <rPr>
        <b/>
        <sz val="11"/>
        <color theme="1"/>
        <rFont val="Calibri"/>
        <family val="2"/>
        <scheme val="minor"/>
      </rPr>
      <t xml:space="preserve">4) </t>
    </r>
    <r>
      <rPr>
        <sz val="11"/>
        <color theme="1"/>
        <rFont val="Calibri"/>
        <family val="2"/>
        <scheme val="minor"/>
      </rPr>
      <t xml:space="preserve">This induced activity by oxaliplatin therapy was inhibited by concurrent administration of dasatinib. </t>
    </r>
    <r>
      <rPr>
        <b/>
        <sz val="11"/>
        <color theme="1"/>
        <rFont val="Calibri"/>
        <family val="2"/>
        <scheme val="minor"/>
      </rPr>
      <t xml:space="preserve">5) </t>
    </r>
    <r>
      <rPr>
        <sz val="11"/>
        <color theme="1"/>
        <rFont val="Calibri"/>
        <family val="2"/>
        <scheme val="minor"/>
      </rPr>
      <t xml:space="preserve">Targeting Src with dasatinib in vivo showed significant antitumor effects in the RMUG-S-ip2 model but not in the serous ovarian carcinoma (SKOV3-TR) model. </t>
    </r>
    <r>
      <rPr>
        <b/>
        <sz val="11"/>
        <color theme="1"/>
        <rFont val="Calibri"/>
        <family val="2"/>
        <scheme val="minor"/>
      </rPr>
      <t xml:space="preserve">6) </t>
    </r>
    <r>
      <rPr>
        <sz val="11"/>
        <color theme="1"/>
        <rFont val="Calibri"/>
        <family val="2"/>
        <scheme val="minor"/>
      </rPr>
      <t xml:space="preserve">Combination therapy of oxaliplatin with dasatinib further showed significant effects on reducing cell viability, increasing apoptosis, and in vivo antitumor effects in the RMUG-S-ip2 model. </t>
    </r>
    <r>
      <rPr>
        <b/>
        <sz val="11"/>
        <color theme="1"/>
        <rFont val="Calibri"/>
        <family val="2"/>
        <scheme val="minor"/>
      </rPr>
      <t xml:space="preserve">7) </t>
    </r>
    <r>
      <rPr>
        <sz val="11"/>
        <color theme="1"/>
        <rFont val="Calibri"/>
        <family val="2"/>
        <scheme val="minor"/>
      </rPr>
      <t xml:space="preserve">Src inhibition sensitizes ovarian cancer cells to chemotherapeutic agents such as paclitaxel and </t>
    </r>
    <r>
      <rPr>
        <b/>
        <sz val="11"/>
        <color theme="1"/>
        <rFont val="Calibri"/>
        <family val="2"/>
        <scheme val="minor"/>
      </rPr>
      <t>cisplatin</t>
    </r>
    <r>
      <rPr>
        <sz val="11"/>
        <color theme="1"/>
        <rFont val="Calibri"/>
        <family val="2"/>
        <scheme val="minor"/>
      </rPr>
      <t xml:space="preserve">. </t>
    </r>
  </si>
  <si>
    <r>
      <rPr>
        <b/>
        <sz val="11"/>
        <color theme="1"/>
        <rFont val="Calibri"/>
        <family val="2"/>
        <scheme val="minor"/>
      </rPr>
      <t>1)</t>
    </r>
    <r>
      <rPr>
        <sz val="11"/>
        <color theme="1"/>
        <rFont val="Calibri"/>
        <family val="2"/>
        <scheme val="minor"/>
      </rPr>
      <t xml:space="preserve"> </t>
    </r>
    <r>
      <rPr>
        <b/>
        <sz val="11"/>
        <color theme="1"/>
        <rFont val="Calibri"/>
        <family val="2"/>
        <scheme val="minor"/>
      </rPr>
      <t>EZH2</t>
    </r>
    <r>
      <rPr>
        <sz val="11"/>
        <color theme="1"/>
        <rFont val="Calibri"/>
        <family val="2"/>
        <scheme val="minor"/>
      </rPr>
      <t xml:space="preserve"> and </t>
    </r>
    <r>
      <rPr>
        <b/>
        <sz val="11"/>
        <color theme="1"/>
        <rFont val="Calibri"/>
        <family val="2"/>
        <scheme val="minor"/>
      </rPr>
      <t>SREBP2</t>
    </r>
    <r>
      <rPr>
        <sz val="11"/>
        <color theme="1"/>
        <rFont val="Calibri"/>
        <family val="2"/>
        <scheme val="minor"/>
      </rPr>
      <t xml:space="preserve"> differentially expressed between </t>
    </r>
    <r>
      <rPr>
        <b/>
        <sz val="11"/>
        <color theme="1"/>
        <rFont val="Calibri"/>
        <family val="2"/>
        <scheme val="minor"/>
      </rPr>
      <t>cisplatin</t>
    </r>
    <r>
      <rPr>
        <sz val="11"/>
        <color theme="1"/>
        <rFont val="Calibri"/>
        <family val="2"/>
        <scheme val="minor"/>
      </rPr>
      <t xml:space="preserve"> resistant and cisplatin sensitive cells. </t>
    </r>
    <r>
      <rPr>
        <b/>
        <sz val="11"/>
        <color theme="1"/>
        <rFont val="Calibri"/>
        <family val="2"/>
        <scheme val="minor"/>
      </rPr>
      <t xml:space="preserve">2) </t>
    </r>
    <r>
      <rPr>
        <sz val="11"/>
        <color theme="1"/>
        <rFont val="Calibri"/>
        <family val="2"/>
        <scheme val="minor"/>
      </rPr>
      <t xml:space="preserve">siRNA knockdown of </t>
    </r>
    <r>
      <rPr>
        <b/>
        <sz val="11"/>
        <color theme="1"/>
        <rFont val="Calibri"/>
        <family val="2"/>
        <scheme val="minor"/>
      </rPr>
      <t>SREBP2</t>
    </r>
    <r>
      <rPr>
        <sz val="11"/>
        <color theme="1"/>
        <rFont val="Calibri"/>
        <family val="2"/>
        <scheme val="minor"/>
      </rPr>
      <t xml:space="preserve"> in A2780 cell line resulted in a decrease of cell viability after </t>
    </r>
    <r>
      <rPr>
        <b/>
        <sz val="11"/>
        <color theme="1"/>
        <rFont val="Calibri"/>
        <family val="2"/>
        <scheme val="minor"/>
      </rPr>
      <t xml:space="preserve">cisplatin </t>
    </r>
    <r>
      <rPr>
        <sz val="11"/>
        <color theme="1"/>
        <rFont val="Calibri"/>
        <family val="2"/>
        <scheme val="minor"/>
      </rPr>
      <t xml:space="preserve">treatment. </t>
    </r>
  </si>
  <si>
    <r>
      <rPr>
        <b/>
        <sz val="11"/>
        <color theme="1"/>
        <rFont val="Calibri"/>
        <family val="2"/>
        <scheme val="minor"/>
      </rPr>
      <t>1)</t>
    </r>
    <r>
      <rPr>
        <sz val="11"/>
        <color theme="1"/>
        <rFont val="Calibri"/>
        <family val="2"/>
        <scheme val="minor"/>
      </rPr>
      <t xml:space="preserve"> Expression of </t>
    </r>
    <r>
      <rPr>
        <b/>
        <sz val="11"/>
        <color theme="1"/>
        <rFont val="Calibri"/>
        <family val="2"/>
        <scheme val="minor"/>
      </rPr>
      <t>UCA1</t>
    </r>
    <r>
      <rPr>
        <sz val="11"/>
        <color theme="1"/>
        <rFont val="Calibri"/>
        <family val="2"/>
        <scheme val="minor"/>
      </rPr>
      <t xml:space="preserve"> RNA in SKOV3 cells enhanced the cell migration, invasion and </t>
    </r>
    <r>
      <rPr>
        <b/>
        <sz val="11"/>
        <color theme="1"/>
        <rFont val="Calibri"/>
        <family val="2"/>
        <scheme val="minor"/>
      </rPr>
      <t>cisplatin resistance</t>
    </r>
    <r>
      <rPr>
        <sz val="11"/>
        <color theme="1"/>
        <rFont val="Calibri"/>
        <family val="2"/>
        <scheme val="minor"/>
      </rPr>
      <t xml:space="preserve">. </t>
    </r>
    <r>
      <rPr>
        <b/>
        <sz val="11"/>
        <color theme="1"/>
        <rFont val="Calibri"/>
        <family val="2"/>
        <scheme val="minor"/>
      </rPr>
      <t xml:space="preserve">2) </t>
    </r>
    <r>
      <rPr>
        <sz val="11"/>
        <color theme="1"/>
        <rFont val="Calibri"/>
        <family val="2"/>
        <scheme val="minor"/>
      </rPr>
      <t xml:space="preserve">Increased expression of </t>
    </r>
    <r>
      <rPr>
        <b/>
        <sz val="11"/>
        <color theme="1"/>
        <rFont val="Calibri"/>
        <family val="2"/>
        <scheme val="minor"/>
      </rPr>
      <t>SRPK1</t>
    </r>
    <r>
      <rPr>
        <sz val="11"/>
        <color theme="1"/>
        <rFont val="Calibri"/>
        <family val="2"/>
        <scheme val="minor"/>
      </rPr>
      <t xml:space="preserve"> and anti-apoptosis proteins were found in SKOV3/pcDNA-UCA1 cells. </t>
    </r>
    <r>
      <rPr>
        <b/>
        <sz val="11"/>
        <color theme="1"/>
        <rFont val="Calibri"/>
        <family val="2"/>
        <scheme val="minor"/>
      </rPr>
      <t xml:space="preserve">3) </t>
    </r>
    <r>
      <rPr>
        <sz val="11"/>
        <color theme="1"/>
        <rFont val="Calibri"/>
        <family val="2"/>
        <scheme val="minor"/>
      </rPr>
      <t xml:space="preserve">Knocking-down SRPK1 could partly rescue the effect of UCA1 expression on cell migration, invasion and </t>
    </r>
    <r>
      <rPr>
        <b/>
        <sz val="11"/>
        <color theme="1"/>
        <rFont val="Calibri"/>
        <family val="2"/>
        <scheme val="minor"/>
      </rPr>
      <t>cisplatin resistance</t>
    </r>
    <r>
      <rPr>
        <sz val="11"/>
        <color theme="1"/>
        <rFont val="Calibri"/>
        <family val="2"/>
        <scheme val="minor"/>
      </rPr>
      <t xml:space="preserve"> in SKOV3 cells. </t>
    </r>
    <r>
      <rPr>
        <b/>
        <sz val="11"/>
        <color theme="1"/>
        <rFont val="Calibri"/>
        <family val="2"/>
        <scheme val="minor"/>
      </rPr>
      <t>4) Tip60</t>
    </r>
    <r>
      <rPr>
        <sz val="11"/>
        <color theme="1"/>
        <rFont val="Calibri"/>
        <family val="2"/>
        <scheme val="minor"/>
      </rPr>
      <t xml:space="preserve">-mediated acetylation of </t>
    </r>
    <r>
      <rPr>
        <b/>
        <sz val="11"/>
        <color theme="1"/>
        <rFont val="Calibri"/>
        <family val="2"/>
        <scheme val="minor"/>
      </rPr>
      <t>SRPK1</t>
    </r>
    <r>
      <rPr>
        <sz val="11"/>
        <color theme="1"/>
        <rFont val="Calibri"/>
        <family val="2"/>
        <scheme val="minor"/>
      </rPr>
      <t xml:space="preserve"> is closely associated with chemotherapy sensitivity. In </t>
    </r>
    <r>
      <rPr>
        <b/>
        <sz val="11"/>
        <color theme="1"/>
        <rFont val="Calibri"/>
        <family val="2"/>
        <scheme val="minor"/>
      </rPr>
      <t xml:space="preserve">breast </t>
    </r>
    <r>
      <rPr>
        <sz val="11"/>
        <color theme="1"/>
        <rFont val="Calibri"/>
        <family val="2"/>
        <scheme val="minor"/>
      </rPr>
      <t>cancer cells,</t>
    </r>
    <r>
      <rPr>
        <b/>
        <sz val="11"/>
        <color theme="1"/>
        <rFont val="Calibri"/>
        <family val="2"/>
        <scheme val="minor"/>
      </rPr>
      <t xml:space="preserve"> cisplatin</t>
    </r>
    <r>
      <rPr>
        <sz val="11"/>
        <color theme="1"/>
        <rFont val="Calibri"/>
        <family val="2"/>
        <scheme val="minor"/>
      </rPr>
      <t xml:space="preserve"> induced </t>
    </r>
    <r>
      <rPr>
        <b/>
        <sz val="11"/>
        <color theme="1"/>
        <rFont val="Calibri"/>
        <family val="2"/>
        <scheme val="minor"/>
      </rPr>
      <t>SRPK1</t>
    </r>
    <r>
      <rPr>
        <sz val="11"/>
        <color theme="1"/>
        <rFont val="Calibri"/>
        <family val="2"/>
        <scheme val="minor"/>
      </rPr>
      <t xml:space="preserve"> acetylation but in the corresponding resistant cells, it reduced acetylation yet increased phosphorylation and kinase activity of SRPK1, favouring the splicing of some </t>
    </r>
    <r>
      <rPr>
        <b/>
        <sz val="11"/>
        <color theme="1"/>
        <rFont val="Calibri"/>
        <family val="2"/>
        <scheme val="minor"/>
      </rPr>
      <t>anti-apoptotic</t>
    </r>
    <r>
      <rPr>
        <sz val="11"/>
        <color theme="1"/>
        <rFont val="Calibri"/>
        <family val="2"/>
        <scheme val="minor"/>
      </rPr>
      <t xml:space="preserve"> variants. Significantly, the cisplatin-resistant cells could be re-sensitized by enhancing SRPK1 acetylation or inhibiting its kinase activity. </t>
    </r>
    <r>
      <rPr>
        <b/>
        <sz val="11"/>
        <color theme="1"/>
        <rFont val="Calibri"/>
        <family val="2"/>
        <scheme val="minor"/>
      </rPr>
      <t>5)</t>
    </r>
    <r>
      <rPr>
        <sz val="11"/>
        <color theme="1"/>
        <rFont val="Calibri"/>
        <family val="2"/>
        <scheme val="minor"/>
      </rPr>
      <t xml:space="preserve"> down-regulation of </t>
    </r>
    <r>
      <rPr>
        <b/>
        <sz val="11"/>
        <color theme="1"/>
        <rFont val="Calibri"/>
        <family val="2"/>
        <scheme val="minor"/>
      </rPr>
      <t>SRPK1</t>
    </r>
    <r>
      <rPr>
        <sz val="11"/>
        <color theme="1"/>
        <rFont val="Calibri"/>
        <family val="2"/>
        <scheme val="minor"/>
      </rPr>
      <t xml:space="preserve"> conferred a 4-fold resistance to </t>
    </r>
    <r>
      <rPr>
        <b/>
        <sz val="11"/>
        <color theme="1"/>
        <rFont val="Calibri"/>
        <family val="2"/>
        <scheme val="minor"/>
      </rPr>
      <t>cisplatin</t>
    </r>
    <r>
      <rPr>
        <sz val="11"/>
        <color theme="1"/>
        <rFont val="Calibri"/>
        <family val="2"/>
        <scheme val="minor"/>
      </rPr>
      <t xml:space="preserve">. </t>
    </r>
    <r>
      <rPr>
        <b/>
        <sz val="11"/>
        <color theme="1"/>
        <rFont val="Calibri"/>
        <family val="2"/>
        <scheme val="minor"/>
      </rPr>
      <t xml:space="preserve">6) </t>
    </r>
    <r>
      <rPr>
        <sz val="11"/>
        <color theme="1"/>
        <rFont val="Calibri"/>
        <family val="2"/>
        <scheme val="minor"/>
      </rPr>
      <t xml:space="preserve">Reduction of </t>
    </r>
    <r>
      <rPr>
        <b/>
        <sz val="11"/>
        <color theme="1"/>
        <rFont val="Calibri"/>
        <family val="2"/>
        <scheme val="minor"/>
      </rPr>
      <t>SRPK1</t>
    </r>
    <r>
      <rPr>
        <sz val="11"/>
        <color theme="1"/>
        <rFont val="Calibri"/>
        <family val="2"/>
        <scheme val="minor"/>
      </rPr>
      <t xml:space="preserve"> expression led to reduced cell proliferation rate and compromised anchorage-independent growth in vitro; decreased level of phosphorylation of multiple serine-arginine proteins, and P44/42MAPK and AKT proteins, and enhanced sensitivity to </t>
    </r>
    <r>
      <rPr>
        <b/>
        <sz val="11"/>
        <color theme="1"/>
        <rFont val="Calibri"/>
        <family val="2"/>
        <scheme val="minor"/>
      </rPr>
      <t>cisplatin</t>
    </r>
    <r>
      <rPr>
        <sz val="11"/>
        <color theme="1"/>
        <rFont val="Calibri"/>
        <family val="2"/>
        <scheme val="minor"/>
      </rPr>
      <t xml:space="preserve">. </t>
    </r>
    <r>
      <rPr>
        <b/>
        <sz val="11"/>
        <color theme="1"/>
        <rFont val="Calibri"/>
        <family val="2"/>
        <scheme val="minor"/>
      </rPr>
      <t>7) ATR/ATM</t>
    </r>
    <r>
      <rPr>
        <sz val="11"/>
        <color theme="1"/>
        <rFont val="Calibri"/>
        <family val="2"/>
        <scheme val="minor"/>
      </rPr>
      <t xml:space="preserve">-dependent phosphorylation of threonine 326 and serine 408 in the spacer domain of </t>
    </r>
    <r>
      <rPr>
        <b/>
        <sz val="11"/>
        <color theme="1"/>
        <rFont val="Calibri"/>
        <family val="2"/>
        <scheme val="minor"/>
      </rPr>
      <t>SRPK1</t>
    </r>
    <r>
      <rPr>
        <sz val="11"/>
        <color theme="1"/>
        <rFont val="Calibri"/>
        <family val="2"/>
        <scheme val="minor"/>
      </rPr>
      <t xml:space="preserve"> was essential for the redistribution of the kinase to the nucleus. </t>
    </r>
  </si>
  <si>
    <r>
      <rPr>
        <b/>
        <sz val="11"/>
        <color theme="1"/>
        <rFont val="Calibri"/>
        <family val="2"/>
        <scheme val="minor"/>
      </rPr>
      <t>1) SRPK2</t>
    </r>
    <r>
      <rPr>
        <sz val="11"/>
        <color theme="1"/>
        <rFont val="Calibri"/>
        <family val="2"/>
        <scheme val="minor"/>
      </rPr>
      <t xml:space="preserve"> negatively regulated </t>
    </r>
    <r>
      <rPr>
        <b/>
        <sz val="11"/>
        <color theme="1"/>
        <rFont val="Calibri"/>
        <family val="2"/>
        <scheme val="minor"/>
      </rPr>
      <t>Numb</t>
    </r>
    <r>
      <rPr>
        <sz val="11"/>
        <color theme="1"/>
        <rFont val="Calibri"/>
        <family val="2"/>
        <scheme val="minor"/>
      </rPr>
      <t xml:space="preserve"> and </t>
    </r>
    <r>
      <rPr>
        <b/>
        <sz val="11"/>
        <color theme="1"/>
        <rFont val="Calibri"/>
        <family val="2"/>
        <scheme val="minor"/>
      </rPr>
      <t>wild-type p53</t>
    </r>
    <r>
      <rPr>
        <sz val="11"/>
        <color theme="1"/>
        <rFont val="Calibri"/>
        <family val="2"/>
        <scheme val="minor"/>
      </rPr>
      <t xml:space="preserve"> (wtp53) in response to 5-fluorouracil or </t>
    </r>
    <r>
      <rPr>
        <b/>
        <sz val="11"/>
        <color theme="1"/>
        <rFont val="Calibri"/>
        <family val="2"/>
        <scheme val="minor"/>
      </rPr>
      <t>cisplatin</t>
    </r>
    <r>
      <rPr>
        <sz val="11"/>
        <color theme="1"/>
        <rFont val="Calibri"/>
        <family val="2"/>
        <scheme val="minor"/>
      </rPr>
      <t xml:space="preserve"> treatment in HCT116 cells. </t>
    </r>
    <r>
      <rPr>
        <b/>
        <sz val="11"/>
        <color theme="1"/>
        <rFont val="Calibri"/>
        <family val="2"/>
        <scheme val="minor"/>
      </rPr>
      <t xml:space="preserve">2) </t>
    </r>
    <r>
      <rPr>
        <sz val="11"/>
        <color theme="1"/>
        <rFont val="Calibri"/>
        <family val="2"/>
        <scheme val="minor"/>
      </rPr>
      <t xml:space="preserve">overexpression of </t>
    </r>
    <r>
      <rPr>
        <b/>
        <sz val="11"/>
        <color theme="1"/>
        <rFont val="Calibri"/>
        <family val="2"/>
        <scheme val="minor"/>
      </rPr>
      <t>SRPK2</t>
    </r>
    <r>
      <rPr>
        <sz val="11"/>
        <color theme="1"/>
        <rFont val="Calibri"/>
        <family val="2"/>
        <scheme val="minor"/>
      </rPr>
      <t xml:space="preserve"> increased cell migration and invasion and decreased chemosensitivity to 5-fluorouracil or </t>
    </r>
    <r>
      <rPr>
        <b/>
        <sz val="11"/>
        <color theme="1"/>
        <rFont val="Calibri"/>
        <family val="2"/>
        <scheme val="minor"/>
      </rPr>
      <t>cisplatin</t>
    </r>
    <r>
      <rPr>
        <sz val="11"/>
        <color theme="1"/>
        <rFont val="Calibri"/>
        <family val="2"/>
        <scheme val="minor"/>
      </rPr>
      <t xml:space="preserve"> in HCT116 cells. </t>
    </r>
    <r>
      <rPr>
        <b/>
        <sz val="11"/>
        <color theme="1"/>
        <rFont val="Calibri"/>
        <family val="2"/>
        <scheme val="minor"/>
      </rPr>
      <t>3)</t>
    </r>
    <r>
      <rPr>
        <sz val="11"/>
        <color theme="1"/>
        <rFont val="Calibri"/>
        <family val="2"/>
        <scheme val="minor"/>
      </rPr>
      <t xml:space="preserve"> SRPK2 silencing decreased cell migration and invasion and increased chemosensitivity to 5-fluorouracil or </t>
    </r>
    <r>
      <rPr>
        <b/>
        <sz val="11"/>
        <color theme="1"/>
        <rFont val="Calibri"/>
        <family val="2"/>
        <scheme val="minor"/>
      </rPr>
      <t>cisplatin</t>
    </r>
    <r>
      <rPr>
        <sz val="11"/>
        <color theme="1"/>
        <rFont val="Calibri"/>
        <family val="2"/>
        <scheme val="minor"/>
      </rPr>
      <t>, yet these effects could be reversed by p53 knockdown under chemical agent treatment. </t>
    </r>
    <r>
      <rPr>
        <b/>
        <sz val="11"/>
        <color theme="1"/>
        <rFont val="Calibri"/>
        <family val="2"/>
        <scheme val="minor"/>
      </rPr>
      <t>4)</t>
    </r>
    <r>
      <rPr>
        <sz val="11"/>
        <color theme="1"/>
        <rFont val="Calibri"/>
        <family val="2"/>
        <scheme val="minor"/>
      </rPr>
      <t xml:space="preserve"> nuclear </t>
    </r>
    <r>
      <rPr>
        <b/>
        <sz val="11"/>
        <color theme="1"/>
        <rFont val="Calibri"/>
        <family val="2"/>
        <scheme val="minor"/>
      </rPr>
      <t>SRPK</t>
    </r>
    <r>
      <rPr>
        <sz val="11"/>
        <color theme="1"/>
        <rFont val="Calibri"/>
        <family val="2"/>
        <scheme val="minor"/>
      </rPr>
      <t xml:space="preserve">s did not protect from, but on the contrary, mediated the cytotoxic effects of genotoxic agents, such as 5-fluorouracil (5-FU) and </t>
    </r>
    <r>
      <rPr>
        <b/>
        <sz val="11"/>
        <color theme="1"/>
        <rFont val="Calibri"/>
        <family val="2"/>
        <scheme val="minor"/>
      </rPr>
      <t>cisplatin</t>
    </r>
    <r>
      <rPr>
        <sz val="11"/>
        <color theme="1"/>
        <rFont val="Calibri"/>
        <family val="2"/>
        <scheme val="minor"/>
      </rPr>
      <t xml:space="preserve">. </t>
    </r>
    <r>
      <rPr>
        <b/>
        <sz val="11"/>
        <color theme="1"/>
        <rFont val="Calibri"/>
        <family val="2"/>
        <scheme val="minor"/>
      </rPr>
      <t>5)</t>
    </r>
    <r>
      <rPr>
        <sz val="11"/>
        <color theme="1"/>
        <rFont val="Calibri"/>
        <family val="2"/>
        <scheme val="minor"/>
      </rPr>
      <t xml:space="preserve"> SRPIN340, a selective SRPK1/2 inhibitor, blocked the nuclear accumulation of the kinases, thus diminishing the cytotoxic effects of the drugs. </t>
    </r>
  </si>
  <si>
    <r>
      <rPr>
        <b/>
        <sz val="11"/>
        <color theme="1"/>
        <rFont val="Calibri"/>
        <family val="2"/>
        <scheme val="minor"/>
      </rPr>
      <t xml:space="preserve">1) </t>
    </r>
    <r>
      <rPr>
        <sz val="11"/>
        <color theme="1"/>
        <rFont val="Calibri"/>
        <family val="2"/>
        <scheme val="minor"/>
      </rPr>
      <t xml:space="preserve">PANDAR (the promoter of CDKN1A antisense DNA damage activated </t>
    </r>
    <r>
      <rPr>
        <b/>
        <sz val="11"/>
        <color theme="1"/>
        <rFont val="Calibri"/>
        <family val="2"/>
        <scheme val="minor"/>
      </rPr>
      <t>RNA</t>
    </r>
    <r>
      <rPr>
        <sz val="11"/>
        <color theme="1"/>
        <rFont val="Calibri"/>
        <family val="2"/>
        <scheme val="minor"/>
      </rPr>
      <t xml:space="preserve">)-reduced </t>
    </r>
    <r>
      <rPr>
        <b/>
        <sz val="11"/>
        <color theme="1"/>
        <rFont val="Calibri"/>
        <family val="2"/>
        <scheme val="minor"/>
      </rPr>
      <t>cisplatin</t>
    </r>
    <r>
      <rPr>
        <sz val="11"/>
        <color theme="1"/>
        <rFont val="Calibri"/>
        <family val="2"/>
        <scheme val="minor"/>
      </rPr>
      <t xml:space="preserve"> sensitivity was likely or partly due to the PANDAR-binding protein </t>
    </r>
    <r>
      <rPr>
        <b/>
        <sz val="11"/>
        <color theme="1"/>
        <rFont val="Calibri"/>
        <family val="2"/>
        <scheme val="minor"/>
      </rPr>
      <t>SFRS2</t>
    </r>
    <r>
      <rPr>
        <sz val="11"/>
        <color theme="1"/>
        <rFont val="Calibri"/>
        <family val="2"/>
        <scheme val="minor"/>
      </rPr>
      <t xml:space="preserve"> (arginine/serine-rich 2), a splicing factor with the ability to negative regulate p53 and its phosphorylation at Serine 15 (Ser15). </t>
    </r>
    <r>
      <rPr>
        <b/>
        <sz val="11"/>
        <color theme="1"/>
        <rFont val="Calibri"/>
        <family val="2"/>
        <scheme val="minor"/>
      </rPr>
      <t xml:space="preserve">2) </t>
    </r>
    <r>
      <rPr>
        <sz val="11"/>
        <color theme="1"/>
        <rFont val="Calibri"/>
        <family val="2"/>
        <scheme val="minor"/>
      </rPr>
      <t xml:space="preserve">This feedback regulation of PANDAR-SFRS2-p53 leads to a reduced transactivation of p53-related pro-apoptotic genes, such as PUMA (p53-upregulated modulator of apoptosis). </t>
    </r>
    <r>
      <rPr>
        <b/>
        <sz val="11"/>
        <color theme="1"/>
        <rFont val="Calibri"/>
        <family val="2"/>
        <scheme val="minor"/>
      </rPr>
      <t xml:space="preserve">3) </t>
    </r>
    <r>
      <rPr>
        <sz val="11"/>
        <color theme="1"/>
        <rFont val="Calibri"/>
        <family val="2"/>
        <scheme val="minor"/>
      </rPr>
      <t xml:space="preserve">in </t>
    </r>
    <r>
      <rPr>
        <b/>
        <sz val="11"/>
        <color theme="1"/>
        <rFont val="Calibri"/>
        <family val="2"/>
        <scheme val="minor"/>
      </rPr>
      <t>platinum</t>
    </r>
    <r>
      <rPr>
        <sz val="11"/>
        <color theme="1"/>
        <rFont val="Calibri"/>
        <family val="2"/>
        <scheme val="minor"/>
      </rPr>
      <t xml:space="preserve">-treated patients with relapsed </t>
    </r>
    <r>
      <rPr>
        <b/>
        <sz val="11"/>
        <color theme="1"/>
        <rFont val="Calibri"/>
        <family val="2"/>
        <scheme val="minor"/>
      </rPr>
      <t>ovarian</t>
    </r>
    <r>
      <rPr>
        <sz val="11"/>
        <color theme="1"/>
        <rFont val="Calibri"/>
        <family val="2"/>
        <scheme val="minor"/>
      </rPr>
      <t xml:space="preserve"> cancer, resistant period was positively correlated with the expression of PANDAR and SFRS2, and inversely associated with expression of p53-Ser15 and PUMA in these clinical tissues. </t>
    </r>
  </si>
  <si>
    <r>
      <rPr>
        <b/>
        <sz val="11"/>
        <color theme="1"/>
        <rFont val="Calibri"/>
        <family val="2"/>
        <scheme val="minor"/>
      </rPr>
      <t xml:space="preserve">1) </t>
    </r>
    <r>
      <rPr>
        <sz val="11"/>
        <color theme="1"/>
        <rFont val="Calibri"/>
        <family val="2"/>
        <scheme val="minor"/>
      </rPr>
      <t>Although the downregulation of SRSF4 had no effect on growth when</t>
    </r>
    <r>
      <rPr>
        <b/>
        <sz val="11"/>
        <color theme="1"/>
        <rFont val="Calibri"/>
        <family val="2"/>
        <scheme val="minor"/>
      </rPr>
      <t xml:space="preserve"> cisplatin </t>
    </r>
    <r>
      <rPr>
        <sz val="11"/>
        <color theme="1"/>
        <rFont val="Calibri"/>
        <family val="2"/>
        <scheme val="minor"/>
      </rPr>
      <t xml:space="preserve">was absent, it strongly reduced cell death observed in the presence of </t>
    </r>
    <r>
      <rPr>
        <b/>
        <sz val="11"/>
        <color theme="1"/>
        <rFont val="Calibri"/>
        <family val="2"/>
        <scheme val="minor"/>
      </rPr>
      <t>cisplatin</t>
    </r>
    <r>
      <rPr>
        <sz val="11"/>
        <color theme="1"/>
        <rFont val="Calibri"/>
        <family val="2"/>
        <scheme val="minor"/>
      </rPr>
      <t>.  </t>
    </r>
  </si>
  <si>
    <r>
      <rPr>
        <b/>
        <sz val="11"/>
        <color theme="1"/>
        <rFont val="Calibri"/>
        <family val="2"/>
        <scheme val="minor"/>
      </rPr>
      <t xml:space="preserve">1) </t>
    </r>
    <r>
      <rPr>
        <sz val="11"/>
        <color theme="1"/>
        <rFont val="Calibri"/>
        <family val="2"/>
        <scheme val="minor"/>
      </rPr>
      <t xml:space="preserve">forced expression of ST6Gal-I in OV4 </t>
    </r>
    <r>
      <rPr>
        <b/>
        <sz val="11"/>
        <color theme="1"/>
        <rFont val="Calibri"/>
        <family val="2"/>
        <scheme val="minor"/>
      </rPr>
      <t>ovarian</t>
    </r>
    <r>
      <rPr>
        <sz val="11"/>
        <color theme="1"/>
        <rFont val="Calibri"/>
        <family val="2"/>
        <scheme val="minor"/>
      </rPr>
      <t xml:space="preserve"> cancer cells that lack endogenous ST6Gal-I increased cell viability following </t>
    </r>
    <r>
      <rPr>
        <b/>
        <sz val="11"/>
        <color theme="1"/>
        <rFont val="Calibri"/>
        <family val="2"/>
        <scheme val="minor"/>
      </rPr>
      <t>cisplatin</t>
    </r>
    <r>
      <rPr>
        <sz val="11"/>
        <color theme="1"/>
        <rFont val="Calibri"/>
        <family val="2"/>
        <scheme val="minor"/>
      </rPr>
      <t xml:space="preserve"> treatment. </t>
    </r>
    <r>
      <rPr>
        <b/>
        <sz val="11"/>
        <color theme="1"/>
        <rFont val="Calibri"/>
        <family val="2"/>
        <scheme val="minor"/>
      </rPr>
      <t>2)</t>
    </r>
    <r>
      <rPr>
        <sz val="11"/>
        <color theme="1"/>
        <rFont val="Calibri"/>
        <family val="2"/>
        <scheme val="minor"/>
      </rPr>
      <t xml:space="preserve"> forced ST6Gal-I knockdown in Pa-1 cells with high endogenous ST6Gal-I increases cisplatin-induced cell death. </t>
    </r>
    <r>
      <rPr>
        <b/>
        <sz val="11"/>
        <color theme="1"/>
        <rFont val="Calibri"/>
        <family val="2"/>
        <scheme val="minor"/>
      </rPr>
      <t xml:space="preserve">3) </t>
    </r>
    <r>
      <rPr>
        <sz val="11"/>
        <color theme="1"/>
        <rFont val="Calibri"/>
        <family val="2"/>
        <scheme val="minor"/>
      </rPr>
      <t xml:space="preserve">A2780 ovarian cancer cells selected for stable cisplatin resistance display upregulated endogenous ST6Gal-I when compared with parental, cisplatin-sensitive, A2780 cells. </t>
    </r>
    <r>
      <rPr>
        <b/>
        <sz val="11"/>
        <color theme="1"/>
        <rFont val="Calibri"/>
        <family val="2"/>
        <scheme val="minor"/>
      </rPr>
      <t xml:space="preserve">4) </t>
    </r>
    <r>
      <rPr>
        <sz val="11"/>
        <color theme="1"/>
        <rFont val="Calibri"/>
        <family val="2"/>
        <scheme val="minor"/>
      </rPr>
      <t>extended low dose cisplatin treatment of a Pa-1 polyclonal ST6Gal-I shRNA knockdown population led to selection for subclones with elevated ST6Gal-I expression.</t>
    </r>
  </si>
  <si>
    <r>
      <rPr>
        <b/>
        <sz val="11"/>
        <color theme="1"/>
        <rFont val="Calibri"/>
        <family val="2"/>
        <scheme val="minor"/>
      </rPr>
      <t xml:space="preserve">1) </t>
    </r>
    <r>
      <rPr>
        <sz val="11"/>
        <color theme="1"/>
        <rFont val="Calibri"/>
        <family val="2"/>
        <scheme val="minor"/>
      </rPr>
      <t xml:space="preserve">Significantly enhanced apoptotic response to </t>
    </r>
    <r>
      <rPr>
        <b/>
        <sz val="11"/>
        <color theme="1"/>
        <rFont val="Calibri"/>
        <family val="2"/>
        <scheme val="minor"/>
      </rPr>
      <t>platinum</t>
    </r>
    <r>
      <rPr>
        <sz val="11"/>
        <color theme="1"/>
        <rFont val="Calibri"/>
        <family val="2"/>
        <scheme val="minor"/>
      </rPr>
      <t xml:space="preserve"> treatment in resistant </t>
    </r>
    <r>
      <rPr>
        <b/>
        <sz val="11"/>
        <color theme="1"/>
        <rFont val="Calibri"/>
        <family val="2"/>
        <scheme val="minor"/>
      </rPr>
      <t>ovarian</t>
    </r>
    <r>
      <rPr>
        <sz val="11"/>
        <color theme="1"/>
        <rFont val="Calibri"/>
        <family val="2"/>
        <scheme val="minor"/>
      </rPr>
      <t xml:space="preserve"> cancer cells was observed following knockdown of HDAC4, FOLR2, PIK3R1, or </t>
    </r>
    <r>
      <rPr>
        <b/>
        <sz val="11"/>
        <color theme="1"/>
        <rFont val="Calibri"/>
        <family val="2"/>
        <scheme val="minor"/>
      </rPr>
      <t>STAT1</t>
    </r>
    <r>
      <rPr>
        <sz val="11"/>
        <color theme="1"/>
        <rFont val="Calibri"/>
        <family val="2"/>
        <scheme val="minor"/>
      </rPr>
      <t xml:space="preserve">. </t>
    </r>
    <r>
      <rPr>
        <b/>
        <sz val="11"/>
        <color theme="1"/>
        <rFont val="Calibri"/>
        <family val="2"/>
        <scheme val="minor"/>
      </rPr>
      <t xml:space="preserve">2) </t>
    </r>
    <r>
      <rPr>
        <sz val="11"/>
        <color theme="1"/>
        <rFont val="Calibri"/>
        <family val="2"/>
        <scheme val="minor"/>
      </rPr>
      <t xml:space="preserve">HDAC4-overexpressing tumor cells promotes </t>
    </r>
    <r>
      <rPr>
        <b/>
        <sz val="11"/>
        <color theme="1"/>
        <rFont val="Calibri"/>
        <family val="2"/>
        <scheme val="minor"/>
      </rPr>
      <t>STAT1</t>
    </r>
    <r>
      <rPr>
        <sz val="11"/>
        <color theme="1"/>
        <rFont val="Calibri"/>
        <family val="2"/>
        <scheme val="minor"/>
      </rPr>
      <t xml:space="preserve"> deacetylation to enhance </t>
    </r>
    <r>
      <rPr>
        <b/>
        <sz val="11"/>
        <color theme="1"/>
        <rFont val="Calibri"/>
        <family val="2"/>
        <scheme val="minor"/>
      </rPr>
      <t>cisplatin</t>
    </r>
    <r>
      <rPr>
        <sz val="11"/>
        <color theme="1"/>
        <rFont val="Calibri"/>
        <family val="2"/>
        <scheme val="minor"/>
      </rPr>
      <t xml:space="preserve"> resistance. </t>
    </r>
    <r>
      <rPr>
        <b/>
        <sz val="11"/>
        <color theme="1"/>
        <rFont val="Calibri"/>
        <family val="2"/>
        <scheme val="minor"/>
      </rPr>
      <t>3)</t>
    </r>
    <r>
      <rPr>
        <sz val="11"/>
        <color theme="1"/>
        <rFont val="Calibri"/>
        <family val="2"/>
        <scheme val="minor"/>
      </rPr>
      <t xml:space="preserve"> Higher </t>
    </r>
    <r>
      <rPr>
        <b/>
        <sz val="11"/>
        <color theme="1"/>
        <rFont val="Calibri"/>
        <family val="2"/>
        <scheme val="minor"/>
      </rPr>
      <t>STAT1</t>
    </r>
    <r>
      <rPr>
        <sz val="11"/>
        <color theme="1"/>
        <rFont val="Calibri"/>
        <family val="2"/>
        <scheme val="minor"/>
      </rPr>
      <t xml:space="preserve"> expression in </t>
    </r>
    <r>
      <rPr>
        <b/>
        <sz val="11"/>
        <color theme="1"/>
        <rFont val="Calibri"/>
        <family val="2"/>
        <scheme val="minor"/>
      </rPr>
      <t xml:space="preserve">HGSOC </t>
    </r>
    <r>
      <rPr>
        <sz val="11"/>
        <color theme="1"/>
        <rFont val="Calibri"/>
        <family val="2"/>
        <scheme val="minor"/>
      </rPr>
      <t xml:space="preserve">patients is significantly associated with increased progression-free survival in </t>
    </r>
    <r>
      <rPr>
        <b/>
        <sz val="11"/>
        <color theme="1"/>
        <rFont val="Calibri"/>
        <family val="2"/>
        <scheme val="minor"/>
      </rPr>
      <t>platinum</t>
    </r>
    <r>
      <rPr>
        <sz val="11"/>
        <color theme="1"/>
        <rFont val="Calibri"/>
        <family val="2"/>
        <scheme val="minor"/>
      </rPr>
      <t xml:space="preserve">-based chemotherapy.  </t>
    </r>
    <r>
      <rPr>
        <b/>
        <sz val="11"/>
        <color theme="1"/>
        <rFont val="Calibri"/>
        <family val="2"/>
        <scheme val="minor"/>
      </rPr>
      <t>4)</t>
    </r>
    <r>
      <rPr>
        <sz val="11"/>
        <color theme="1"/>
        <rFont val="Calibri"/>
        <family val="2"/>
        <scheme val="minor"/>
      </rPr>
      <t xml:space="preserve"> Increased </t>
    </r>
    <r>
      <rPr>
        <b/>
        <sz val="11"/>
        <color theme="1"/>
        <rFont val="Calibri"/>
        <family val="2"/>
        <scheme val="minor"/>
      </rPr>
      <t>Stat1</t>
    </r>
    <r>
      <rPr>
        <sz val="11"/>
        <color theme="1"/>
        <rFont val="Calibri"/>
        <family val="2"/>
        <scheme val="minor"/>
      </rPr>
      <t xml:space="preserve"> expression were three- to five-fold resistant to </t>
    </r>
    <r>
      <rPr>
        <b/>
        <sz val="11"/>
        <color theme="1"/>
        <rFont val="Calibri"/>
        <family val="2"/>
        <scheme val="minor"/>
      </rPr>
      <t>cisplatin</t>
    </r>
    <r>
      <rPr>
        <sz val="11"/>
        <color theme="1"/>
        <rFont val="Calibri"/>
        <family val="2"/>
        <scheme val="minor"/>
      </rPr>
      <t xml:space="preserve"> in OC cells. </t>
    </r>
    <r>
      <rPr>
        <b/>
        <sz val="11"/>
        <color theme="1"/>
        <rFont val="Calibri"/>
        <family val="2"/>
        <scheme val="minor"/>
      </rPr>
      <t>5)</t>
    </r>
    <r>
      <rPr>
        <sz val="11"/>
        <color theme="1"/>
        <rFont val="Calibri"/>
        <family val="2"/>
        <scheme val="minor"/>
      </rPr>
      <t xml:space="preserve"> In </t>
    </r>
    <r>
      <rPr>
        <b/>
        <sz val="11"/>
        <color theme="1"/>
        <rFont val="Calibri"/>
        <family val="2"/>
        <scheme val="minor"/>
      </rPr>
      <t>HNSCC c</t>
    </r>
    <r>
      <rPr>
        <sz val="11"/>
        <color theme="1"/>
        <rFont val="Calibri"/>
        <family val="2"/>
        <scheme val="minor"/>
      </rPr>
      <t xml:space="preserve">ells, </t>
    </r>
    <r>
      <rPr>
        <b/>
        <sz val="11"/>
        <color theme="1"/>
        <rFont val="Calibri"/>
        <family val="2"/>
        <scheme val="minor"/>
      </rPr>
      <t>cisplatin</t>
    </r>
    <r>
      <rPr>
        <sz val="11"/>
        <color theme="1"/>
        <rFont val="Calibri"/>
        <family val="2"/>
        <scheme val="minor"/>
      </rPr>
      <t xml:space="preserve"> consistently increased the levels of </t>
    </r>
    <r>
      <rPr>
        <b/>
        <sz val="11"/>
        <color theme="1"/>
        <rFont val="Calibri"/>
        <family val="2"/>
        <scheme val="minor"/>
      </rPr>
      <t>p-S727-STAT1</t>
    </r>
    <r>
      <rPr>
        <sz val="11"/>
        <color theme="1"/>
        <rFont val="Calibri"/>
        <family val="2"/>
        <scheme val="minor"/>
      </rPr>
      <t xml:space="preserve">, and </t>
    </r>
    <r>
      <rPr>
        <b/>
        <sz val="11"/>
        <color theme="1"/>
        <rFont val="Calibri"/>
        <family val="2"/>
        <scheme val="minor"/>
      </rPr>
      <t>STAT1</t>
    </r>
    <r>
      <rPr>
        <sz val="11"/>
        <color theme="1"/>
        <rFont val="Calibri"/>
        <family val="2"/>
        <scheme val="minor"/>
      </rPr>
      <t xml:space="preserve"> siRNA knockdown attenuated </t>
    </r>
    <r>
      <rPr>
        <b/>
        <sz val="11"/>
        <color theme="1"/>
        <rFont val="Calibri"/>
        <family val="2"/>
        <scheme val="minor"/>
      </rPr>
      <t>cisplatin</t>
    </r>
    <r>
      <rPr>
        <sz val="11"/>
        <color theme="1"/>
        <rFont val="Calibri"/>
        <family val="2"/>
        <scheme val="minor"/>
      </rPr>
      <t>-induced cell death.</t>
    </r>
    <r>
      <rPr>
        <b/>
        <sz val="11"/>
        <color theme="1"/>
        <rFont val="Calibri"/>
        <family val="2"/>
        <scheme val="minor"/>
      </rPr>
      <t xml:space="preserve"> 6)</t>
    </r>
    <r>
      <rPr>
        <sz val="11"/>
        <color theme="1"/>
        <rFont val="Calibri"/>
        <family val="2"/>
        <scheme val="minor"/>
      </rPr>
      <t xml:space="preserve"> Treatment-induced activation of the </t>
    </r>
    <r>
      <rPr>
        <b/>
        <sz val="11"/>
        <color theme="1"/>
        <rFont val="Calibri"/>
        <family val="2"/>
        <scheme val="minor"/>
      </rPr>
      <t>IFN/STAT1</t>
    </r>
    <r>
      <rPr>
        <sz val="11"/>
        <color theme="1"/>
        <rFont val="Calibri"/>
        <family val="2"/>
        <scheme val="minor"/>
      </rPr>
      <t xml:space="preserve"> pathway in tumour cells is associated with chemotherapy response in ER- </t>
    </r>
    <r>
      <rPr>
        <b/>
        <sz val="11"/>
        <color theme="1"/>
        <rFont val="Calibri"/>
        <family val="2"/>
        <scheme val="minor"/>
      </rPr>
      <t>breast</t>
    </r>
    <r>
      <rPr>
        <sz val="11"/>
        <color theme="1"/>
        <rFont val="Calibri"/>
        <family val="2"/>
        <scheme val="minor"/>
      </rPr>
      <t xml:space="preserve"> cancer.</t>
    </r>
  </si>
  <si>
    <r>
      <rPr>
        <b/>
        <sz val="11"/>
        <color theme="1"/>
        <rFont val="Calibri"/>
        <family val="2"/>
        <scheme val="minor"/>
      </rPr>
      <t>1)</t>
    </r>
    <r>
      <rPr>
        <sz val="11"/>
        <color theme="1"/>
        <rFont val="Calibri"/>
        <family val="2"/>
        <scheme val="minor"/>
      </rPr>
      <t xml:space="preserve"> Inhibition of </t>
    </r>
    <r>
      <rPr>
        <b/>
        <sz val="11"/>
        <color theme="1"/>
        <rFont val="Calibri"/>
        <family val="2"/>
        <scheme val="minor"/>
      </rPr>
      <t>STAT3</t>
    </r>
    <r>
      <rPr>
        <sz val="11"/>
        <color theme="1"/>
        <rFont val="Calibri"/>
        <family val="2"/>
        <scheme val="minor"/>
      </rPr>
      <t xml:space="preserve"> significantly enhanced the </t>
    </r>
    <r>
      <rPr>
        <b/>
        <sz val="11"/>
        <color theme="1"/>
        <rFont val="Calibri"/>
        <family val="2"/>
        <scheme val="minor"/>
      </rPr>
      <t>CDDP</t>
    </r>
    <r>
      <rPr>
        <sz val="11"/>
        <color theme="1"/>
        <rFont val="Calibri"/>
        <family val="2"/>
        <scheme val="minor"/>
      </rPr>
      <t xml:space="preserve">-induced apoptosis of the </t>
    </r>
    <r>
      <rPr>
        <b/>
        <sz val="11"/>
        <color theme="1"/>
        <rFont val="Calibri"/>
        <family val="2"/>
        <scheme val="minor"/>
      </rPr>
      <t>osteosarcoma</t>
    </r>
    <r>
      <rPr>
        <sz val="11"/>
        <color theme="1"/>
        <rFont val="Calibri"/>
        <family val="2"/>
        <scheme val="minor"/>
      </rPr>
      <t xml:space="preserve"> tumor cells. </t>
    </r>
    <r>
      <rPr>
        <b/>
        <sz val="11"/>
        <color theme="1"/>
        <rFont val="Calibri"/>
        <family val="2"/>
        <scheme val="minor"/>
      </rPr>
      <t>2)</t>
    </r>
    <r>
      <rPr>
        <sz val="11"/>
        <color theme="1"/>
        <rFont val="Calibri"/>
        <family val="2"/>
        <scheme val="minor"/>
      </rPr>
      <t xml:space="preserve"> </t>
    </r>
    <r>
      <rPr>
        <b/>
        <sz val="11"/>
        <color theme="1"/>
        <rFont val="Calibri"/>
        <family val="2"/>
        <scheme val="minor"/>
      </rPr>
      <t>STAT3</t>
    </r>
    <r>
      <rPr>
        <sz val="11"/>
        <color theme="1"/>
        <rFont val="Calibri"/>
        <family val="2"/>
        <scheme val="minor"/>
      </rPr>
      <t xml:space="preserve"> activation increase expression of downstream pro-chemoresistant genes, such as </t>
    </r>
    <r>
      <rPr>
        <b/>
        <sz val="11"/>
        <color theme="1"/>
        <rFont val="Calibri"/>
        <family val="2"/>
        <scheme val="minor"/>
      </rPr>
      <t>MRP</t>
    </r>
    <r>
      <rPr>
        <sz val="11"/>
        <color theme="1"/>
        <rFont val="Calibri"/>
        <family val="2"/>
        <scheme val="minor"/>
      </rPr>
      <t xml:space="preserve"> and </t>
    </r>
    <r>
      <rPr>
        <b/>
        <sz val="11"/>
        <color theme="1"/>
        <rFont val="Calibri"/>
        <family val="2"/>
        <scheme val="minor"/>
      </rPr>
      <t>MDR-1</t>
    </r>
    <r>
      <rPr>
        <sz val="11"/>
        <color theme="1"/>
        <rFont val="Calibri"/>
        <family val="2"/>
        <scheme val="minor"/>
      </rPr>
      <t xml:space="preserve">. </t>
    </r>
    <r>
      <rPr>
        <b/>
        <sz val="11"/>
        <color theme="1"/>
        <rFont val="Calibri"/>
        <family val="2"/>
        <scheme val="minor"/>
      </rPr>
      <t>3)</t>
    </r>
    <r>
      <rPr>
        <sz val="11"/>
        <color theme="1"/>
        <rFont val="Calibri"/>
        <family val="2"/>
        <scheme val="minor"/>
      </rPr>
      <t xml:space="preserve"> Targeting </t>
    </r>
    <r>
      <rPr>
        <b/>
        <sz val="11"/>
        <color theme="1"/>
        <rFont val="Calibri"/>
        <family val="2"/>
        <scheme val="minor"/>
      </rPr>
      <t>STAT3</t>
    </r>
    <r>
      <rPr>
        <sz val="11"/>
        <color theme="1"/>
        <rFont val="Calibri"/>
        <family val="2"/>
        <scheme val="minor"/>
      </rPr>
      <t xml:space="preserve"> by siRNA markedly enhanced </t>
    </r>
    <r>
      <rPr>
        <b/>
        <sz val="11"/>
        <color theme="1"/>
        <rFont val="Calibri"/>
        <family val="2"/>
        <scheme val="minor"/>
      </rPr>
      <t>cisplatin</t>
    </r>
    <r>
      <rPr>
        <sz val="11"/>
        <color theme="1"/>
        <rFont val="Calibri"/>
        <family val="2"/>
        <scheme val="minor"/>
      </rPr>
      <t xml:space="preserve">-induced apoptosis in </t>
    </r>
    <r>
      <rPr>
        <b/>
        <sz val="11"/>
        <color theme="1"/>
        <rFont val="Calibri"/>
        <family val="2"/>
        <scheme val="minor"/>
      </rPr>
      <t>cisplatin</t>
    </r>
    <r>
      <rPr>
        <sz val="11"/>
        <color theme="1"/>
        <rFont val="Calibri"/>
        <family val="2"/>
        <scheme val="minor"/>
      </rPr>
      <t xml:space="preserve">-resistant </t>
    </r>
    <r>
      <rPr>
        <b/>
        <sz val="11"/>
        <color theme="1"/>
        <rFont val="Calibri"/>
        <family val="2"/>
        <scheme val="minor"/>
      </rPr>
      <t>ovarian</t>
    </r>
    <r>
      <rPr>
        <sz val="11"/>
        <color theme="1"/>
        <rFont val="Calibri"/>
        <family val="2"/>
        <scheme val="minor"/>
      </rPr>
      <t xml:space="preserve"> cancer cells that expressed a high level of </t>
    </r>
    <r>
      <rPr>
        <b/>
        <sz val="11"/>
        <color theme="1"/>
        <rFont val="Calibri"/>
        <family val="2"/>
        <scheme val="minor"/>
      </rPr>
      <t>pSTAT3</t>
    </r>
    <r>
      <rPr>
        <sz val="11"/>
        <color theme="1"/>
        <rFont val="Calibri"/>
        <family val="2"/>
        <scheme val="minor"/>
      </rPr>
      <t xml:space="preserve">. </t>
    </r>
    <r>
      <rPr>
        <b/>
        <sz val="11"/>
        <color theme="1"/>
        <rFont val="Calibri"/>
        <family val="2"/>
        <scheme val="minor"/>
      </rPr>
      <t>4)</t>
    </r>
    <r>
      <rPr>
        <sz val="11"/>
        <color theme="1"/>
        <rFont val="Calibri"/>
        <family val="2"/>
        <scheme val="minor"/>
      </rPr>
      <t xml:space="preserve"> </t>
    </r>
    <r>
      <rPr>
        <b/>
        <sz val="11"/>
        <color theme="1"/>
        <rFont val="Calibri"/>
        <family val="2"/>
        <scheme val="minor"/>
      </rPr>
      <t xml:space="preserve">IL-6 </t>
    </r>
    <r>
      <rPr>
        <sz val="11"/>
        <color theme="1"/>
        <rFont val="Calibri"/>
        <family val="2"/>
        <scheme val="minor"/>
      </rPr>
      <t xml:space="preserve">could induce </t>
    </r>
    <r>
      <rPr>
        <b/>
        <sz val="11"/>
        <color theme="1"/>
        <rFont val="Calibri"/>
        <family val="2"/>
        <scheme val="minor"/>
      </rPr>
      <t>STAT3</t>
    </r>
    <r>
      <rPr>
        <sz val="11"/>
        <color theme="1"/>
        <rFont val="Calibri"/>
        <family val="2"/>
        <scheme val="minor"/>
      </rPr>
      <t xml:space="preserve"> activation in </t>
    </r>
    <r>
      <rPr>
        <b/>
        <sz val="11"/>
        <color theme="1"/>
        <rFont val="Calibri"/>
        <family val="2"/>
        <scheme val="minor"/>
      </rPr>
      <t>cisplatin</t>
    </r>
    <r>
      <rPr>
        <sz val="11"/>
        <color theme="1"/>
        <rFont val="Calibri"/>
        <family val="2"/>
        <scheme val="minor"/>
      </rPr>
      <t xml:space="preserve">-sensitive ovarian cancer cells and led to protection against </t>
    </r>
    <r>
      <rPr>
        <b/>
        <sz val="11"/>
        <color theme="1"/>
        <rFont val="Calibri"/>
        <family val="2"/>
        <scheme val="minor"/>
      </rPr>
      <t>cisplatin</t>
    </r>
    <r>
      <rPr>
        <sz val="11"/>
        <color theme="1"/>
        <rFont val="Calibri"/>
        <family val="2"/>
        <scheme val="minor"/>
      </rPr>
      <t xml:space="preserve">. </t>
    </r>
    <r>
      <rPr>
        <b/>
        <sz val="11"/>
        <color theme="1"/>
        <rFont val="Calibri"/>
        <family val="2"/>
        <scheme val="minor"/>
      </rPr>
      <t xml:space="preserve">5) </t>
    </r>
    <r>
      <rPr>
        <sz val="11"/>
        <color theme="1"/>
        <rFont val="Calibri"/>
        <family val="2"/>
        <scheme val="minor"/>
      </rPr>
      <t xml:space="preserve">The </t>
    </r>
    <r>
      <rPr>
        <b/>
        <sz val="11"/>
        <color theme="1"/>
        <rFont val="Calibri"/>
        <family val="2"/>
        <scheme val="minor"/>
      </rPr>
      <t>STAT3</t>
    </r>
    <r>
      <rPr>
        <sz val="11"/>
        <color theme="1"/>
        <rFont val="Calibri"/>
        <family val="2"/>
        <scheme val="minor"/>
      </rPr>
      <t xml:space="preserve"> siRNA treatment also blocked </t>
    </r>
    <r>
      <rPr>
        <b/>
        <sz val="11"/>
        <color theme="1"/>
        <rFont val="Calibri"/>
        <family val="2"/>
        <scheme val="minor"/>
      </rPr>
      <t>IL-6</t>
    </r>
    <r>
      <rPr>
        <sz val="11"/>
        <color theme="1"/>
        <rFont val="Calibri"/>
        <family val="2"/>
        <scheme val="minor"/>
      </rPr>
      <t xml:space="preserve">-induced </t>
    </r>
    <r>
      <rPr>
        <b/>
        <sz val="11"/>
        <color theme="1"/>
        <rFont val="Calibri"/>
        <family val="2"/>
        <scheme val="minor"/>
      </rPr>
      <t>STAT3</t>
    </r>
    <r>
      <rPr>
        <sz val="11"/>
        <color theme="1"/>
        <rFont val="Calibri"/>
        <family val="2"/>
        <scheme val="minor"/>
      </rPr>
      <t xml:space="preserve"> phosphorylation, and that the combination of cisplatin and STAT3 siRNA resulted in apoptosis.  </t>
    </r>
    <r>
      <rPr>
        <b/>
        <sz val="11"/>
        <color theme="1"/>
        <rFont val="Calibri"/>
        <family val="2"/>
        <scheme val="minor"/>
      </rPr>
      <t>6)</t>
    </r>
    <r>
      <rPr>
        <sz val="11"/>
        <color theme="1"/>
        <rFont val="Calibri"/>
        <family val="2"/>
        <scheme val="minor"/>
      </rPr>
      <t xml:space="preserve"> high levels of </t>
    </r>
    <r>
      <rPr>
        <b/>
        <sz val="11"/>
        <color theme="1"/>
        <rFont val="Calibri"/>
        <family val="2"/>
        <scheme val="minor"/>
      </rPr>
      <t>ROR2</t>
    </r>
    <r>
      <rPr>
        <sz val="11"/>
        <color theme="1"/>
        <rFont val="Calibri"/>
        <family val="2"/>
        <scheme val="minor"/>
      </rPr>
      <t xml:space="preserve"> in platinum-resistant</t>
    </r>
    <r>
      <rPr>
        <b/>
        <sz val="11"/>
        <color theme="1"/>
        <rFont val="Calibri"/>
        <family val="2"/>
        <scheme val="minor"/>
      </rPr>
      <t xml:space="preserve"> ovarian</t>
    </r>
    <r>
      <rPr>
        <sz val="11"/>
        <color theme="1"/>
        <rFont val="Calibri"/>
        <family val="2"/>
        <scheme val="minor"/>
      </rPr>
      <t xml:space="preserve"> cancer </t>
    </r>
    <r>
      <rPr>
        <b/>
        <sz val="11"/>
        <color theme="1"/>
        <rFont val="Calibri"/>
        <family val="2"/>
        <scheme val="minor"/>
      </rPr>
      <t>patient samples</t>
    </r>
    <r>
      <rPr>
        <sz val="11"/>
        <color theme="1"/>
        <rFont val="Calibri"/>
        <family val="2"/>
        <scheme val="minor"/>
      </rPr>
      <t xml:space="preserve"> were associated with upregulation of Wnt5a, </t>
    </r>
    <r>
      <rPr>
        <b/>
        <sz val="11"/>
        <color theme="1"/>
        <rFont val="Calibri"/>
        <family val="2"/>
        <scheme val="minor"/>
      </rPr>
      <t>STAT3</t>
    </r>
    <r>
      <rPr>
        <sz val="11"/>
        <color theme="1"/>
        <rFont val="Calibri"/>
        <family val="2"/>
        <scheme val="minor"/>
      </rPr>
      <t xml:space="preserve"> and NF-kB levels, suggesting that a crosstalk between the non-canonical Wnt5a-ROR2 and STAT3/NF-kB signaling pathways. </t>
    </r>
    <r>
      <rPr>
        <b/>
        <sz val="11"/>
        <color theme="1"/>
        <rFont val="Calibri"/>
        <family val="2"/>
        <scheme val="minor"/>
      </rPr>
      <t xml:space="preserve">7) </t>
    </r>
    <r>
      <rPr>
        <sz val="11"/>
        <color theme="1"/>
        <rFont val="Calibri"/>
        <family val="2"/>
        <scheme val="minor"/>
      </rPr>
      <t xml:space="preserve">Upregulation of ROR2, Wnt5a, </t>
    </r>
    <r>
      <rPr>
        <b/>
        <sz val="11"/>
        <color theme="1"/>
        <rFont val="Calibri"/>
        <family val="2"/>
        <scheme val="minor"/>
      </rPr>
      <t>STAT3</t>
    </r>
    <r>
      <rPr>
        <sz val="11"/>
        <color theme="1"/>
        <rFont val="Calibri"/>
        <family val="2"/>
        <scheme val="minor"/>
      </rPr>
      <t xml:space="preserve"> and NF-kB was further detected in a platinum-resistant cell-line model. </t>
    </r>
    <r>
      <rPr>
        <b/>
        <sz val="11"/>
        <color theme="1"/>
        <rFont val="Calibri"/>
        <family val="2"/>
        <scheme val="minor"/>
      </rPr>
      <t>8)</t>
    </r>
    <r>
      <rPr>
        <sz val="11"/>
        <color theme="1"/>
        <rFont val="Calibri"/>
        <family val="2"/>
        <scheme val="minor"/>
      </rPr>
      <t xml:space="preserve"> high expression levels of </t>
    </r>
    <r>
      <rPr>
        <b/>
        <sz val="11"/>
        <color theme="1"/>
        <rFont val="Calibri"/>
        <family val="2"/>
        <scheme val="minor"/>
      </rPr>
      <t>Stat3</t>
    </r>
    <r>
      <rPr>
        <sz val="11"/>
        <color theme="1"/>
        <rFont val="Calibri"/>
        <family val="2"/>
        <scheme val="minor"/>
      </rPr>
      <t xml:space="preserve"> and </t>
    </r>
    <r>
      <rPr>
        <b/>
        <sz val="11"/>
        <color theme="1"/>
        <rFont val="Calibri"/>
        <family val="2"/>
        <scheme val="minor"/>
      </rPr>
      <t>Notch1</t>
    </r>
    <r>
      <rPr>
        <sz val="11"/>
        <color theme="1"/>
        <rFont val="Calibri"/>
        <family val="2"/>
        <scheme val="minor"/>
      </rPr>
      <t xml:space="preserve"> were closely associated with </t>
    </r>
    <r>
      <rPr>
        <b/>
        <sz val="11"/>
        <color theme="1"/>
        <rFont val="Calibri"/>
        <family val="2"/>
        <scheme val="minor"/>
      </rPr>
      <t>cisplatin</t>
    </r>
    <r>
      <rPr>
        <sz val="11"/>
        <color theme="1"/>
        <rFont val="Calibri"/>
        <family val="2"/>
        <scheme val="minor"/>
      </rPr>
      <t xml:space="preserve"> resistance respectively (P=0.014, P=0.000). </t>
    </r>
    <r>
      <rPr>
        <b/>
        <sz val="11"/>
        <color theme="1"/>
        <rFont val="Calibri"/>
        <family val="2"/>
        <scheme val="minor"/>
      </rPr>
      <t>9) cisplatin</t>
    </r>
    <r>
      <rPr>
        <sz val="11"/>
        <color theme="1"/>
        <rFont val="Calibri"/>
        <family val="2"/>
        <scheme val="minor"/>
      </rPr>
      <t xml:space="preserve"> resistance of </t>
    </r>
    <r>
      <rPr>
        <b/>
        <sz val="11"/>
        <color theme="1"/>
        <rFont val="Calibri"/>
        <family val="2"/>
        <scheme val="minor"/>
      </rPr>
      <t>HNSCC</t>
    </r>
    <r>
      <rPr>
        <sz val="11"/>
        <color theme="1"/>
        <rFont val="Calibri"/>
        <family val="2"/>
        <scheme val="minor"/>
      </rPr>
      <t xml:space="preserve"> was decreased after inhibition of </t>
    </r>
    <r>
      <rPr>
        <b/>
        <sz val="11"/>
        <color theme="1"/>
        <rFont val="Calibri"/>
        <family val="2"/>
        <scheme val="minor"/>
      </rPr>
      <t>Stat3</t>
    </r>
    <r>
      <rPr>
        <sz val="11"/>
        <color theme="1"/>
        <rFont val="Calibri"/>
        <family val="2"/>
        <scheme val="minor"/>
      </rPr>
      <t xml:space="preserve"> or </t>
    </r>
    <r>
      <rPr>
        <b/>
        <sz val="11"/>
        <color theme="1"/>
        <rFont val="Calibri"/>
        <family val="2"/>
        <scheme val="minor"/>
      </rPr>
      <t>Notch</t>
    </r>
    <r>
      <rPr>
        <sz val="11"/>
        <color theme="1"/>
        <rFont val="Calibri"/>
        <family val="2"/>
        <scheme val="minor"/>
      </rPr>
      <t xml:space="preserve"> signaling in vitro. </t>
    </r>
  </si>
  <si>
    <r>
      <rPr>
        <b/>
        <sz val="11"/>
        <color theme="1"/>
        <rFont val="Calibri"/>
        <family val="2"/>
        <scheme val="minor"/>
      </rPr>
      <t>1) P</t>
    </r>
    <r>
      <rPr>
        <sz val="11"/>
        <color theme="1"/>
        <rFont val="Calibri"/>
        <family val="2"/>
        <scheme val="minor"/>
      </rPr>
      <t xml:space="preserve">roteins upregulated in </t>
    </r>
    <r>
      <rPr>
        <b/>
        <sz val="11"/>
        <color theme="1"/>
        <rFont val="Calibri"/>
        <family val="2"/>
        <scheme val="minor"/>
      </rPr>
      <t xml:space="preserve">recurrent tumors </t>
    </r>
    <r>
      <rPr>
        <sz val="11"/>
        <color theme="1"/>
        <rFont val="Calibri"/>
        <family val="2"/>
        <scheme val="minor"/>
      </rPr>
      <t>included FN1, STIM1, CD97, SYK, WNK1, SERPINA3, CTSS, AIF1,</t>
    </r>
    <r>
      <rPr>
        <b/>
        <sz val="11"/>
        <color theme="1"/>
        <rFont val="Calibri"/>
        <family val="2"/>
        <scheme val="minor"/>
      </rPr>
      <t xml:space="preserve"> RELA</t>
    </r>
    <r>
      <rPr>
        <sz val="11"/>
        <color theme="1"/>
        <rFont val="Calibri"/>
        <family val="2"/>
        <scheme val="minor"/>
      </rPr>
      <t>, IL18,</t>
    </r>
    <r>
      <rPr>
        <b/>
        <sz val="11"/>
        <color theme="1"/>
        <rFont val="Calibri"/>
        <family val="2"/>
        <scheme val="minor"/>
      </rPr>
      <t xml:space="preserve"> STAT5A, STAT5B</t>
    </r>
    <r>
      <rPr>
        <sz val="11"/>
        <color theme="1"/>
        <rFont val="Calibri"/>
        <family val="2"/>
        <scheme val="minor"/>
      </rPr>
      <t>.</t>
    </r>
    <r>
      <rPr>
        <b/>
        <sz val="11"/>
        <color theme="1"/>
        <rFont val="Calibri"/>
        <family val="2"/>
        <scheme val="minor"/>
      </rPr>
      <t xml:space="preserve"> 2) </t>
    </r>
    <r>
      <rPr>
        <sz val="11"/>
        <color theme="1"/>
        <rFont val="Calibri"/>
        <family val="2"/>
        <scheme val="minor"/>
      </rPr>
      <t>The expression of the 24 candidate proteins was validated using quantitative RT-PCR in the same set of clinical samples, as well as in the three pairs of carboplatin-naïve and resistant (CR) ovarian cancer cell lines.</t>
    </r>
    <r>
      <rPr>
        <b/>
        <sz val="11"/>
        <color theme="1"/>
        <rFont val="Calibri"/>
        <family val="2"/>
        <scheme val="minor"/>
      </rPr>
      <t xml:space="preserve"> 3)</t>
    </r>
    <r>
      <rPr>
        <sz val="11"/>
        <color theme="1"/>
        <rFont val="Calibri"/>
        <family val="2"/>
        <scheme val="minor"/>
      </rPr>
      <t xml:space="preserve"> simultaneous knockdown of RELA and STAT5B was most effective in sensitizing tumor cells for </t>
    </r>
    <r>
      <rPr>
        <b/>
        <sz val="11"/>
        <color theme="1"/>
        <rFont val="Calibri"/>
        <family val="2"/>
        <scheme val="minor"/>
      </rPr>
      <t>carboplatin</t>
    </r>
    <r>
      <rPr>
        <sz val="11"/>
        <color theme="1"/>
        <rFont val="Calibri"/>
        <family val="2"/>
        <scheme val="minor"/>
      </rPr>
      <t xml:space="preserve"> treatment. </t>
    </r>
    <r>
      <rPr>
        <b/>
        <sz val="11"/>
        <color theme="1"/>
        <rFont val="Calibri"/>
        <family val="2"/>
        <scheme val="minor"/>
      </rPr>
      <t xml:space="preserve">4) </t>
    </r>
    <r>
      <rPr>
        <sz val="11"/>
        <color theme="1"/>
        <rFont val="Calibri"/>
        <family val="2"/>
        <scheme val="minor"/>
      </rPr>
      <t xml:space="preserve">both RELA and STAT5 are known to bind to the promoter region of Bcl-X, regulating its promoter activity. Augmented Bcl-xL expression was detected in carboplatin-resistant cells. </t>
    </r>
    <r>
      <rPr>
        <b/>
        <sz val="11"/>
        <color theme="1"/>
        <rFont val="Calibri"/>
        <family val="2"/>
        <scheme val="minor"/>
      </rPr>
      <t>5)</t>
    </r>
    <r>
      <rPr>
        <sz val="11"/>
        <color theme="1"/>
        <rFont val="Calibri"/>
        <family val="2"/>
        <scheme val="minor"/>
      </rPr>
      <t xml:space="preserve"> Combined ectopic expression of RELA and STAT5B enhanced Bcl-xL promoter activity while treatment with BMS-345541 and Dasatinib decreased it. </t>
    </r>
    <r>
      <rPr>
        <b/>
        <sz val="11"/>
        <color theme="1"/>
        <rFont val="Calibri"/>
        <family val="2"/>
        <scheme val="minor"/>
      </rPr>
      <t>6)</t>
    </r>
    <r>
      <rPr>
        <sz val="11"/>
        <color theme="1"/>
        <rFont val="Calibri"/>
        <family val="2"/>
        <scheme val="minor"/>
      </rPr>
      <t xml:space="preserve"> Chromatin IP of the Bcl-X promoter region using a STAT5 antibody showed induction of RELA and STAT5 DNA-binding segments both in naïve cells treated with a high concentration of carboplatin as well as in carboplatin-resistant cells.</t>
    </r>
  </si>
  <si>
    <r>
      <rPr>
        <b/>
        <sz val="11"/>
        <color theme="1"/>
        <rFont val="Calibri"/>
        <family val="2"/>
        <scheme val="minor"/>
      </rPr>
      <t>1) platinum</t>
    </r>
    <r>
      <rPr>
        <sz val="11"/>
        <color theme="1"/>
        <rFont val="Calibri"/>
        <family val="2"/>
        <scheme val="minor"/>
      </rPr>
      <t xml:space="preserve">-based chemotherapeutics downregulate PD-L2 in a </t>
    </r>
    <r>
      <rPr>
        <b/>
        <sz val="11"/>
        <color theme="1"/>
        <rFont val="Calibri"/>
        <family val="2"/>
        <scheme val="minor"/>
      </rPr>
      <t>STAT6</t>
    </r>
    <r>
      <rPr>
        <sz val="11"/>
        <color theme="1"/>
        <rFont val="Calibri"/>
        <family val="2"/>
        <scheme val="minor"/>
      </rPr>
      <t xml:space="preserve">-dependent manner, resulting in enhanced T cell activation and increased tumor cell recognition. </t>
    </r>
    <r>
      <rPr>
        <b/>
        <sz val="11"/>
        <color theme="1"/>
        <rFont val="Calibri"/>
        <family val="2"/>
        <scheme val="minor"/>
      </rPr>
      <t xml:space="preserve">2) </t>
    </r>
    <r>
      <rPr>
        <sz val="11"/>
        <color theme="1"/>
        <rFont val="Calibri"/>
        <family val="2"/>
        <scheme val="minor"/>
      </rPr>
      <t>patients with STAT6-expressing head and neck cancer displayed enhanced recurrence-free survival upon treatment with cisplatin-based chemoradiation compared with patients with STAT6-negative tumors, demonstrating the clinical relevance of platinum-induced STAT6 modulation. </t>
    </r>
  </si>
  <si>
    <r>
      <rPr>
        <b/>
        <sz val="11"/>
        <color theme="1"/>
        <rFont val="Calibri"/>
        <family val="2"/>
        <scheme val="minor"/>
      </rPr>
      <t>1)</t>
    </r>
    <r>
      <rPr>
        <sz val="11"/>
        <color theme="1"/>
        <rFont val="Calibri"/>
        <family val="2"/>
        <scheme val="minor"/>
      </rPr>
      <t xml:space="preserve"> </t>
    </r>
    <r>
      <rPr>
        <b/>
        <sz val="11"/>
        <color theme="1"/>
        <rFont val="Calibri"/>
        <family val="2"/>
        <scheme val="minor"/>
      </rPr>
      <t>Stim1</t>
    </r>
    <r>
      <rPr>
        <sz val="11"/>
        <color theme="1"/>
        <rFont val="Calibri"/>
        <family val="2"/>
        <scheme val="minor"/>
      </rPr>
      <t xml:space="preserve"> expression was significantly increased in chemo-resistant </t>
    </r>
    <r>
      <rPr>
        <b/>
        <sz val="11"/>
        <color theme="1"/>
        <rFont val="Calibri"/>
        <family val="2"/>
        <scheme val="minor"/>
      </rPr>
      <t>osteosarcoma</t>
    </r>
    <r>
      <rPr>
        <sz val="11"/>
        <color theme="1"/>
        <rFont val="Calibri"/>
        <family val="2"/>
        <scheme val="minor"/>
      </rPr>
      <t xml:space="preserve"> tissues compared with chemo-sensitivity tissues. </t>
    </r>
    <r>
      <rPr>
        <b/>
        <sz val="11"/>
        <color theme="1"/>
        <rFont val="Calibri"/>
        <family val="2"/>
        <scheme val="minor"/>
      </rPr>
      <t>2)</t>
    </r>
    <r>
      <rPr>
        <sz val="11"/>
        <color theme="1"/>
        <rFont val="Calibri"/>
        <family val="2"/>
        <scheme val="minor"/>
      </rPr>
      <t xml:space="preserve"> Patients with Stim1 expression exhibited poorer overall survival than Stim1-negative patients. </t>
    </r>
    <r>
      <rPr>
        <b/>
        <sz val="11"/>
        <color theme="1"/>
        <rFont val="Calibri"/>
        <family val="2"/>
        <scheme val="minor"/>
      </rPr>
      <t xml:space="preserve">3) </t>
    </r>
    <r>
      <rPr>
        <sz val="11"/>
        <color theme="1"/>
        <rFont val="Calibri"/>
        <family val="2"/>
        <scheme val="minor"/>
      </rPr>
      <t xml:space="preserve">un-regulation of Stim1 expression and SOCE were also observed in </t>
    </r>
    <r>
      <rPr>
        <b/>
        <sz val="11"/>
        <color theme="1"/>
        <rFont val="Calibri"/>
        <family val="2"/>
        <scheme val="minor"/>
      </rPr>
      <t>cisplatin</t>
    </r>
    <r>
      <rPr>
        <sz val="11"/>
        <color theme="1"/>
        <rFont val="Calibri"/>
        <family val="2"/>
        <scheme val="minor"/>
      </rPr>
      <t xml:space="preserve">-resistant MG63/CDDP cells compared with their parental cells. </t>
    </r>
    <r>
      <rPr>
        <b/>
        <sz val="11"/>
        <color theme="1"/>
        <rFont val="Calibri"/>
        <family val="2"/>
        <scheme val="minor"/>
      </rPr>
      <t>4)</t>
    </r>
    <r>
      <rPr>
        <sz val="11"/>
        <color theme="1"/>
        <rFont val="Calibri"/>
        <family val="2"/>
        <scheme val="minor"/>
      </rPr>
      <t xml:space="preserve"> Cisplatin reduced Stim1 expression and SOCE in cisplatin-sensitive MG63 cells, but had no effects on MG63/CDDP cells.</t>
    </r>
    <r>
      <rPr>
        <b/>
        <sz val="11"/>
        <color theme="1"/>
        <rFont val="Calibri"/>
        <family val="2"/>
        <scheme val="minor"/>
      </rPr>
      <t xml:space="preserve"> 5) </t>
    </r>
    <r>
      <rPr>
        <sz val="11"/>
        <color theme="1"/>
        <rFont val="Calibri"/>
        <family val="2"/>
        <scheme val="minor"/>
      </rPr>
      <t>Knockdown of Stim1 enhanced cisplatin-induced apoptosis and ER stress in MG63/CDDP cells, thereby sensitizing cancer cells to cisplatin.</t>
    </r>
    <r>
      <rPr>
        <b/>
        <sz val="11"/>
        <color theme="1"/>
        <rFont val="Calibri"/>
        <family val="2"/>
        <scheme val="minor"/>
      </rPr>
      <t xml:space="preserve"> 6)</t>
    </r>
    <r>
      <rPr>
        <sz val="11"/>
        <color theme="1"/>
        <rFont val="Calibri"/>
        <family val="2"/>
        <scheme val="minor"/>
      </rPr>
      <t xml:space="preserve"> overexpression of Stim1 markedly reversed apoptosis and ER stress following cisplatin treatment. </t>
    </r>
    <r>
      <rPr>
        <b/>
        <sz val="11"/>
        <color theme="1"/>
        <rFont val="Calibri"/>
        <family val="2"/>
        <scheme val="minor"/>
      </rPr>
      <t xml:space="preserve">7) </t>
    </r>
    <r>
      <rPr>
        <sz val="11"/>
        <color theme="1"/>
        <rFont val="Calibri"/>
        <family val="2"/>
        <scheme val="minor"/>
      </rPr>
      <t xml:space="preserve">SOCE was decreased by Akt inhibitor III (SH-6, 10 µM) in A2780cis but not A2780 cells and </t>
    </r>
    <r>
      <rPr>
        <b/>
        <sz val="11"/>
        <color theme="1"/>
        <rFont val="Calibri"/>
        <family val="2"/>
        <scheme val="minor"/>
      </rPr>
      <t>8)</t>
    </r>
    <r>
      <rPr>
        <sz val="11"/>
        <color theme="1"/>
        <rFont val="Calibri"/>
        <family val="2"/>
        <scheme val="minor"/>
      </rPr>
      <t xml:space="preserve"> decreased in both cell lines by Orai1 inhibitor 2-aminoethoxydiphenyl borate (2-ABP, 50 µM). </t>
    </r>
  </si>
  <si>
    <r>
      <rPr>
        <b/>
        <sz val="11"/>
        <color theme="1"/>
        <rFont val="Calibri"/>
        <family val="2"/>
        <scheme val="minor"/>
      </rPr>
      <t>1) STING</t>
    </r>
    <r>
      <rPr>
        <sz val="11"/>
        <color theme="1"/>
        <rFont val="Calibri"/>
        <family val="2"/>
        <scheme val="minor"/>
      </rPr>
      <t xml:space="preserve"> pathway activation in </t>
    </r>
    <r>
      <rPr>
        <b/>
        <sz val="11"/>
        <color theme="1"/>
        <rFont val="Calibri"/>
        <family val="2"/>
        <scheme val="minor"/>
      </rPr>
      <t>NSCLC</t>
    </r>
    <r>
      <rPr>
        <sz val="11"/>
        <color theme="1"/>
        <rFont val="Calibri"/>
        <family val="2"/>
        <scheme val="minor"/>
      </rPr>
      <t xml:space="preserve"> predicts features of immunotherapy response and is enhanced by </t>
    </r>
    <r>
      <rPr>
        <b/>
        <sz val="11"/>
        <color theme="1"/>
        <rFont val="Calibri"/>
        <family val="2"/>
        <scheme val="minor"/>
      </rPr>
      <t>cisplatin</t>
    </r>
    <r>
      <rPr>
        <sz val="11"/>
        <color theme="1"/>
        <rFont val="Calibri"/>
        <family val="2"/>
        <scheme val="minor"/>
      </rPr>
      <t xml:space="preserve"> treatment. </t>
    </r>
    <r>
      <rPr>
        <b/>
        <sz val="11"/>
        <color theme="1"/>
        <rFont val="Calibri"/>
        <family val="2"/>
        <scheme val="minor"/>
      </rPr>
      <t xml:space="preserve">2) </t>
    </r>
    <r>
      <rPr>
        <sz val="11"/>
        <color theme="1"/>
        <rFont val="Calibri"/>
        <family val="2"/>
        <scheme val="minor"/>
      </rPr>
      <t xml:space="preserve">This suggests a possible predictive biomarker and mechanism for improved response to chemoimmunotherapy combinations. </t>
    </r>
    <r>
      <rPr>
        <b/>
        <sz val="11"/>
        <color theme="1"/>
        <rFont val="Calibri"/>
        <family val="2"/>
        <scheme val="minor"/>
      </rPr>
      <t>3) USP35</t>
    </r>
    <r>
      <rPr>
        <sz val="11"/>
        <color theme="1"/>
        <rFont val="Calibri"/>
        <family val="2"/>
        <scheme val="minor"/>
      </rPr>
      <t xml:space="preserve"> can directly deubiquitinate and inactivate </t>
    </r>
    <r>
      <rPr>
        <b/>
        <sz val="11"/>
        <color theme="1"/>
        <rFont val="Calibri"/>
        <family val="2"/>
        <scheme val="minor"/>
      </rPr>
      <t>STING</t>
    </r>
    <r>
      <rPr>
        <sz val="11"/>
        <color theme="1"/>
        <rFont val="Calibri"/>
        <family val="2"/>
        <scheme val="minor"/>
      </rPr>
      <t xml:space="preserve">. </t>
    </r>
    <r>
      <rPr>
        <b/>
        <sz val="11"/>
        <color theme="1"/>
        <rFont val="Calibri"/>
        <family val="2"/>
        <scheme val="minor"/>
      </rPr>
      <t xml:space="preserve">4) </t>
    </r>
    <r>
      <rPr>
        <sz val="11"/>
        <color theme="1"/>
        <rFont val="Calibri"/>
        <family val="2"/>
        <scheme val="minor"/>
      </rPr>
      <t xml:space="preserve">activation of STING promotes its binding to USP35 in a STING phosphorylation-dependent manner. </t>
    </r>
    <r>
      <rPr>
        <b/>
        <sz val="11"/>
        <color theme="1"/>
        <rFont val="Calibri"/>
        <family val="2"/>
        <scheme val="minor"/>
      </rPr>
      <t>5)</t>
    </r>
    <r>
      <rPr>
        <sz val="11"/>
        <color theme="1"/>
        <rFont val="Calibri"/>
        <family val="2"/>
        <scheme val="minor"/>
      </rPr>
      <t xml:space="preserve"> knockdown of USP35 sensitizes </t>
    </r>
    <r>
      <rPr>
        <b/>
        <sz val="11"/>
        <color theme="1"/>
        <rFont val="Calibri"/>
        <family val="2"/>
        <scheme val="minor"/>
      </rPr>
      <t>ovarian</t>
    </r>
    <r>
      <rPr>
        <sz val="11"/>
        <color theme="1"/>
        <rFont val="Calibri"/>
        <family val="2"/>
        <scheme val="minor"/>
      </rPr>
      <t xml:space="preserve"> cancer cells to the DNA-damage chemotherapeutic drug </t>
    </r>
    <r>
      <rPr>
        <b/>
        <sz val="11"/>
        <color theme="1"/>
        <rFont val="Calibri"/>
        <family val="2"/>
        <scheme val="minor"/>
      </rPr>
      <t>cisplatin</t>
    </r>
    <r>
      <rPr>
        <sz val="11"/>
        <color theme="1"/>
        <rFont val="Calibri"/>
        <family val="2"/>
        <scheme val="minor"/>
      </rPr>
      <t xml:space="preserve">. </t>
    </r>
  </si>
  <si>
    <r>
      <rPr>
        <b/>
        <sz val="11"/>
        <color theme="1"/>
        <rFont val="Calibri"/>
        <family val="2"/>
        <scheme val="minor"/>
      </rPr>
      <t>1)</t>
    </r>
    <r>
      <rPr>
        <sz val="11"/>
        <color theme="1"/>
        <rFont val="Calibri"/>
        <family val="2"/>
        <scheme val="minor"/>
      </rPr>
      <t xml:space="preserve"> Exogenous expression of LKB1 could enhance the sensitivity of both A549 and H460 cell lines to cisplatin. </t>
    </r>
    <r>
      <rPr>
        <b/>
        <sz val="11"/>
        <color theme="1"/>
        <rFont val="Calibri"/>
        <family val="2"/>
        <scheme val="minor"/>
      </rPr>
      <t>2)</t>
    </r>
    <r>
      <rPr>
        <sz val="11"/>
        <color theme="1"/>
        <rFont val="Calibri"/>
        <family val="2"/>
        <scheme val="minor"/>
      </rPr>
      <t xml:space="preserve"> Cationic LPs-mediated LKB1 gene therapy could sensitize the response of lung cancer cells to cisplatin. </t>
    </r>
    <r>
      <rPr>
        <b/>
        <sz val="11"/>
        <color theme="1"/>
        <rFont val="Calibri"/>
        <family val="2"/>
        <scheme val="minor"/>
      </rPr>
      <t>3)</t>
    </r>
    <r>
      <rPr>
        <sz val="11"/>
        <color theme="1"/>
        <rFont val="Calibri"/>
        <family val="2"/>
        <scheme val="minor"/>
      </rPr>
      <t xml:space="preserve"> Dramatic upregulations of p-p53 and p-JNK protein levels were detected in LPs-pVAX-LKB1 plus cisplatin-treated cells. </t>
    </r>
  </si>
  <si>
    <r>
      <rPr>
        <b/>
        <sz val="11"/>
        <color theme="1"/>
        <rFont val="Calibri"/>
        <family val="2"/>
        <scheme val="minor"/>
      </rPr>
      <t>1)</t>
    </r>
    <r>
      <rPr>
        <sz val="11"/>
        <color theme="1"/>
        <rFont val="Calibri"/>
        <family val="2"/>
        <scheme val="minor"/>
      </rPr>
      <t xml:space="preserve"> </t>
    </r>
    <r>
      <rPr>
        <b/>
        <sz val="11"/>
        <color theme="1"/>
        <rFont val="Calibri"/>
        <family val="2"/>
        <scheme val="minor"/>
      </rPr>
      <t>STK17A</t>
    </r>
    <r>
      <rPr>
        <sz val="11"/>
        <color theme="1"/>
        <rFont val="Calibri"/>
        <family val="2"/>
        <scheme val="minor"/>
      </rPr>
      <t xml:space="preserve"> was significantly downregulated in </t>
    </r>
    <r>
      <rPr>
        <b/>
        <sz val="11"/>
        <color theme="1"/>
        <rFont val="Calibri"/>
        <family val="2"/>
        <scheme val="minor"/>
      </rPr>
      <t>oxaliplatin</t>
    </r>
    <r>
      <rPr>
        <sz val="11"/>
        <color theme="1"/>
        <rFont val="Calibri"/>
        <family val="2"/>
        <scheme val="minor"/>
      </rPr>
      <t xml:space="preserve"> resistant colon cancer cells. </t>
    </r>
    <r>
      <rPr>
        <b/>
        <sz val="11"/>
        <color theme="1"/>
        <rFont val="Calibri"/>
        <family val="2"/>
        <scheme val="minor"/>
      </rPr>
      <t>2)</t>
    </r>
    <r>
      <rPr>
        <sz val="11"/>
        <color theme="1"/>
        <rFont val="Calibri"/>
        <family val="2"/>
        <scheme val="minor"/>
      </rPr>
      <t xml:space="preserve"> reduced expression of STK17A, result in resistance to paclitaxel and </t>
    </r>
    <r>
      <rPr>
        <b/>
        <sz val="11"/>
        <color theme="1"/>
        <rFont val="Calibri"/>
        <family val="2"/>
        <scheme val="minor"/>
      </rPr>
      <t>carboplatin</t>
    </r>
    <r>
      <rPr>
        <sz val="11"/>
        <color theme="1"/>
        <rFont val="Calibri"/>
        <family val="2"/>
        <scheme val="minor"/>
      </rPr>
      <t>.</t>
    </r>
    <r>
      <rPr>
        <b/>
        <sz val="11"/>
        <color theme="1"/>
        <rFont val="Calibri"/>
        <family val="2"/>
        <scheme val="minor"/>
      </rPr>
      <t xml:space="preserve">3) </t>
    </r>
    <r>
      <rPr>
        <sz val="11"/>
        <color theme="1"/>
        <rFont val="Calibri"/>
        <family val="2"/>
        <scheme val="minor"/>
      </rPr>
      <t xml:space="preserve"> overexpression of STK17A reduced resistance to paclitaxel and carboplatin. </t>
    </r>
    <r>
      <rPr>
        <b/>
        <sz val="11"/>
        <color theme="1"/>
        <rFont val="Calibri"/>
        <family val="2"/>
        <scheme val="minor"/>
      </rPr>
      <t>4)</t>
    </r>
    <r>
      <rPr>
        <sz val="11"/>
        <color theme="1"/>
        <rFont val="Calibri"/>
        <family val="2"/>
        <scheme val="minor"/>
      </rPr>
      <t xml:space="preserve"> </t>
    </r>
    <r>
      <rPr>
        <b/>
        <sz val="11"/>
        <color theme="1"/>
        <rFont val="Calibri"/>
        <family val="2"/>
        <scheme val="minor"/>
      </rPr>
      <t>STK17A</t>
    </r>
    <r>
      <rPr>
        <sz val="11"/>
        <color theme="1"/>
        <rFont val="Calibri"/>
        <family val="2"/>
        <scheme val="minor"/>
      </rPr>
      <t xml:space="preserve"> is a novel </t>
    </r>
    <r>
      <rPr>
        <b/>
        <sz val="11"/>
        <color theme="1"/>
        <rFont val="Calibri"/>
        <family val="2"/>
        <scheme val="minor"/>
      </rPr>
      <t>p53</t>
    </r>
    <r>
      <rPr>
        <sz val="11"/>
        <color theme="1"/>
        <rFont val="Calibri"/>
        <family val="2"/>
        <scheme val="minor"/>
      </rPr>
      <t xml:space="preserve"> target gene; </t>
    </r>
    <r>
      <rPr>
        <b/>
        <sz val="11"/>
        <color theme="1"/>
        <rFont val="Calibri"/>
        <family val="2"/>
        <scheme val="minor"/>
      </rPr>
      <t>Cisplatin</t>
    </r>
    <r>
      <rPr>
        <sz val="11"/>
        <color theme="1"/>
        <rFont val="Calibri"/>
        <family val="2"/>
        <scheme val="minor"/>
      </rPr>
      <t xml:space="preserve">-mediated induction of </t>
    </r>
    <r>
      <rPr>
        <b/>
        <sz val="11"/>
        <color theme="1"/>
        <rFont val="Calibri"/>
        <family val="2"/>
        <scheme val="minor"/>
      </rPr>
      <t>STK17A</t>
    </r>
    <r>
      <rPr>
        <sz val="11"/>
        <color theme="1"/>
        <rFont val="Calibri"/>
        <family val="2"/>
        <scheme val="minor"/>
      </rPr>
      <t xml:space="preserve"> in the </t>
    </r>
    <r>
      <rPr>
        <b/>
        <sz val="11"/>
        <color theme="1"/>
        <rFont val="Calibri"/>
        <family val="2"/>
        <scheme val="minor"/>
      </rPr>
      <t xml:space="preserve">testicular </t>
    </r>
    <r>
      <rPr>
        <sz val="11"/>
        <color theme="1"/>
        <rFont val="Calibri"/>
        <family val="2"/>
        <scheme val="minor"/>
      </rPr>
      <t xml:space="preserve">EC cell line NT2/D1 was prevented with p53 siRNA. </t>
    </r>
    <r>
      <rPr>
        <b/>
        <sz val="11"/>
        <color theme="1"/>
        <rFont val="Calibri"/>
        <family val="2"/>
        <scheme val="minor"/>
      </rPr>
      <t>5)</t>
    </r>
    <r>
      <rPr>
        <sz val="11"/>
        <color theme="1"/>
        <rFont val="Calibri"/>
        <family val="2"/>
        <scheme val="minor"/>
      </rPr>
      <t xml:space="preserve"> Knockdown of STK17A conferred resistance to cisplatin-induced growth suppression and apoptotic cell death in EC cells. </t>
    </r>
    <r>
      <rPr>
        <b/>
        <sz val="11"/>
        <color theme="1"/>
        <rFont val="Calibri"/>
        <family val="2"/>
        <scheme val="minor"/>
      </rPr>
      <t xml:space="preserve">6) </t>
    </r>
    <r>
      <rPr>
        <sz val="11"/>
        <color theme="1"/>
        <rFont val="Calibri"/>
        <family val="2"/>
        <scheme val="minor"/>
      </rPr>
      <t xml:space="preserve">This was associated with the up-regulation of detoxifying and antioxidant genes, including metallothioneins </t>
    </r>
    <r>
      <rPr>
        <b/>
        <sz val="11"/>
        <color theme="1"/>
        <rFont val="Calibri"/>
        <family val="2"/>
        <scheme val="minor"/>
      </rPr>
      <t>MT1H, MT1M</t>
    </r>
    <r>
      <rPr>
        <sz val="11"/>
        <color theme="1"/>
        <rFont val="Calibri"/>
        <family val="2"/>
        <scheme val="minor"/>
      </rPr>
      <t xml:space="preserve">, and </t>
    </r>
    <r>
      <rPr>
        <b/>
        <sz val="11"/>
        <color theme="1"/>
        <rFont val="Calibri"/>
        <family val="2"/>
        <scheme val="minor"/>
      </rPr>
      <t>MT1X</t>
    </r>
    <r>
      <rPr>
        <sz val="11"/>
        <color theme="1"/>
        <rFont val="Calibri"/>
        <family val="2"/>
        <scheme val="minor"/>
      </rPr>
      <t xml:space="preserve"> that have previously been implicated in </t>
    </r>
    <r>
      <rPr>
        <b/>
        <sz val="11"/>
        <color theme="1"/>
        <rFont val="Calibri"/>
        <family val="2"/>
        <scheme val="minor"/>
      </rPr>
      <t>cisplatin</t>
    </r>
    <r>
      <rPr>
        <sz val="11"/>
        <color theme="1"/>
        <rFont val="Calibri"/>
        <family val="2"/>
        <scheme val="minor"/>
      </rPr>
      <t xml:space="preserve"> resistance. </t>
    </r>
    <r>
      <rPr>
        <b/>
        <sz val="11"/>
        <color theme="1"/>
        <rFont val="Calibri"/>
        <family val="2"/>
        <scheme val="minor"/>
      </rPr>
      <t xml:space="preserve">6) </t>
    </r>
    <r>
      <rPr>
        <sz val="11"/>
        <color theme="1"/>
        <rFont val="Calibri"/>
        <family val="2"/>
        <scheme val="minor"/>
      </rPr>
      <t xml:space="preserve">knockdown of STK17A resulted in decreased cellular reactive oxygen species, whereas STK17A overexpression increased reactive oxygen species. </t>
    </r>
  </si>
  <si>
    <r>
      <rPr>
        <b/>
        <sz val="11"/>
        <color theme="1"/>
        <rFont val="Calibri"/>
        <family val="2"/>
        <scheme val="minor"/>
      </rPr>
      <t xml:space="preserve">1) </t>
    </r>
    <r>
      <rPr>
        <sz val="11"/>
        <color theme="1"/>
        <rFont val="Calibri"/>
        <family val="2"/>
        <scheme val="minor"/>
      </rPr>
      <t>Hsp70 has been identified as an Mst1-interacting protein.</t>
    </r>
    <r>
      <rPr>
        <b/>
        <sz val="11"/>
        <color theme="1"/>
        <rFont val="Calibri"/>
        <family val="2"/>
        <scheme val="minor"/>
      </rPr>
      <t xml:space="preserve"> 2) </t>
    </r>
    <r>
      <rPr>
        <sz val="11"/>
        <color theme="1"/>
        <rFont val="Calibri"/>
        <family val="2"/>
        <scheme val="minor"/>
      </rPr>
      <t xml:space="preserve">Hsp70 colocalized with Mst1 in the cytoplasm of LNCaP cells. </t>
    </r>
    <r>
      <rPr>
        <b/>
        <sz val="11"/>
        <color theme="1"/>
        <rFont val="Calibri"/>
        <family val="2"/>
        <scheme val="minor"/>
      </rPr>
      <t xml:space="preserve">3) </t>
    </r>
    <r>
      <rPr>
        <sz val="11"/>
        <color theme="1"/>
        <rFont val="Calibri"/>
        <family val="2"/>
        <scheme val="minor"/>
      </rPr>
      <t xml:space="preserve">Overexpression of Hsp70 mediates proteasomal degradation of Mst1. </t>
    </r>
    <r>
      <rPr>
        <b/>
        <sz val="11"/>
        <color theme="1"/>
        <rFont val="Calibri"/>
        <family val="2"/>
        <scheme val="minor"/>
      </rPr>
      <t>4)</t>
    </r>
    <r>
      <rPr>
        <sz val="11"/>
        <color theme="1"/>
        <rFont val="Calibri"/>
        <family val="2"/>
        <scheme val="minor"/>
      </rPr>
      <t xml:space="preserve"> the proapoptotic effect of Mst1 was markedly inhibited by overexpression of Hsp70. </t>
    </r>
    <r>
      <rPr>
        <b/>
        <sz val="11"/>
        <color theme="1"/>
        <rFont val="Calibri"/>
        <family val="2"/>
        <scheme val="minor"/>
      </rPr>
      <t>5)</t>
    </r>
    <r>
      <rPr>
        <sz val="11"/>
        <color theme="1"/>
        <rFont val="Calibri"/>
        <family val="2"/>
        <scheme val="minor"/>
      </rPr>
      <t xml:space="preserve"> in response to the treatment of cisplatin, the induction of Hsp70 expression is higher in the androgen-independent DU145 cells compared with the androgen-dependent LNCaP cells. </t>
    </r>
    <r>
      <rPr>
        <b/>
        <sz val="11"/>
        <color theme="1"/>
        <rFont val="Calibri"/>
        <family val="2"/>
        <scheme val="minor"/>
      </rPr>
      <t xml:space="preserve">6) </t>
    </r>
    <r>
      <rPr>
        <sz val="11"/>
        <color theme="1"/>
        <rFont val="Calibri"/>
        <family val="2"/>
        <scheme val="minor"/>
      </rPr>
      <t xml:space="preserve">The higher levels of Hsp70 induction and subsequent Mst1 degradation mediate </t>
    </r>
    <r>
      <rPr>
        <b/>
        <sz val="11"/>
        <color theme="1"/>
        <rFont val="Calibri"/>
        <family val="2"/>
        <scheme val="minor"/>
      </rPr>
      <t>cisplatin</t>
    </r>
    <r>
      <rPr>
        <sz val="11"/>
        <color theme="1"/>
        <rFont val="Calibri"/>
        <family val="2"/>
        <scheme val="minor"/>
      </rPr>
      <t xml:space="preserve"> resistance in </t>
    </r>
    <r>
      <rPr>
        <b/>
        <sz val="11"/>
        <color theme="1"/>
        <rFont val="Calibri"/>
        <family val="2"/>
        <scheme val="minor"/>
      </rPr>
      <t>prostate</t>
    </r>
    <r>
      <rPr>
        <sz val="11"/>
        <color theme="1"/>
        <rFont val="Calibri"/>
        <family val="2"/>
        <scheme val="minor"/>
      </rPr>
      <t xml:space="preserve"> cancer DU145 cells. </t>
    </r>
    <r>
      <rPr>
        <b/>
        <sz val="11"/>
        <color theme="1"/>
        <rFont val="Calibri"/>
        <family val="2"/>
        <scheme val="minor"/>
      </rPr>
      <t xml:space="preserve">7) </t>
    </r>
    <r>
      <rPr>
        <sz val="11"/>
        <color theme="1"/>
        <rFont val="Calibri"/>
        <family val="2"/>
        <scheme val="minor"/>
      </rPr>
      <t>overexpression of Mst1 sensitizes prostate cancer cells to cisplatin treatment. </t>
    </r>
  </si>
  <si>
    <r>
      <rPr>
        <b/>
        <sz val="11"/>
        <color theme="1"/>
        <rFont val="Calibri"/>
        <family val="2"/>
        <scheme val="minor"/>
      </rPr>
      <t xml:space="preserve">1) </t>
    </r>
    <r>
      <rPr>
        <sz val="11"/>
        <color theme="1"/>
        <rFont val="Calibri"/>
        <family val="2"/>
        <scheme val="minor"/>
      </rPr>
      <t xml:space="preserve">SUSD2 is one of Notch3-regulating genes and </t>
    </r>
    <r>
      <rPr>
        <b/>
        <sz val="11"/>
        <color theme="1"/>
        <rFont val="Calibri"/>
        <family val="2"/>
        <scheme val="minor"/>
      </rPr>
      <t>2)</t>
    </r>
    <r>
      <rPr>
        <sz val="11"/>
        <color theme="1"/>
        <rFont val="Calibri"/>
        <family val="2"/>
        <scheme val="minor"/>
      </rPr>
      <t xml:space="preserve"> the elevated protein expression of SUSD2 in HGSOC. </t>
    </r>
    <r>
      <rPr>
        <b/>
        <sz val="11"/>
        <color theme="1"/>
        <rFont val="Calibri"/>
        <family val="2"/>
        <scheme val="minor"/>
      </rPr>
      <t xml:space="preserve">3) </t>
    </r>
    <r>
      <rPr>
        <sz val="11"/>
        <color theme="1"/>
        <rFont val="Calibri"/>
        <family val="2"/>
        <scheme val="minor"/>
      </rPr>
      <t xml:space="preserve">its high expression level was significantly correlated with worse overall survival, early recurrence and lymph nodes metastasis. </t>
    </r>
    <r>
      <rPr>
        <b/>
        <sz val="11"/>
        <color theme="1"/>
        <rFont val="Calibri"/>
        <family val="2"/>
        <scheme val="minor"/>
      </rPr>
      <t xml:space="preserve">4) </t>
    </r>
    <r>
      <rPr>
        <sz val="11"/>
        <color theme="1"/>
        <rFont val="Calibri"/>
        <family val="2"/>
        <scheme val="minor"/>
      </rPr>
      <t xml:space="preserve">overexpression of SUSD2 in ovarian cancer cells promoted epithelial-mesenchymal transition (EMT) and the metastatic capacity of malignant cells. </t>
    </r>
    <r>
      <rPr>
        <b/>
        <sz val="11"/>
        <color theme="1"/>
        <rFont val="Calibri"/>
        <family val="2"/>
        <scheme val="minor"/>
      </rPr>
      <t xml:space="preserve">5) </t>
    </r>
    <r>
      <rPr>
        <sz val="11"/>
        <color theme="1"/>
        <rFont val="Calibri"/>
        <family val="2"/>
        <scheme val="minor"/>
      </rPr>
      <t xml:space="preserve">silencing SUSD2 in aggressive ovarian cancer cells inhibited these processes both in vitro and in vivo. </t>
    </r>
    <r>
      <rPr>
        <b/>
        <sz val="11"/>
        <color theme="1"/>
        <rFont val="Calibri"/>
        <family val="2"/>
        <scheme val="minor"/>
      </rPr>
      <t xml:space="preserve">6) </t>
    </r>
    <r>
      <rPr>
        <sz val="11"/>
        <color theme="1"/>
        <rFont val="Calibri"/>
        <family val="2"/>
        <scheme val="minor"/>
      </rPr>
      <t xml:space="preserve">SUSD2 promoted EMT through regulating the expression of EpCAM and EpCAM silencing reversed SUSD2-induced E-cadherin reduction and cells migration. </t>
    </r>
    <r>
      <rPr>
        <b/>
        <sz val="11"/>
        <color theme="1"/>
        <rFont val="Calibri"/>
        <family val="2"/>
        <scheme val="minor"/>
      </rPr>
      <t xml:space="preserve">7) </t>
    </r>
    <r>
      <rPr>
        <sz val="11"/>
        <color theme="1"/>
        <rFont val="Calibri"/>
        <family val="2"/>
        <scheme val="minor"/>
      </rPr>
      <t xml:space="preserve">a role of SUSD2 in conferring cisplatin resistance in ovarian cancer probably through enhancing autophagy in vitro. </t>
    </r>
  </si>
  <si>
    <r>
      <rPr>
        <b/>
        <sz val="11"/>
        <color theme="1"/>
        <rFont val="Calibri"/>
        <family val="2"/>
        <scheme val="minor"/>
      </rPr>
      <t>1) TAB1</t>
    </r>
    <r>
      <rPr>
        <sz val="11"/>
        <color theme="1"/>
        <rFont val="Calibri"/>
        <family val="2"/>
        <scheme val="minor"/>
      </rPr>
      <t xml:space="preserve"> interacts with </t>
    </r>
    <r>
      <rPr>
        <b/>
        <sz val="11"/>
        <color theme="1"/>
        <rFont val="Calibri"/>
        <family val="2"/>
        <scheme val="minor"/>
      </rPr>
      <t>MDM2</t>
    </r>
    <r>
      <rPr>
        <sz val="11"/>
        <color theme="1"/>
        <rFont val="Calibri"/>
        <family val="2"/>
        <scheme val="minor"/>
      </rPr>
      <t xml:space="preserve"> and regulates </t>
    </r>
    <r>
      <rPr>
        <b/>
        <sz val="11"/>
        <color theme="1"/>
        <rFont val="Calibri"/>
        <family val="2"/>
        <scheme val="minor"/>
      </rPr>
      <t>p53-</t>
    </r>
    <r>
      <rPr>
        <sz val="11"/>
        <color theme="1"/>
        <rFont val="Calibri"/>
        <family val="2"/>
        <scheme val="minor"/>
      </rPr>
      <t xml:space="preserve">mediated cell death in response to </t>
    </r>
    <r>
      <rPr>
        <b/>
        <sz val="11"/>
        <color theme="1"/>
        <rFont val="Calibri"/>
        <family val="2"/>
        <scheme val="minor"/>
      </rPr>
      <t>cisplatin</t>
    </r>
    <r>
      <rPr>
        <sz val="11"/>
        <color theme="1"/>
        <rFont val="Calibri"/>
        <family val="2"/>
        <scheme val="minor"/>
      </rPr>
      <t xml:space="preserve">. </t>
    </r>
    <r>
      <rPr>
        <b/>
        <sz val="11"/>
        <color theme="1"/>
        <rFont val="Calibri"/>
        <family val="2"/>
        <scheme val="minor"/>
      </rPr>
      <t>2) p38α</t>
    </r>
    <r>
      <rPr>
        <sz val="11"/>
        <color theme="1"/>
        <rFont val="Calibri"/>
        <family val="2"/>
        <scheme val="minor"/>
      </rPr>
      <t xml:space="preserve"> is activated by TAB1 to phosphorylate p53 N-terminal sites, leading to selective induction of p53 targets such as</t>
    </r>
    <r>
      <rPr>
        <b/>
        <sz val="11"/>
        <color theme="1"/>
        <rFont val="Calibri"/>
        <family val="2"/>
        <scheme val="minor"/>
      </rPr>
      <t xml:space="preserve"> NOXA</t>
    </r>
    <r>
      <rPr>
        <sz val="11"/>
        <color theme="1"/>
        <rFont val="Calibri"/>
        <family val="2"/>
        <scheme val="minor"/>
      </rPr>
      <t>.</t>
    </r>
    <r>
      <rPr>
        <b/>
        <sz val="11"/>
        <color theme="1"/>
        <rFont val="Calibri"/>
        <family val="2"/>
        <scheme val="minor"/>
      </rPr>
      <t xml:space="preserve"> MDMX</t>
    </r>
    <r>
      <rPr>
        <sz val="11"/>
        <color theme="1"/>
        <rFont val="Calibri"/>
        <family val="2"/>
        <scheme val="minor"/>
      </rPr>
      <t xml:space="preserve"> is</t>
    </r>
    <r>
      <rPr>
        <b/>
        <sz val="11"/>
        <color theme="1"/>
        <rFont val="Calibri"/>
        <family val="2"/>
        <scheme val="minor"/>
      </rPr>
      <t xml:space="preserve"> </t>
    </r>
    <r>
      <rPr>
        <sz val="11"/>
        <color theme="1"/>
        <rFont val="Calibri"/>
        <family val="2"/>
        <scheme val="minor"/>
      </rPr>
      <t>stabilized in a TAB1-dependent manner and is required for cell death after</t>
    </r>
    <r>
      <rPr>
        <b/>
        <sz val="11"/>
        <color theme="1"/>
        <rFont val="Calibri"/>
        <family val="2"/>
        <scheme val="minor"/>
      </rPr>
      <t xml:space="preserve"> cisplatin </t>
    </r>
    <r>
      <rPr>
        <sz val="11"/>
        <color theme="1"/>
        <rFont val="Calibri"/>
        <family val="2"/>
        <scheme val="minor"/>
      </rPr>
      <t>treatment</t>
    </r>
    <r>
      <rPr>
        <b/>
        <sz val="11"/>
        <color theme="1"/>
        <rFont val="Calibri"/>
        <family val="2"/>
        <scheme val="minor"/>
      </rPr>
      <t>. 3)</t>
    </r>
    <r>
      <rPr>
        <sz val="11"/>
        <color theme="1"/>
        <rFont val="Calibri"/>
        <family val="2"/>
        <scheme val="minor"/>
      </rPr>
      <t xml:space="preserve"> TAB1 expression is decreased in </t>
    </r>
    <r>
      <rPr>
        <b/>
        <sz val="11"/>
        <color theme="1"/>
        <rFont val="Calibri"/>
        <family val="2"/>
        <scheme val="minor"/>
      </rPr>
      <t>ovarian</t>
    </r>
    <r>
      <rPr>
        <sz val="11"/>
        <color theme="1"/>
        <rFont val="Calibri"/>
        <family val="2"/>
        <scheme val="minor"/>
      </rPr>
      <t xml:space="preserve"> tumors and </t>
    </r>
    <r>
      <rPr>
        <b/>
        <sz val="11"/>
        <color theme="1"/>
        <rFont val="Calibri"/>
        <family val="2"/>
        <scheme val="minor"/>
      </rPr>
      <t>cisplatin</t>
    </r>
    <r>
      <rPr>
        <sz val="11"/>
        <color theme="1"/>
        <rFont val="Calibri"/>
        <family val="2"/>
        <scheme val="minor"/>
      </rPr>
      <t xml:space="preserve">-resistant ovarian cancer cells. </t>
    </r>
  </si>
  <si>
    <r>
      <rPr>
        <b/>
        <sz val="11"/>
        <color theme="1"/>
        <rFont val="Calibri"/>
        <family val="2"/>
        <scheme val="minor"/>
      </rPr>
      <t xml:space="preserve">1) </t>
    </r>
    <r>
      <rPr>
        <sz val="11"/>
        <color theme="1"/>
        <rFont val="Calibri"/>
        <family val="2"/>
        <scheme val="minor"/>
      </rPr>
      <t xml:space="preserve">Expressions of TAB3 and PCNA mRNA were found to be gradually increased in </t>
    </r>
    <r>
      <rPr>
        <b/>
        <sz val="11"/>
        <color theme="1"/>
        <rFont val="Calibri"/>
        <family val="2"/>
        <scheme val="minor"/>
      </rPr>
      <t xml:space="preserve">EOC </t>
    </r>
    <r>
      <rPr>
        <sz val="11"/>
        <color theme="1"/>
        <rFont val="Calibri"/>
        <family val="2"/>
        <scheme val="minor"/>
      </rPr>
      <t xml:space="preserve">tissues and cell lines. </t>
    </r>
    <r>
      <rPr>
        <b/>
        <sz val="11"/>
        <color theme="1"/>
        <rFont val="Calibri"/>
        <family val="2"/>
        <scheme val="minor"/>
      </rPr>
      <t>2)</t>
    </r>
    <r>
      <rPr>
        <sz val="11"/>
        <color theme="1"/>
        <rFont val="Calibri"/>
        <family val="2"/>
        <scheme val="minor"/>
      </rPr>
      <t xml:space="preserve"> knockdown of TAB3 expression in HO8910 or SKOV3 ovarian cancer cells significantly promoted chemical sensitivity to </t>
    </r>
    <r>
      <rPr>
        <b/>
        <sz val="11"/>
        <color theme="1"/>
        <rFont val="Calibri"/>
        <family val="2"/>
        <scheme val="minor"/>
      </rPr>
      <t>cisplatin</t>
    </r>
    <r>
      <rPr>
        <sz val="11"/>
        <color theme="1"/>
        <rFont val="Calibri"/>
        <family val="2"/>
        <scheme val="minor"/>
      </rPr>
      <t xml:space="preserve"> and paclitaxel treatment via inhibiting NF-κB pathways. </t>
    </r>
    <r>
      <rPr>
        <b/>
        <sz val="11"/>
        <color theme="1"/>
        <rFont val="Calibri"/>
        <family val="2"/>
        <scheme val="minor"/>
      </rPr>
      <t xml:space="preserve">3) </t>
    </r>
    <r>
      <rPr>
        <sz val="11"/>
        <color theme="1"/>
        <rFont val="Calibri"/>
        <family val="2"/>
        <scheme val="minor"/>
      </rPr>
      <t xml:space="preserve">upregulation of TAB3 expression correlated with a more invasive tumor phenotype and poor prognosis in </t>
    </r>
    <r>
      <rPr>
        <b/>
        <sz val="11"/>
        <color theme="1"/>
        <rFont val="Calibri"/>
        <family val="2"/>
        <scheme val="minor"/>
      </rPr>
      <t>NSCLC</t>
    </r>
    <r>
      <rPr>
        <sz val="11"/>
        <color theme="1"/>
        <rFont val="Calibri"/>
        <family val="2"/>
        <scheme val="minor"/>
      </rPr>
      <t xml:space="preserve"> patients;  downregulation of TAB3 enhanced CDDP-induced </t>
    </r>
    <r>
      <rPr>
        <b/>
        <sz val="11"/>
        <color theme="1"/>
        <rFont val="Calibri"/>
        <family val="2"/>
        <scheme val="minor"/>
      </rPr>
      <t>lung</t>
    </r>
    <r>
      <rPr>
        <sz val="11"/>
        <color theme="1"/>
        <rFont val="Calibri"/>
        <family val="2"/>
        <scheme val="minor"/>
      </rPr>
      <t xml:space="preserve"> cancer A549 cell apoptosis through the inhibition of the NF-κB pathway.</t>
    </r>
  </si>
  <si>
    <r>
      <rPr>
        <b/>
        <sz val="11"/>
        <color theme="1"/>
        <rFont val="Calibri"/>
        <family val="2"/>
        <scheme val="minor"/>
      </rPr>
      <t>1) Cisplatin</t>
    </r>
    <r>
      <rPr>
        <sz val="11"/>
        <color theme="1"/>
        <rFont val="Calibri"/>
        <family val="2"/>
        <scheme val="minor"/>
      </rPr>
      <t>-induced increases in transporter of antigen proteins (TAP1 and TAP2) only in the UMSCC-74A cells with wild type TP53, an established inducer of</t>
    </r>
    <r>
      <rPr>
        <b/>
        <sz val="11"/>
        <color theme="1"/>
        <rFont val="Calibri"/>
        <family val="2"/>
        <scheme val="minor"/>
      </rPr>
      <t xml:space="preserve"> TAP1</t>
    </r>
    <r>
      <rPr>
        <sz val="11"/>
        <color theme="1"/>
        <rFont val="Calibri"/>
        <family val="2"/>
        <scheme val="minor"/>
      </rPr>
      <t>.  </t>
    </r>
    <r>
      <rPr>
        <b/>
        <sz val="11"/>
        <color theme="1"/>
        <rFont val="Calibri"/>
        <family val="2"/>
        <scheme val="minor"/>
      </rPr>
      <t>2)</t>
    </r>
    <r>
      <rPr>
        <sz val="11"/>
        <color theme="1"/>
        <rFont val="Calibri"/>
        <family val="2"/>
        <scheme val="minor"/>
      </rPr>
      <t xml:space="preserve"> inability to increase TAP1/2 may be a form of immune escape in </t>
    </r>
    <r>
      <rPr>
        <b/>
        <sz val="11"/>
        <color theme="1"/>
        <rFont val="Calibri"/>
        <family val="2"/>
        <scheme val="minor"/>
      </rPr>
      <t>HNSCC</t>
    </r>
    <r>
      <rPr>
        <sz val="11"/>
        <color theme="1"/>
        <rFont val="Calibri"/>
        <family val="2"/>
        <scheme val="minor"/>
      </rPr>
      <t xml:space="preserve">. </t>
    </r>
    <r>
      <rPr>
        <b/>
        <sz val="11"/>
        <color theme="1"/>
        <rFont val="Calibri"/>
        <family val="2"/>
        <scheme val="minor"/>
      </rPr>
      <t xml:space="preserve">3) </t>
    </r>
    <r>
      <rPr>
        <sz val="11"/>
        <color theme="1"/>
        <rFont val="Calibri"/>
        <family val="2"/>
        <scheme val="minor"/>
      </rPr>
      <t xml:space="preserve">treatment of </t>
    </r>
    <r>
      <rPr>
        <b/>
        <sz val="11"/>
        <color theme="1"/>
        <rFont val="Calibri"/>
        <family val="2"/>
        <scheme val="minor"/>
      </rPr>
      <t xml:space="preserve">OC </t>
    </r>
    <r>
      <rPr>
        <sz val="11"/>
        <color theme="1"/>
        <rFont val="Calibri"/>
        <family val="2"/>
        <scheme val="minor"/>
      </rPr>
      <t xml:space="preserve">cell lines with TNFα and </t>
    </r>
    <r>
      <rPr>
        <b/>
        <sz val="11"/>
        <color theme="1"/>
        <rFont val="Calibri"/>
        <family val="2"/>
        <scheme val="minor"/>
      </rPr>
      <t>IL6</t>
    </r>
    <r>
      <rPr>
        <sz val="11"/>
        <color theme="1"/>
        <rFont val="Calibri"/>
        <family val="2"/>
        <scheme val="minor"/>
      </rPr>
      <t xml:space="preserve"> induced a selective increase in the expression of TAP1 and multidrug resistance protein 1, </t>
    </r>
    <r>
      <rPr>
        <b/>
        <sz val="11"/>
        <color theme="1"/>
        <rFont val="Calibri"/>
        <family val="2"/>
        <scheme val="minor"/>
      </rPr>
      <t xml:space="preserve">4) </t>
    </r>
    <r>
      <rPr>
        <sz val="11"/>
        <color theme="1"/>
        <rFont val="Calibri"/>
        <family val="2"/>
        <scheme val="minor"/>
      </rPr>
      <t xml:space="preserve">TAP1 silencing sensitized cells to cisplatin-induced apoptosis. </t>
    </r>
  </si>
  <si>
    <r>
      <rPr>
        <b/>
        <sz val="11"/>
        <color theme="1"/>
        <rFont val="Calibri"/>
        <family val="2"/>
        <scheme val="minor"/>
      </rPr>
      <t>1)</t>
    </r>
    <r>
      <rPr>
        <sz val="11"/>
        <color theme="1"/>
        <rFont val="Calibri"/>
        <family val="2"/>
        <scheme val="minor"/>
      </rPr>
      <t xml:space="preserve"> In comparison of the gene expressions between KFR and KF-1 </t>
    </r>
    <r>
      <rPr>
        <b/>
        <sz val="11"/>
        <color theme="1"/>
        <rFont val="Calibri"/>
        <family val="2"/>
        <scheme val="minor"/>
      </rPr>
      <t>ovarian</t>
    </r>
    <r>
      <rPr>
        <sz val="11"/>
        <color theme="1"/>
        <rFont val="Calibri"/>
        <family val="2"/>
        <scheme val="minor"/>
      </rPr>
      <t xml:space="preserve"> cancer cell lines, </t>
    </r>
    <r>
      <rPr>
        <b/>
        <sz val="11"/>
        <color theme="1"/>
        <rFont val="Calibri"/>
        <family val="2"/>
        <scheme val="minor"/>
      </rPr>
      <t>TBCE</t>
    </r>
    <r>
      <rPr>
        <sz val="11"/>
        <color theme="1"/>
        <rFont val="Calibri"/>
        <family val="2"/>
        <scheme val="minor"/>
      </rPr>
      <t xml:space="preserve"> and </t>
    </r>
    <r>
      <rPr>
        <b/>
        <sz val="11"/>
        <color theme="1"/>
        <rFont val="Calibri"/>
        <family val="2"/>
        <scheme val="minor"/>
      </rPr>
      <t>CITED2</t>
    </r>
    <r>
      <rPr>
        <sz val="11"/>
        <color theme="1"/>
        <rFont val="Calibri"/>
        <family val="2"/>
        <scheme val="minor"/>
      </rPr>
      <t xml:space="preserve"> were overexpressed in KFR compared to KF-1. </t>
    </r>
    <r>
      <rPr>
        <b/>
        <sz val="11"/>
        <color theme="1"/>
        <rFont val="Calibri"/>
        <family val="2"/>
        <scheme val="minor"/>
      </rPr>
      <t xml:space="preserve">2) </t>
    </r>
    <r>
      <rPr>
        <sz val="11"/>
        <color theme="1"/>
        <rFont val="Calibri"/>
        <family val="2"/>
        <scheme val="minor"/>
      </rPr>
      <t xml:space="preserve">These genes are overexpressed in MKN74, an </t>
    </r>
    <r>
      <rPr>
        <b/>
        <sz val="11"/>
        <color theme="1"/>
        <rFont val="Calibri"/>
        <family val="2"/>
        <scheme val="minor"/>
      </rPr>
      <t>oxaliplatin</t>
    </r>
    <r>
      <rPr>
        <sz val="11"/>
        <color theme="1"/>
        <rFont val="Calibri"/>
        <family val="2"/>
        <scheme val="minor"/>
      </rPr>
      <t>-resistant gastric cancer cell line, compared to oxaliplatin-sensitive MKN28.</t>
    </r>
    <r>
      <rPr>
        <b/>
        <sz val="11"/>
        <color theme="1"/>
        <rFont val="Calibri"/>
        <family val="2"/>
        <scheme val="minor"/>
      </rPr>
      <t xml:space="preserve"> 3) </t>
    </r>
    <r>
      <rPr>
        <sz val="11"/>
        <color theme="1"/>
        <rFont val="Calibri"/>
        <family val="2"/>
        <scheme val="minor"/>
      </rPr>
      <t xml:space="preserve">siRNA knockdown of TBCE and CITED2 enhanced the cytotoxicity of </t>
    </r>
    <r>
      <rPr>
        <b/>
        <sz val="11"/>
        <color theme="1"/>
        <rFont val="Calibri"/>
        <family val="2"/>
        <scheme val="minor"/>
      </rPr>
      <t>diplatin</t>
    </r>
    <r>
      <rPr>
        <sz val="11"/>
        <color theme="1"/>
        <rFont val="Calibri"/>
        <family val="2"/>
        <scheme val="minor"/>
      </rPr>
      <t xml:space="preserve"> to KFR. </t>
    </r>
  </si>
  <si>
    <r>
      <rPr>
        <b/>
        <sz val="11"/>
        <color theme="1"/>
        <rFont val="Calibri"/>
        <family val="2"/>
        <scheme val="minor"/>
      </rPr>
      <t xml:space="preserve">1) </t>
    </r>
    <r>
      <rPr>
        <sz val="11"/>
        <color theme="1"/>
        <rFont val="Calibri"/>
        <family val="2"/>
        <scheme val="minor"/>
      </rPr>
      <t xml:space="preserve">silencing TBX2 induces senescence. </t>
    </r>
    <r>
      <rPr>
        <b/>
        <sz val="11"/>
        <color theme="1"/>
        <rFont val="Calibri"/>
        <family val="2"/>
        <scheme val="minor"/>
      </rPr>
      <t xml:space="preserve">2) </t>
    </r>
    <r>
      <rPr>
        <sz val="11"/>
        <color theme="1"/>
        <rFont val="Calibri"/>
        <family val="2"/>
        <scheme val="minor"/>
      </rPr>
      <t xml:space="preserve">Ectopic expression of TBX2 is associated with conferred resistance to the DNA-damaging chemotherapeutic drugs </t>
    </r>
    <r>
      <rPr>
        <b/>
        <sz val="11"/>
        <color theme="1"/>
        <rFont val="Calibri"/>
        <family val="2"/>
        <scheme val="minor"/>
      </rPr>
      <t>cisplatin</t>
    </r>
    <r>
      <rPr>
        <sz val="11"/>
        <color theme="1"/>
        <rFont val="Calibri"/>
        <family val="2"/>
        <scheme val="minor"/>
      </rPr>
      <t xml:space="preserve"> and doxorubicin. </t>
    </r>
    <r>
      <rPr>
        <b/>
        <sz val="11"/>
        <color theme="1"/>
        <rFont val="Calibri"/>
        <family val="2"/>
        <scheme val="minor"/>
      </rPr>
      <t xml:space="preserve">3) </t>
    </r>
    <r>
      <rPr>
        <sz val="11"/>
        <color theme="1"/>
        <rFont val="Calibri"/>
        <family val="2"/>
        <scheme val="minor"/>
      </rPr>
      <t xml:space="preserve">A total of 54 patients with </t>
    </r>
    <r>
      <rPr>
        <b/>
        <sz val="11"/>
        <color theme="1"/>
        <rFont val="Calibri"/>
        <family val="2"/>
        <scheme val="minor"/>
      </rPr>
      <t>ovarian</t>
    </r>
    <r>
      <rPr>
        <sz val="11"/>
        <color theme="1"/>
        <rFont val="Calibri"/>
        <family val="2"/>
        <scheme val="minor"/>
      </rPr>
      <t xml:space="preserve"> serous carcinoma (FIGO stages III and IV) were divided into platinum-sensitive (n=27) and resistant (n=27) groups. </t>
    </r>
    <r>
      <rPr>
        <b/>
        <sz val="11"/>
        <color theme="1"/>
        <rFont val="Calibri"/>
        <family val="2"/>
        <scheme val="minor"/>
      </rPr>
      <t>4)</t>
    </r>
    <r>
      <rPr>
        <sz val="11"/>
        <color theme="1"/>
        <rFont val="Calibri"/>
        <family val="2"/>
        <scheme val="minor"/>
      </rPr>
      <t xml:space="preserve"> The TBX2-weighted score was significantly lower in the </t>
    </r>
    <r>
      <rPr>
        <b/>
        <sz val="11"/>
        <color theme="1"/>
        <rFont val="Calibri"/>
        <family val="2"/>
        <scheme val="minor"/>
      </rPr>
      <t>platinum-sensitive</t>
    </r>
    <r>
      <rPr>
        <sz val="11"/>
        <color theme="1"/>
        <rFont val="Calibri"/>
        <family val="2"/>
        <scheme val="minor"/>
      </rPr>
      <t xml:space="preserve"> group than the platinum-resistant group (P=0.005) and the low TBX2 expression group was significantly more sensitive to platinum-based chemotherapy (P=0.004). Sensitivity to cisplatin and carboplatin significantly increased when TBX2 expression was inhibited in human ovarian serous carcinoma cells in vitro (P&lt;0.05). </t>
    </r>
  </si>
  <si>
    <r>
      <rPr>
        <b/>
        <sz val="11"/>
        <color theme="1"/>
        <rFont val="Calibri"/>
        <family val="2"/>
        <scheme val="minor"/>
      </rPr>
      <t xml:space="preserve">1) </t>
    </r>
    <r>
      <rPr>
        <sz val="11"/>
        <color theme="1"/>
        <rFont val="Calibri"/>
        <family val="2"/>
        <scheme val="minor"/>
      </rPr>
      <t xml:space="preserve">Tert inhibitor Eribulin inhibits growth of cisplatin-resistant </t>
    </r>
    <r>
      <rPr>
        <b/>
        <sz val="11"/>
        <color theme="1"/>
        <rFont val="Calibri"/>
        <family val="2"/>
        <scheme val="minor"/>
      </rPr>
      <t>ovarian</t>
    </r>
    <r>
      <rPr>
        <sz val="11"/>
        <color theme="1"/>
        <rFont val="Calibri"/>
        <family val="2"/>
        <scheme val="minor"/>
      </rPr>
      <t xml:space="preserve"> adenocarcinoma cell lines. </t>
    </r>
    <r>
      <rPr>
        <b/>
        <sz val="11"/>
        <color theme="1"/>
        <rFont val="Calibri"/>
        <family val="2"/>
        <scheme val="minor"/>
      </rPr>
      <t xml:space="preserve">2) </t>
    </r>
    <r>
      <rPr>
        <sz val="11"/>
        <color theme="1"/>
        <rFont val="Calibri"/>
        <family val="2"/>
        <scheme val="minor"/>
      </rPr>
      <t xml:space="preserve">higher telomerase reverse transcriptase(TERT) expression in </t>
    </r>
    <r>
      <rPr>
        <b/>
        <sz val="11"/>
        <color theme="1"/>
        <rFont val="Calibri"/>
        <family val="2"/>
        <scheme val="minor"/>
      </rPr>
      <t>cisplatin</t>
    </r>
    <r>
      <rPr>
        <sz val="11"/>
        <color theme="1"/>
        <rFont val="Calibri"/>
        <family val="2"/>
        <scheme val="minor"/>
      </rPr>
      <t xml:space="preserve"> resistant </t>
    </r>
    <r>
      <rPr>
        <b/>
        <sz val="11"/>
        <color theme="1"/>
        <rFont val="Calibri"/>
        <family val="2"/>
        <scheme val="minor"/>
      </rPr>
      <t>osteosarcoma</t>
    </r>
    <r>
      <rPr>
        <sz val="11"/>
        <color theme="1"/>
        <rFont val="Calibri"/>
        <family val="2"/>
        <scheme val="minor"/>
      </rPr>
      <t xml:space="preserve"> cells. </t>
    </r>
    <r>
      <rPr>
        <b/>
        <sz val="11"/>
        <color theme="1"/>
        <rFont val="Calibri"/>
        <family val="2"/>
        <scheme val="minor"/>
      </rPr>
      <t xml:space="preserve">3) </t>
    </r>
    <r>
      <rPr>
        <sz val="11"/>
        <color theme="1"/>
        <rFont val="Calibri"/>
        <family val="2"/>
        <scheme val="minor"/>
      </rPr>
      <t xml:space="preserve">TERT translocates from the nucleus to mitochondria in cisplatin treated osteosarcoma cells. </t>
    </r>
    <r>
      <rPr>
        <b/>
        <sz val="11"/>
        <color theme="1"/>
        <rFont val="Calibri"/>
        <family val="2"/>
        <scheme val="minor"/>
      </rPr>
      <t xml:space="preserve">4) </t>
    </r>
    <r>
      <rPr>
        <sz val="11"/>
        <color theme="1"/>
        <rFont val="Calibri"/>
        <family val="2"/>
        <scheme val="minor"/>
      </rPr>
      <t xml:space="preserve">decreased apoptosis rate and improved mitochondrial function in TERT-overexpressing cells following cisplatin treatment. </t>
    </r>
    <r>
      <rPr>
        <b/>
        <sz val="11"/>
        <color theme="1"/>
        <rFont val="Calibri"/>
        <family val="2"/>
        <scheme val="minor"/>
      </rPr>
      <t>5)</t>
    </r>
    <r>
      <rPr>
        <sz val="11"/>
        <color theme="1"/>
        <rFont val="Calibri"/>
        <family val="2"/>
        <scheme val="minor"/>
      </rPr>
      <t xml:space="preserve"> TERT inhibits cisplatin-induced apoptosis independently of telomerase reverse transcriptase activity. </t>
    </r>
    <r>
      <rPr>
        <b/>
        <sz val="11"/>
        <color theme="1"/>
        <rFont val="Calibri"/>
        <family val="2"/>
        <scheme val="minor"/>
      </rPr>
      <t xml:space="preserve">6) </t>
    </r>
    <r>
      <rPr>
        <sz val="11"/>
        <color theme="1"/>
        <rFont val="Calibri"/>
        <family val="2"/>
        <scheme val="minor"/>
      </rPr>
      <t>TERT suppressed cisplatin-induced apoptosis and improved mitochondrial function via alleviating intracellular ROS in osteosarcoma cells.</t>
    </r>
    <r>
      <rPr>
        <b/>
        <sz val="11"/>
        <color theme="1"/>
        <rFont val="Calibri"/>
        <family val="2"/>
        <scheme val="minor"/>
      </rPr>
      <t xml:space="preserve"> 7)</t>
    </r>
    <r>
      <rPr>
        <sz val="11"/>
        <color theme="1"/>
        <rFont val="Calibri"/>
        <family val="2"/>
        <scheme val="minor"/>
      </rPr>
      <t xml:space="preserve"> Seven</t>
    </r>
    <r>
      <rPr>
        <b/>
        <sz val="11"/>
        <color theme="1"/>
        <rFont val="Calibri"/>
        <family val="2"/>
        <scheme val="minor"/>
      </rPr>
      <t xml:space="preserve"> polymorphisms of TERT</t>
    </r>
    <r>
      <rPr>
        <sz val="11"/>
        <color theme="1"/>
        <rFont val="Calibri"/>
        <family val="2"/>
        <scheme val="minor"/>
      </rPr>
      <t xml:space="preserve"> were assessed, and a total of 1004 inoperable advanced </t>
    </r>
    <r>
      <rPr>
        <b/>
        <sz val="11"/>
        <color theme="1"/>
        <rFont val="Calibri"/>
        <family val="2"/>
        <scheme val="minor"/>
      </rPr>
      <t>NSCLC</t>
    </r>
    <r>
      <rPr>
        <sz val="11"/>
        <color theme="1"/>
        <rFont val="Calibri"/>
        <family val="2"/>
        <scheme val="minor"/>
      </rPr>
      <t xml:space="preserve"> patients treated with</t>
    </r>
    <r>
      <rPr>
        <b/>
        <sz val="11"/>
        <color theme="1"/>
        <rFont val="Calibri"/>
        <family val="2"/>
        <scheme val="minor"/>
      </rPr>
      <t xml:space="preserve"> platinum</t>
    </r>
    <r>
      <rPr>
        <sz val="11"/>
        <color theme="1"/>
        <rFont val="Calibri"/>
        <family val="2"/>
        <scheme val="minor"/>
      </rPr>
      <t xml:space="preserve">-based chemotherapy were enrolled. It is exhibited that the variant heterozygote of rs4975605 showed significant association with a low rate of clinical benefit. </t>
    </r>
  </si>
  <si>
    <r>
      <rPr>
        <b/>
        <sz val="11"/>
        <color theme="1"/>
        <rFont val="Calibri"/>
        <family val="2"/>
        <scheme val="minor"/>
      </rPr>
      <t>1) TET1</t>
    </r>
    <r>
      <rPr>
        <sz val="11"/>
        <color theme="1"/>
        <rFont val="Calibri"/>
        <family val="2"/>
        <scheme val="minor"/>
      </rPr>
      <t xml:space="preserve"> was significantly upregulated in</t>
    </r>
    <r>
      <rPr>
        <b/>
        <sz val="11"/>
        <color theme="1"/>
        <rFont val="Calibri"/>
        <family val="2"/>
        <scheme val="minor"/>
      </rPr>
      <t xml:space="preserve"> cisplatin-resistant</t>
    </r>
    <r>
      <rPr>
        <sz val="11"/>
        <color theme="1"/>
        <rFont val="Calibri"/>
        <family val="2"/>
        <scheme val="minor"/>
      </rPr>
      <t xml:space="preserve"> CP70 cells compared with that in cisplatin-sensitive A2780 cells. </t>
    </r>
    <r>
      <rPr>
        <b/>
        <sz val="11"/>
        <color theme="1"/>
        <rFont val="Calibri"/>
        <family val="2"/>
        <scheme val="minor"/>
      </rPr>
      <t xml:space="preserve">2) </t>
    </r>
    <r>
      <rPr>
        <sz val="11"/>
        <color theme="1"/>
        <rFont val="Calibri"/>
        <family val="2"/>
        <scheme val="minor"/>
      </rPr>
      <t xml:space="preserve">Ectopic expression of TET1 in A2780 cells promoted cisplatin resistance and decreased cytotoxicity induced by cisplatin, </t>
    </r>
    <r>
      <rPr>
        <b/>
        <sz val="11"/>
        <color theme="1"/>
        <rFont val="Calibri"/>
        <family val="2"/>
        <scheme val="minor"/>
      </rPr>
      <t xml:space="preserve">3) </t>
    </r>
    <r>
      <rPr>
        <sz val="11"/>
        <color theme="1"/>
        <rFont val="Calibri"/>
        <family val="2"/>
        <scheme val="minor"/>
      </rPr>
      <t>inhibition of TET1 by siRNA attenuated cisplatin resistance and enhanced cytotoxicity of cisplatin.</t>
    </r>
    <r>
      <rPr>
        <b/>
        <sz val="11"/>
        <color theme="1"/>
        <rFont val="Calibri"/>
        <family val="2"/>
        <scheme val="minor"/>
      </rPr>
      <t xml:space="preserve"> 4)</t>
    </r>
    <r>
      <rPr>
        <sz val="11"/>
        <color theme="1"/>
        <rFont val="Calibri"/>
        <family val="2"/>
        <scheme val="minor"/>
      </rPr>
      <t xml:space="preserve"> Increased TET1 induced re-expression of </t>
    </r>
    <r>
      <rPr>
        <b/>
        <sz val="11"/>
        <color theme="1"/>
        <rFont val="Calibri"/>
        <family val="2"/>
        <scheme val="minor"/>
      </rPr>
      <t>vimentin</t>
    </r>
    <r>
      <rPr>
        <sz val="11"/>
        <color theme="1"/>
        <rFont val="Calibri"/>
        <family val="2"/>
        <scheme val="minor"/>
      </rPr>
      <t xml:space="preserve"> through active DNA demethylation, and cause partial epithelial-to-mesenchymal (EMT) in A2780 cells. </t>
    </r>
    <r>
      <rPr>
        <b/>
        <sz val="11"/>
        <color theme="1"/>
        <rFont val="Calibri"/>
        <family val="2"/>
        <scheme val="minor"/>
      </rPr>
      <t xml:space="preserve">5) </t>
    </r>
    <r>
      <rPr>
        <sz val="11"/>
        <color theme="1"/>
        <rFont val="Calibri"/>
        <family val="2"/>
        <scheme val="minor"/>
      </rPr>
      <t xml:space="preserve">knocking down of TET1 in CP70 cells reduced vimentin expression and reversed EMT process. </t>
    </r>
    <r>
      <rPr>
        <b/>
        <sz val="11"/>
        <color theme="1"/>
        <rFont val="Calibri"/>
        <family val="2"/>
        <scheme val="minor"/>
      </rPr>
      <t xml:space="preserve">6) </t>
    </r>
    <r>
      <rPr>
        <sz val="11"/>
        <color theme="1"/>
        <rFont val="Calibri"/>
        <family val="2"/>
        <scheme val="minor"/>
      </rPr>
      <t xml:space="preserve">Immunohistochemical analysis of TET1 in human ovarian cancer tissues revealed that TET1 existed in nucleus and cytoplasm in ovarian cancer tissues. </t>
    </r>
    <r>
      <rPr>
        <b/>
        <sz val="11"/>
        <color theme="1"/>
        <rFont val="Calibri"/>
        <family val="2"/>
        <scheme val="minor"/>
      </rPr>
      <t>7)</t>
    </r>
    <r>
      <rPr>
        <sz val="11"/>
        <color theme="1"/>
        <rFont val="Calibri"/>
        <family val="2"/>
        <scheme val="minor"/>
      </rPr>
      <t xml:space="preserve"> the expression of nuclear TET1 was positively correlated with residual tumor and chemotherapeutic response. 8) Knocking down TET1 in OSCC stem cells stimulate </t>
    </r>
    <r>
      <rPr>
        <b/>
        <sz val="11"/>
        <color theme="1"/>
        <rFont val="Calibri"/>
        <family val="2"/>
        <scheme val="minor"/>
      </rPr>
      <t>MGMT</t>
    </r>
    <r>
      <rPr>
        <sz val="11"/>
        <color theme="1"/>
        <rFont val="Calibri"/>
        <family val="2"/>
        <scheme val="minor"/>
      </rPr>
      <t xml:space="preserve"> promoter methylation, inhibiting </t>
    </r>
    <r>
      <rPr>
        <b/>
        <sz val="11"/>
        <color theme="1"/>
        <rFont val="Calibri"/>
        <family val="2"/>
        <scheme val="minor"/>
      </rPr>
      <t>MGMT</t>
    </r>
    <r>
      <rPr>
        <sz val="11"/>
        <color theme="1"/>
        <rFont val="Calibri"/>
        <family val="2"/>
        <scheme val="minor"/>
      </rPr>
      <t xml:space="preserve"> expression, and strengthens the sensitivity to </t>
    </r>
    <r>
      <rPr>
        <b/>
        <sz val="11"/>
        <color theme="1"/>
        <rFont val="Calibri"/>
        <family val="2"/>
        <scheme val="minor"/>
      </rPr>
      <t>cisplatin</t>
    </r>
    <r>
      <rPr>
        <sz val="11"/>
        <color theme="1"/>
        <rFont val="Calibri"/>
        <family val="2"/>
        <scheme val="minor"/>
      </rPr>
      <t>.</t>
    </r>
  </si>
  <si>
    <r>
      <rPr>
        <b/>
        <sz val="11"/>
        <color theme="1"/>
        <rFont val="Calibri"/>
        <family val="2"/>
        <scheme val="minor"/>
      </rPr>
      <t>1) TET2</t>
    </r>
    <r>
      <rPr>
        <sz val="11"/>
        <color theme="1"/>
        <rFont val="Calibri"/>
        <family val="2"/>
        <scheme val="minor"/>
      </rPr>
      <t xml:space="preserve"> was significantly decreased in </t>
    </r>
    <r>
      <rPr>
        <b/>
        <sz val="11"/>
        <color theme="1"/>
        <rFont val="Calibri"/>
        <family val="2"/>
        <scheme val="minor"/>
      </rPr>
      <t>cisplatin</t>
    </r>
    <r>
      <rPr>
        <sz val="11"/>
        <color theme="1"/>
        <rFont val="Calibri"/>
        <family val="2"/>
        <scheme val="minor"/>
      </rPr>
      <t xml:space="preserve"> resistance SGC7901/DDP cells compared with non-resistant cells and TET2. </t>
    </r>
    <r>
      <rPr>
        <b/>
        <sz val="11"/>
        <color theme="1"/>
        <rFont val="Calibri"/>
        <family val="2"/>
        <scheme val="minor"/>
      </rPr>
      <t xml:space="preserve">2) </t>
    </r>
    <r>
      <rPr>
        <sz val="11"/>
        <color theme="1"/>
        <rFont val="Calibri"/>
        <family val="2"/>
        <scheme val="minor"/>
      </rPr>
      <t xml:space="preserve">overexpression markedly reduced the tolerance to cisplatin. </t>
    </r>
    <r>
      <rPr>
        <b/>
        <sz val="11"/>
        <color theme="1"/>
        <rFont val="Calibri"/>
        <family val="2"/>
        <scheme val="minor"/>
      </rPr>
      <t xml:space="preserve">3) </t>
    </r>
    <r>
      <rPr>
        <sz val="11"/>
        <color theme="1"/>
        <rFont val="Calibri"/>
        <family val="2"/>
        <scheme val="minor"/>
      </rPr>
      <t xml:space="preserve">TET2 regulated </t>
    </r>
    <r>
      <rPr>
        <b/>
        <sz val="11"/>
        <color theme="1"/>
        <rFont val="Calibri"/>
        <family val="2"/>
        <scheme val="minor"/>
      </rPr>
      <t xml:space="preserve">interleukin-6 </t>
    </r>
    <r>
      <rPr>
        <sz val="11"/>
        <color theme="1"/>
        <rFont val="Calibri"/>
        <family val="2"/>
        <scheme val="minor"/>
      </rPr>
      <t xml:space="preserve">levels in the tumor microenvironment through </t>
    </r>
    <r>
      <rPr>
        <b/>
        <sz val="11"/>
        <color theme="1"/>
        <rFont val="Calibri"/>
        <family val="2"/>
        <scheme val="minor"/>
      </rPr>
      <t>histone acetylation</t>
    </r>
    <r>
      <rPr>
        <sz val="11"/>
        <color theme="1"/>
        <rFont val="Calibri"/>
        <family val="2"/>
        <scheme val="minor"/>
      </rPr>
      <t xml:space="preserve"> and therefore served an important role in the development of cisplatin resistance in </t>
    </r>
    <r>
      <rPr>
        <b/>
        <sz val="11"/>
        <color theme="1"/>
        <rFont val="Calibri"/>
        <family val="2"/>
        <scheme val="minor"/>
      </rPr>
      <t>GC</t>
    </r>
    <r>
      <rPr>
        <sz val="11"/>
        <color theme="1"/>
        <rFont val="Calibri"/>
        <family val="2"/>
        <scheme val="minor"/>
      </rPr>
      <t xml:space="preserve"> cells. </t>
    </r>
    <r>
      <rPr>
        <b/>
        <sz val="11"/>
        <color theme="1"/>
        <rFont val="Calibri"/>
        <family val="2"/>
        <scheme val="minor"/>
      </rPr>
      <t>4) TET2</t>
    </r>
    <r>
      <rPr>
        <sz val="11"/>
        <color theme="1"/>
        <rFont val="Calibri"/>
        <family val="2"/>
        <scheme val="minor"/>
      </rPr>
      <t xml:space="preserve"> also plays a crucial role in controlling cellular susceptibility to cisplatin- or UV-induced DNA damage. </t>
    </r>
    <r>
      <rPr>
        <b/>
        <sz val="11"/>
        <color theme="1"/>
        <rFont val="Calibri"/>
        <family val="2"/>
        <scheme val="minor"/>
      </rPr>
      <t>5)</t>
    </r>
    <r>
      <rPr>
        <sz val="11"/>
        <color theme="1"/>
        <rFont val="Calibri"/>
        <family val="2"/>
        <scheme val="minor"/>
      </rPr>
      <t xml:space="preserve"> The loss of </t>
    </r>
    <r>
      <rPr>
        <b/>
        <sz val="11"/>
        <color theme="1"/>
        <rFont val="Calibri"/>
        <family val="2"/>
        <scheme val="minor"/>
      </rPr>
      <t>TET2</t>
    </r>
    <r>
      <rPr>
        <sz val="11"/>
        <color theme="1"/>
        <rFont val="Calibri"/>
        <family val="2"/>
        <scheme val="minor"/>
      </rPr>
      <t xml:space="preserve">, of its product 5hmC, and of </t>
    </r>
    <r>
      <rPr>
        <b/>
        <sz val="11"/>
        <color theme="1"/>
        <rFont val="Calibri"/>
        <family val="2"/>
        <scheme val="minor"/>
      </rPr>
      <t>APE1</t>
    </r>
    <r>
      <rPr>
        <sz val="11"/>
        <color theme="1"/>
        <rFont val="Calibri"/>
        <family val="2"/>
        <scheme val="minor"/>
      </rPr>
      <t xml:space="preserve"> recruitment to stalled </t>
    </r>
    <r>
      <rPr>
        <b/>
        <sz val="11"/>
        <color theme="1"/>
        <rFont val="Calibri"/>
        <family val="2"/>
        <scheme val="minor"/>
      </rPr>
      <t>RF</t>
    </r>
    <r>
      <rPr>
        <sz val="11"/>
        <color theme="1"/>
        <rFont val="Calibri"/>
        <family val="2"/>
        <scheme val="minor"/>
      </rPr>
      <t xml:space="preserve">s promoted resistance to the chemotherapeutic </t>
    </r>
    <r>
      <rPr>
        <b/>
        <sz val="11"/>
        <color theme="1"/>
        <rFont val="Calibri"/>
        <family val="2"/>
        <scheme val="minor"/>
      </rPr>
      <t>cisplatin</t>
    </r>
    <r>
      <rPr>
        <sz val="11"/>
        <color theme="1"/>
        <rFont val="Calibri"/>
        <family val="2"/>
        <scheme val="minor"/>
      </rPr>
      <t xml:space="preserve">. </t>
    </r>
  </si>
  <si>
    <r>
      <rPr>
        <b/>
        <sz val="11"/>
        <color theme="1"/>
        <rFont val="Calibri"/>
        <family val="2"/>
        <scheme val="minor"/>
      </rPr>
      <t xml:space="preserve">1) </t>
    </r>
    <r>
      <rPr>
        <sz val="11"/>
        <color theme="1"/>
        <rFont val="Calibri"/>
        <family val="2"/>
        <scheme val="minor"/>
      </rPr>
      <t xml:space="preserve">the ER‑negative cells were more sensitive to </t>
    </r>
    <r>
      <rPr>
        <b/>
        <sz val="11"/>
        <color theme="1"/>
        <rFont val="Calibri"/>
        <family val="2"/>
        <scheme val="minor"/>
      </rPr>
      <t>cisplatin</t>
    </r>
    <r>
      <rPr>
        <sz val="11"/>
        <color theme="1"/>
        <rFont val="Calibri"/>
        <family val="2"/>
        <scheme val="minor"/>
      </rPr>
      <t xml:space="preserve">, compared with the ER‑positive cells. </t>
    </r>
    <r>
      <rPr>
        <b/>
        <sz val="11"/>
        <color theme="1"/>
        <rFont val="Calibri"/>
        <family val="2"/>
        <scheme val="minor"/>
      </rPr>
      <t xml:space="preserve">2) </t>
    </r>
    <r>
      <rPr>
        <sz val="11"/>
        <color theme="1"/>
        <rFont val="Calibri"/>
        <family val="2"/>
        <scheme val="minor"/>
      </rPr>
      <t xml:space="preserve">mitochondrial transcription factor A (TFAM) was expressed at a high level in ER‑positive cell lines and patient tissues, compared with ER‑negative cell lines and tissues. </t>
    </r>
    <r>
      <rPr>
        <b/>
        <sz val="11"/>
        <color theme="1"/>
        <rFont val="Calibri"/>
        <family val="2"/>
        <scheme val="minor"/>
      </rPr>
      <t xml:space="preserve">3) </t>
    </r>
    <r>
      <rPr>
        <sz val="11"/>
        <color theme="1"/>
        <rFont val="Calibri"/>
        <family val="2"/>
        <scheme val="minor"/>
      </rPr>
      <t xml:space="preserve">The sensitivity of estrogen receptor (ER)-positive </t>
    </r>
    <r>
      <rPr>
        <b/>
        <sz val="11"/>
        <color theme="1"/>
        <rFont val="Calibri"/>
        <family val="2"/>
        <scheme val="minor"/>
      </rPr>
      <t>breast</t>
    </r>
    <r>
      <rPr>
        <sz val="11"/>
        <color theme="1"/>
        <rFont val="Calibri"/>
        <family val="2"/>
        <scheme val="minor"/>
      </rPr>
      <t xml:space="preserve"> cancer to </t>
    </r>
    <r>
      <rPr>
        <b/>
        <sz val="11"/>
        <color theme="1"/>
        <rFont val="Calibri"/>
        <family val="2"/>
        <scheme val="minor"/>
      </rPr>
      <t>cisplatin</t>
    </r>
    <r>
      <rPr>
        <sz val="11"/>
        <color theme="1"/>
        <rFont val="Calibri"/>
        <family val="2"/>
        <scheme val="minor"/>
      </rPr>
      <t xml:space="preserve"> was reported to increase when the </t>
    </r>
    <r>
      <rPr>
        <b/>
        <sz val="11"/>
        <color theme="1"/>
        <rFont val="Calibri"/>
        <family val="2"/>
        <scheme val="minor"/>
      </rPr>
      <t>PGC1α</t>
    </r>
    <r>
      <rPr>
        <sz val="11"/>
        <color theme="1"/>
        <rFont val="Calibri"/>
        <family val="2"/>
        <scheme val="minor"/>
      </rPr>
      <t xml:space="preserve"> downstream gene </t>
    </r>
    <r>
      <rPr>
        <b/>
        <sz val="11"/>
        <color theme="1"/>
        <rFont val="Calibri"/>
        <family val="2"/>
        <scheme val="minor"/>
      </rPr>
      <t>TFAM</t>
    </r>
    <r>
      <rPr>
        <sz val="11"/>
        <color theme="1"/>
        <rFont val="Calibri"/>
        <family val="2"/>
        <scheme val="minor"/>
      </rPr>
      <t xml:space="preserve"> was knocked down, and cisplatin resistance was restored when TFAM was reintroduced into ER-positive breast cancer cells.</t>
    </r>
  </si>
  <si>
    <r>
      <rPr>
        <b/>
        <sz val="11"/>
        <color theme="1"/>
        <rFont val="Calibri"/>
        <family val="2"/>
        <scheme val="minor"/>
      </rPr>
      <t>1)</t>
    </r>
    <r>
      <rPr>
        <sz val="11"/>
        <color theme="1"/>
        <rFont val="Calibri"/>
        <family val="2"/>
        <scheme val="minor"/>
      </rPr>
      <t xml:space="preserve"> the ability of </t>
    </r>
    <r>
      <rPr>
        <b/>
        <sz val="11"/>
        <color theme="1"/>
        <rFont val="Calibri"/>
        <family val="2"/>
        <scheme val="minor"/>
      </rPr>
      <t>cisplatin</t>
    </r>
    <r>
      <rPr>
        <sz val="11"/>
        <color theme="1"/>
        <rFont val="Calibri"/>
        <family val="2"/>
        <scheme val="minor"/>
      </rPr>
      <t xml:space="preserve"> to bind </t>
    </r>
    <r>
      <rPr>
        <b/>
        <sz val="11"/>
        <color theme="1"/>
        <rFont val="Calibri"/>
        <family val="2"/>
        <scheme val="minor"/>
      </rPr>
      <t>transferrin</t>
    </r>
    <r>
      <rPr>
        <sz val="11"/>
        <color theme="1"/>
        <rFont val="Calibri"/>
        <family val="2"/>
        <scheme val="minor"/>
      </rPr>
      <t xml:space="preserve"> is well established. </t>
    </r>
    <r>
      <rPr>
        <b/>
        <sz val="11"/>
        <color theme="1"/>
        <rFont val="Calibri"/>
        <family val="2"/>
        <scheme val="minor"/>
      </rPr>
      <t xml:space="preserve">2) </t>
    </r>
    <r>
      <rPr>
        <sz val="11"/>
        <color theme="1"/>
        <rFont val="Calibri"/>
        <family val="2"/>
        <scheme val="minor"/>
      </rPr>
      <t xml:space="preserve">reduced expression of TFRC mRNA after cisplatin treatment. </t>
    </r>
    <r>
      <rPr>
        <b/>
        <sz val="11"/>
        <color theme="1"/>
        <rFont val="Calibri"/>
        <family val="2"/>
        <scheme val="minor"/>
      </rPr>
      <t xml:space="preserve">3) </t>
    </r>
    <r>
      <rPr>
        <sz val="11"/>
        <color theme="1"/>
        <rFont val="Calibri"/>
        <family val="2"/>
        <scheme val="minor"/>
      </rPr>
      <t xml:space="preserve">there is evidence that the cisplatin-transferrin complex can be transported into cells via the </t>
    </r>
    <r>
      <rPr>
        <b/>
        <sz val="11"/>
        <color theme="1"/>
        <rFont val="Calibri"/>
        <family val="2"/>
        <scheme val="minor"/>
      </rPr>
      <t xml:space="preserve">transferrin receptor. 4) </t>
    </r>
    <r>
      <rPr>
        <sz val="11"/>
        <color theme="1"/>
        <rFont val="Calibri"/>
        <family val="2"/>
        <scheme val="minor"/>
      </rPr>
      <t xml:space="preserve">cisplatin-induced transferrin modulation was found to be accompanied by severe spermatogenic damage in rat testes. </t>
    </r>
  </si>
  <si>
    <r>
      <rPr>
        <b/>
        <sz val="11"/>
        <color theme="1"/>
        <rFont val="Calibri"/>
        <family val="2"/>
        <scheme val="minor"/>
      </rPr>
      <t>1)</t>
    </r>
    <r>
      <rPr>
        <sz val="11"/>
        <color theme="1"/>
        <rFont val="Calibri"/>
        <family val="2"/>
        <scheme val="minor"/>
      </rPr>
      <t xml:space="preserve"> Downregulation of </t>
    </r>
    <r>
      <rPr>
        <b/>
        <sz val="11"/>
        <color theme="1"/>
        <rFont val="Calibri"/>
        <family val="2"/>
        <scheme val="minor"/>
      </rPr>
      <t>TGFB</t>
    </r>
    <r>
      <rPr>
        <sz val="11"/>
        <color theme="1"/>
        <rFont val="Calibri"/>
        <family val="2"/>
        <scheme val="minor"/>
      </rPr>
      <t xml:space="preserve"> inhibitor (</t>
    </r>
    <r>
      <rPr>
        <b/>
        <sz val="11"/>
        <color theme="1"/>
        <rFont val="Calibri"/>
        <family val="2"/>
        <scheme val="minor"/>
      </rPr>
      <t>TGFBI</t>
    </r>
    <r>
      <rPr>
        <sz val="11"/>
        <color theme="1"/>
        <rFont val="Calibri"/>
        <family val="2"/>
        <scheme val="minor"/>
      </rPr>
      <t xml:space="preserve">) induce </t>
    </r>
    <r>
      <rPr>
        <b/>
        <sz val="11"/>
        <color theme="1"/>
        <rFont val="Calibri"/>
        <family val="2"/>
        <scheme val="minor"/>
      </rPr>
      <t>cisplatin</t>
    </r>
    <r>
      <rPr>
        <sz val="11"/>
        <color theme="1"/>
        <rFont val="Calibri"/>
        <family val="2"/>
        <scheme val="minor"/>
      </rPr>
      <t xml:space="preserve"> resistance in </t>
    </r>
    <r>
      <rPr>
        <b/>
        <sz val="11"/>
        <color theme="1"/>
        <rFont val="Calibri"/>
        <family val="2"/>
        <scheme val="minor"/>
      </rPr>
      <t>nasopharyngeal</t>
    </r>
    <r>
      <rPr>
        <sz val="11"/>
        <color theme="1"/>
        <rFont val="Calibri"/>
        <family val="2"/>
        <scheme val="minor"/>
      </rPr>
      <t xml:space="preserve"> carcinoma. </t>
    </r>
    <r>
      <rPr>
        <b/>
        <sz val="11"/>
        <color theme="1"/>
        <rFont val="Calibri"/>
        <family val="2"/>
        <scheme val="minor"/>
      </rPr>
      <t>2)</t>
    </r>
    <r>
      <rPr>
        <sz val="11"/>
        <color theme="1"/>
        <rFont val="Calibri"/>
        <family val="2"/>
        <scheme val="minor"/>
      </rPr>
      <t xml:space="preserve"> </t>
    </r>
    <r>
      <rPr>
        <b/>
        <sz val="11"/>
        <color theme="1"/>
        <rFont val="Calibri"/>
        <family val="2"/>
        <scheme val="minor"/>
      </rPr>
      <t>TGF-β1</t>
    </r>
    <r>
      <rPr>
        <sz val="11"/>
        <color theme="1"/>
        <rFont val="Calibri"/>
        <family val="2"/>
        <scheme val="minor"/>
      </rPr>
      <t xml:space="preserve"> knockdown increased chemosensitivity. </t>
    </r>
    <r>
      <rPr>
        <b/>
        <sz val="11"/>
        <color theme="1"/>
        <rFont val="Calibri"/>
        <family val="2"/>
        <scheme val="minor"/>
      </rPr>
      <t>3)</t>
    </r>
    <r>
      <rPr>
        <sz val="11"/>
        <color theme="1"/>
        <rFont val="Calibri"/>
        <family val="2"/>
        <scheme val="minor"/>
      </rPr>
      <t xml:space="preserve"> </t>
    </r>
    <r>
      <rPr>
        <b/>
        <sz val="11"/>
        <color theme="1"/>
        <rFont val="Calibri"/>
        <family val="2"/>
        <scheme val="minor"/>
      </rPr>
      <t>TGF-beta</t>
    </r>
    <r>
      <rPr>
        <sz val="11"/>
        <color theme="1"/>
        <rFont val="Calibri"/>
        <family val="2"/>
        <scheme val="minor"/>
      </rPr>
      <t xml:space="preserve"> production and lack of response to</t>
    </r>
    <r>
      <rPr>
        <b/>
        <sz val="11"/>
        <color theme="1"/>
        <rFont val="Calibri"/>
        <family val="2"/>
        <scheme val="minor"/>
      </rPr>
      <t xml:space="preserve"> TGF-beta</t>
    </r>
    <r>
      <rPr>
        <sz val="11"/>
        <color theme="1"/>
        <rFont val="Calibri"/>
        <family val="2"/>
        <scheme val="minor"/>
      </rPr>
      <t xml:space="preserve"> growth inhibitory effects have been associated with tumor progression and therapeutic resistance. </t>
    </r>
    <r>
      <rPr>
        <b/>
        <sz val="11"/>
        <color theme="1"/>
        <rFont val="Calibri"/>
        <family val="2"/>
        <scheme val="minor"/>
      </rPr>
      <t xml:space="preserve">4) </t>
    </r>
    <r>
      <rPr>
        <sz val="11"/>
        <color theme="1"/>
        <rFont val="Calibri"/>
        <family val="2"/>
        <scheme val="minor"/>
      </rPr>
      <t>Analysis of</t>
    </r>
    <r>
      <rPr>
        <b/>
        <sz val="11"/>
        <color theme="1"/>
        <rFont val="Calibri"/>
        <family val="2"/>
        <scheme val="minor"/>
      </rPr>
      <t xml:space="preserve"> HNSCC</t>
    </r>
    <r>
      <rPr>
        <sz val="11"/>
        <color theme="1"/>
        <rFont val="Calibri"/>
        <family val="2"/>
        <scheme val="minor"/>
      </rPr>
      <t xml:space="preserve"> specimens in situ and in vitro showed that HPV associated with loss of </t>
    </r>
    <r>
      <rPr>
        <b/>
        <sz val="11"/>
        <color theme="1"/>
        <rFont val="Calibri"/>
        <family val="2"/>
        <scheme val="minor"/>
      </rPr>
      <t>TGFβ</t>
    </r>
    <r>
      <rPr>
        <sz val="11"/>
        <color theme="1"/>
        <rFont val="Calibri"/>
        <family val="2"/>
        <scheme val="minor"/>
      </rPr>
      <t xml:space="preserve"> signaling that increased response to radiation or </t>
    </r>
    <r>
      <rPr>
        <b/>
        <sz val="11"/>
        <color theme="1"/>
        <rFont val="Calibri"/>
        <family val="2"/>
        <scheme val="minor"/>
      </rPr>
      <t>cisplatin</t>
    </r>
    <r>
      <rPr>
        <sz val="11"/>
        <color theme="1"/>
        <rFont val="Calibri"/>
        <family val="2"/>
        <scheme val="minor"/>
      </rPr>
      <t xml:space="preserve">. </t>
    </r>
    <r>
      <rPr>
        <b/>
        <sz val="11"/>
        <color theme="1"/>
        <rFont val="Calibri"/>
        <family val="2"/>
        <scheme val="minor"/>
      </rPr>
      <t>5)</t>
    </r>
    <r>
      <rPr>
        <sz val="11"/>
        <color theme="1"/>
        <rFont val="Calibri"/>
        <family val="2"/>
        <scheme val="minor"/>
      </rPr>
      <t xml:space="preserve"> the expression of </t>
    </r>
    <r>
      <rPr>
        <b/>
        <sz val="11"/>
        <color theme="1"/>
        <rFont val="Calibri"/>
        <family val="2"/>
        <scheme val="minor"/>
      </rPr>
      <t>TGFβ1</t>
    </r>
    <r>
      <rPr>
        <sz val="11"/>
        <color theme="1"/>
        <rFont val="Calibri"/>
        <family val="2"/>
        <scheme val="minor"/>
      </rPr>
      <t xml:space="preserve"> in CAFs was significantly associated with overall survival of patients treated with chemoradiotherapy. </t>
    </r>
    <r>
      <rPr>
        <b/>
        <sz val="11"/>
        <color theme="1"/>
        <rFont val="Calibri"/>
        <family val="2"/>
        <scheme val="minor"/>
      </rPr>
      <t>6)</t>
    </r>
    <r>
      <rPr>
        <sz val="11"/>
        <color theme="1"/>
        <rFont val="Calibri"/>
        <family val="2"/>
        <scheme val="minor"/>
      </rPr>
      <t xml:space="preserve"> </t>
    </r>
    <r>
      <rPr>
        <b/>
        <sz val="11"/>
        <color theme="1"/>
        <rFont val="Calibri"/>
        <family val="2"/>
        <scheme val="minor"/>
      </rPr>
      <t>cisplatin</t>
    </r>
    <r>
      <rPr>
        <sz val="11"/>
        <color theme="1"/>
        <rFont val="Calibri"/>
        <family val="2"/>
        <scheme val="minor"/>
      </rPr>
      <t xml:space="preserve">-resistant A549 cells (A549/DDP) acquire EMT phenotype with high expression of drug-resistant proteins, </t>
    </r>
    <r>
      <rPr>
        <b/>
        <sz val="11"/>
        <color theme="1"/>
        <rFont val="Calibri"/>
        <family val="2"/>
        <scheme val="minor"/>
      </rPr>
      <t>P-gp</t>
    </r>
    <r>
      <rPr>
        <sz val="11"/>
        <color theme="1"/>
        <rFont val="Calibri"/>
        <family val="2"/>
        <scheme val="minor"/>
      </rPr>
      <t xml:space="preserve"> and </t>
    </r>
    <r>
      <rPr>
        <b/>
        <sz val="11"/>
        <color theme="1"/>
        <rFont val="Calibri"/>
        <family val="2"/>
        <scheme val="minor"/>
      </rPr>
      <t>ERCC1;</t>
    </r>
    <r>
      <rPr>
        <sz val="11"/>
        <color theme="1"/>
        <rFont val="Calibri"/>
        <family val="2"/>
        <scheme val="minor"/>
      </rPr>
      <t xml:space="preserve"> Knockdown of </t>
    </r>
    <r>
      <rPr>
        <b/>
        <sz val="11"/>
        <color theme="1"/>
        <rFont val="Calibri"/>
        <family val="2"/>
        <scheme val="minor"/>
      </rPr>
      <t>TGF-β1</t>
    </r>
    <r>
      <rPr>
        <sz val="11"/>
        <color theme="1"/>
        <rFont val="Calibri"/>
        <family val="2"/>
        <scheme val="minor"/>
      </rPr>
      <t xml:space="preserve"> may reverse EMT and significantly reduce the expression of P-gp and ERCC1. Moreover, A549/DDP cells become more sensitive to </t>
    </r>
    <r>
      <rPr>
        <b/>
        <sz val="11"/>
        <color theme="1"/>
        <rFont val="Calibri"/>
        <family val="2"/>
        <scheme val="minor"/>
      </rPr>
      <t>cisplatin</t>
    </r>
    <r>
      <rPr>
        <sz val="11"/>
        <color theme="1"/>
        <rFont val="Calibri"/>
        <family val="2"/>
        <scheme val="minor"/>
      </rPr>
      <t xml:space="preserve">. </t>
    </r>
  </si>
  <si>
    <r>
      <rPr>
        <b/>
        <sz val="11"/>
        <color theme="1"/>
        <rFont val="Calibri"/>
        <family val="2"/>
        <scheme val="minor"/>
      </rPr>
      <t>1)</t>
    </r>
    <r>
      <rPr>
        <sz val="11"/>
        <color theme="1"/>
        <rFont val="Calibri"/>
        <family val="2"/>
        <scheme val="minor"/>
      </rPr>
      <t xml:space="preserve"> human </t>
    </r>
    <r>
      <rPr>
        <b/>
        <sz val="11"/>
        <color theme="1"/>
        <rFont val="Calibri"/>
        <family val="2"/>
        <scheme val="minor"/>
      </rPr>
      <t>HNSCC</t>
    </r>
    <r>
      <rPr>
        <sz val="11"/>
        <color theme="1"/>
        <rFont val="Calibri"/>
        <family val="2"/>
        <scheme val="minor"/>
      </rPr>
      <t xml:space="preserve"> cell line: The drug resistance and slow-cycling state of BM-HEp3 cells depended on enhanced positive feedback of the signaling axis of </t>
    </r>
    <r>
      <rPr>
        <b/>
        <sz val="11"/>
        <color theme="1"/>
        <rFont val="Calibri"/>
        <family val="2"/>
        <scheme val="minor"/>
      </rPr>
      <t>SDF-1-CXCR4</t>
    </r>
    <r>
      <rPr>
        <sz val="11"/>
        <color theme="1"/>
        <rFont val="Calibri"/>
        <family val="2"/>
        <scheme val="minor"/>
      </rPr>
      <t xml:space="preserve"> via their overexpression. Interestingly, </t>
    </r>
    <r>
      <rPr>
        <b/>
        <sz val="11"/>
        <color theme="1"/>
        <rFont val="Calibri"/>
        <family val="2"/>
        <scheme val="minor"/>
      </rPr>
      <t xml:space="preserve">2) </t>
    </r>
    <r>
      <rPr>
        <sz val="11"/>
        <color theme="1"/>
        <rFont val="Calibri"/>
        <family val="2"/>
        <scheme val="minor"/>
      </rPr>
      <t xml:space="preserve">BM-DTCs highly expressed </t>
    </r>
    <r>
      <rPr>
        <b/>
        <sz val="11"/>
        <color theme="1"/>
        <rFont val="Calibri"/>
        <family val="2"/>
        <scheme val="minor"/>
      </rPr>
      <t>TGF-β2</t>
    </r>
    <r>
      <rPr>
        <sz val="11"/>
        <color theme="1"/>
        <rFont val="Calibri"/>
        <family val="2"/>
        <scheme val="minor"/>
      </rPr>
      <t xml:space="preserve"> to maintain SDF-1-CXCR4 overexpression. Inhibition of SDF-1-CXCR4 signaling by down-regulating </t>
    </r>
    <r>
      <rPr>
        <b/>
        <sz val="11"/>
        <color theme="1"/>
        <rFont val="Calibri"/>
        <family val="2"/>
        <scheme val="minor"/>
      </rPr>
      <t>TGF-β2</t>
    </r>
    <r>
      <rPr>
        <sz val="11"/>
        <color theme="1"/>
        <rFont val="Calibri"/>
        <family val="2"/>
        <scheme val="minor"/>
      </rPr>
      <t xml:space="preserve"> fully reversed the drug resistance of BM-HEp3 cells via reactivation of cell proliferation. </t>
    </r>
    <r>
      <rPr>
        <b/>
        <sz val="11"/>
        <color theme="1"/>
        <rFont val="Calibri"/>
        <family val="2"/>
        <scheme val="minor"/>
      </rPr>
      <t xml:space="preserve">3) </t>
    </r>
    <r>
      <rPr>
        <sz val="11"/>
        <color theme="1"/>
        <rFont val="Calibri"/>
        <family val="2"/>
        <scheme val="minor"/>
      </rPr>
      <t xml:space="preserve">overexpression of miR-422a was able to inhibit cell proliferation and the ability of invasion, and enhance paclitaxel and </t>
    </r>
    <r>
      <rPr>
        <b/>
        <sz val="11"/>
        <color theme="1"/>
        <rFont val="Calibri"/>
        <family val="2"/>
        <scheme val="minor"/>
      </rPr>
      <t>cisplatin</t>
    </r>
    <r>
      <rPr>
        <sz val="11"/>
        <color theme="1"/>
        <rFont val="Calibri"/>
        <family val="2"/>
        <scheme val="minor"/>
      </rPr>
      <t>-mediated apoptosis in OS cells.</t>
    </r>
    <r>
      <rPr>
        <b/>
        <sz val="11"/>
        <color theme="1"/>
        <rFont val="Calibri"/>
        <family val="2"/>
        <scheme val="minor"/>
      </rPr>
      <t xml:space="preserve"> 4)</t>
    </r>
    <r>
      <rPr>
        <sz val="11"/>
        <color theme="1"/>
        <rFont val="Calibri"/>
        <family val="2"/>
        <scheme val="minor"/>
      </rPr>
      <t xml:space="preserve"> downregulation of miR-422a exhibited an opposite role. </t>
    </r>
    <r>
      <rPr>
        <b/>
        <sz val="11"/>
        <color theme="1"/>
        <rFont val="Calibri"/>
        <family val="2"/>
        <scheme val="minor"/>
      </rPr>
      <t>5)</t>
    </r>
    <r>
      <rPr>
        <sz val="11"/>
        <color theme="1"/>
        <rFont val="Calibri"/>
        <family val="2"/>
        <scheme val="minor"/>
      </rPr>
      <t xml:space="preserve"> miR-422a directly targeted </t>
    </r>
    <r>
      <rPr>
        <b/>
        <sz val="11"/>
        <color theme="1"/>
        <rFont val="Calibri"/>
        <family val="2"/>
        <scheme val="minor"/>
      </rPr>
      <t>TGFβ2</t>
    </r>
    <r>
      <rPr>
        <sz val="11"/>
        <color theme="1"/>
        <rFont val="Calibri"/>
        <family val="2"/>
        <scheme val="minor"/>
      </rPr>
      <t xml:space="preserve"> and regulated its expression and the activation of downstream molecules, smad2 and smad3 in </t>
    </r>
    <r>
      <rPr>
        <b/>
        <sz val="11"/>
        <color theme="1"/>
        <rFont val="Calibri"/>
        <family val="2"/>
        <scheme val="minor"/>
      </rPr>
      <t>osteosarcoma</t>
    </r>
    <r>
      <rPr>
        <sz val="11"/>
        <color theme="1"/>
        <rFont val="Calibri"/>
        <family val="2"/>
        <scheme val="minor"/>
      </rPr>
      <t xml:space="preserve"> cells. </t>
    </r>
  </si>
  <si>
    <r>
      <rPr>
        <b/>
        <sz val="11"/>
        <color theme="1"/>
        <rFont val="Calibri"/>
        <family val="2"/>
        <scheme val="minor"/>
      </rPr>
      <t>1) TGFβ3</t>
    </r>
    <r>
      <rPr>
        <sz val="11"/>
        <color theme="1"/>
        <rFont val="Calibri"/>
        <family val="2"/>
        <scheme val="minor"/>
      </rPr>
      <t xml:space="preserve"> protein levels in extracellular vesicles (</t>
    </r>
    <r>
      <rPr>
        <b/>
        <sz val="11"/>
        <color theme="1"/>
        <rFont val="Calibri"/>
        <family val="2"/>
        <scheme val="minor"/>
      </rPr>
      <t>EV</t>
    </r>
    <r>
      <rPr>
        <sz val="11"/>
        <color theme="1"/>
        <rFont val="Calibri"/>
        <family val="2"/>
        <scheme val="minor"/>
      </rPr>
      <t xml:space="preserve">s) released by </t>
    </r>
    <r>
      <rPr>
        <b/>
        <sz val="11"/>
        <color theme="1"/>
        <rFont val="Calibri"/>
        <family val="2"/>
        <scheme val="minor"/>
      </rPr>
      <t>HNSCC</t>
    </r>
    <r>
      <rPr>
        <sz val="11"/>
        <color theme="1"/>
        <rFont val="Calibri"/>
        <family val="2"/>
        <scheme val="minor"/>
      </rPr>
      <t xml:space="preserve"> cells as a predictor for response to chemoradiation therapy (</t>
    </r>
    <r>
      <rPr>
        <b/>
        <sz val="11"/>
        <color theme="1"/>
        <rFont val="Calibri"/>
        <family val="2"/>
        <scheme val="minor"/>
      </rPr>
      <t>CRT</t>
    </r>
    <r>
      <rPr>
        <sz val="11"/>
        <color theme="1"/>
        <rFont val="Calibri"/>
        <family val="2"/>
        <scheme val="minor"/>
      </rPr>
      <t xml:space="preserve">): To this end, specific EV-fractions were isolated from cell lines or HNSCC patient plasma, and TGFβ3 protein was quantified. </t>
    </r>
    <r>
      <rPr>
        <b/>
        <sz val="11"/>
        <color theme="1"/>
        <rFont val="Calibri"/>
        <family val="2"/>
        <scheme val="minor"/>
      </rPr>
      <t>2)</t>
    </r>
    <r>
      <rPr>
        <sz val="11"/>
        <color theme="1"/>
        <rFont val="Calibri"/>
        <family val="2"/>
        <scheme val="minor"/>
      </rPr>
      <t xml:space="preserve"> In patients treated with CRT, </t>
    </r>
    <r>
      <rPr>
        <b/>
        <sz val="11"/>
        <color theme="1"/>
        <rFont val="Calibri"/>
        <family val="2"/>
        <scheme val="minor"/>
      </rPr>
      <t>TGFβ3</t>
    </r>
    <r>
      <rPr>
        <sz val="11"/>
        <color theme="1"/>
        <rFont val="Calibri"/>
        <family val="2"/>
        <scheme val="minor"/>
      </rPr>
      <t xml:space="preserve"> levels were found to be significantly higher in plasma EV-fractions or non-responders compared with responders. </t>
    </r>
    <r>
      <rPr>
        <b/>
        <sz val="11"/>
        <color theme="1"/>
        <rFont val="Calibri"/>
        <family val="2"/>
        <scheme val="minor"/>
      </rPr>
      <t xml:space="preserve">3) </t>
    </r>
    <r>
      <rPr>
        <sz val="11"/>
        <color theme="1"/>
        <rFont val="Calibri"/>
        <family val="2"/>
        <scheme val="minor"/>
      </rPr>
      <t xml:space="preserve">High levels of </t>
    </r>
    <r>
      <rPr>
        <b/>
        <sz val="11"/>
        <color theme="1"/>
        <rFont val="Calibri"/>
        <family val="2"/>
        <scheme val="minor"/>
      </rPr>
      <t>TGFβ3</t>
    </r>
    <r>
      <rPr>
        <sz val="11"/>
        <color theme="1"/>
        <rFont val="Calibri"/>
        <family val="2"/>
        <scheme val="minor"/>
      </rPr>
      <t xml:space="preserve"> levels in Annexin V-EVs were associated with the worst progression-free survival. </t>
    </r>
    <r>
      <rPr>
        <b/>
        <sz val="11"/>
        <color theme="1"/>
        <rFont val="Calibri"/>
        <family val="2"/>
        <scheme val="minor"/>
      </rPr>
      <t>4) TGFβ3</t>
    </r>
    <r>
      <rPr>
        <sz val="11"/>
        <color theme="1"/>
        <rFont val="Calibri"/>
        <family val="2"/>
        <scheme val="minor"/>
      </rPr>
      <t xml:space="preserve"> silencing sensitized HNSCC cells to cytotoxic therapies, and this phenotype could be rescued by treatment with exogenous.</t>
    </r>
    <r>
      <rPr>
        <b/>
        <sz val="11"/>
        <color theme="1"/>
        <rFont val="Calibri"/>
        <family val="2"/>
        <scheme val="minor"/>
      </rPr>
      <t xml:space="preserve"> 5)</t>
    </r>
    <r>
      <rPr>
        <sz val="11"/>
        <color theme="1"/>
        <rFont val="Calibri"/>
        <family val="2"/>
        <scheme val="minor"/>
      </rPr>
      <t xml:space="preserve"> specific EV-fractions shed by</t>
    </r>
    <r>
      <rPr>
        <b/>
        <sz val="11"/>
        <color theme="1"/>
        <rFont val="Calibri"/>
        <family val="2"/>
        <scheme val="minor"/>
      </rPr>
      <t xml:space="preserve"> cisplatin</t>
    </r>
    <r>
      <rPr>
        <sz val="11"/>
        <color theme="1"/>
        <rFont val="Calibri"/>
        <family val="2"/>
        <scheme val="minor"/>
      </rPr>
      <t>-resistant cells were sufficient to transfer the resistant phenotype to sensitive cells through activation of TGFβ-signaling pathway. </t>
    </r>
  </si>
  <si>
    <r>
      <rPr>
        <b/>
        <sz val="11"/>
        <color theme="1"/>
        <rFont val="Calibri"/>
        <family val="2"/>
        <scheme val="minor"/>
      </rPr>
      <t>1)</t>
    </r>
    <r>
      <rPr>
        <sz val="11"/>
        <color theme="1"/>
        <rFont val="Calibri"/>
        <family val="2"/>
        <scheme val="minor"/>
      </rPr>
      <t xml:space="preserve"> In vitro shRNA-mediated downregulation of </t>
    </r>
    <r>
      <rPr>
        <b/>
        <sz val="11"/>
        <color theme="1"/>
        <rFont val="Calibri"/>
        <family val="2"/>
        <scheme val="minor"/>
      </rPr>
      <t>TGFBI</t>
    </r>
    <r>
      <rPr>
        <sz val="11"/>
        <color theme="1"/>
        <rFont val="Calibri"/>
        <family val="2"/>
        <scheme val="minor"/>
      </rPr>
      <t xml:space="preserve"> induced phosphorylation of PTEN and AKT, increasing </t>
    </r>
    <r>
      <rPr>
        <b/>
        <sz val="11"/>
        <color theme="1"/>
        <rFont val="Calibri"/>
        <family val="2"/>
        <scheme val="minor"/>
      </rPr>
      <t>cisplatin</t>
    </r>
    <r>
      <rPr>
        <sz val="11"/>
        <color theme="1"/>
        <rFont val="Calibri"/>
        <family val="2"/>
        <scheme val="minor"/>
      </rPr>
      <t xml:space="preserve"> resistance. </t>
    </r>
    <r>
      <rPr>
        <b/>
        <sz val="11"/>
        <color theme="1"/>
        <rFont val="Calibri"/>
        <family val="2"/>
        <scheme val="minor"/>
      </rPr>
      <t>2)</t>
    </r>
    <r>
      <rPr>
        <sz val="11"/>
        <color theme="1"/>
        <rFont val="Calibri"/>
        <family val="2"/>
        <scheme val="minor"/>
      </rPr>
      <t xml:space="preserve"> the overexpression of TGFBI sensitized the NPC cells to cisplatin. </t>
    </r>
    <r>
      <rPr>
        <b/>
        <sz val="11"/>
        <color theme="1"/>
        <rFont val="Calibri"/>
        <family val="2"/>
        <scheme val="minor"/>
      </rPr>
      <t xml:space="preserve">3) </t>
    </r>
    <r>
      <rPr>
        <sz val="11"/>
        <color theme="1"/>
        <rFont val="Calibri"/>
        <family val="2"/>
        <scheme val="minor"/>
      </rPr>
      <t xml:space="preserve">In NPC patients treated with concurrent chemoradiotherapy (CRT), the overall survival (OS) was significantly inversely correlated with </t>
    </r>
    <r>
      <rPr>
        <b/>
        <sz val="11"/>
        <color theme="1"/>
        <rFont val="Calibri"/>
        <family val="2"/>
        <scheme val="minor"/>
      </rPr>
      <t>miR-449b</t>
    </r>
    <r>
      <rPr>
        <sz val="11"/>
        <color theme="1"/>
        <rFont val="Calibri"/>
        <family val="2"/>
        <scheme val="minor"/>
      </rPr>
      <t xml:space="preserve">, and directly correlated with both </t>
    </r>
    <r>
      <rPr>
        <b/>
        <sz val="11"/>
        <color theme="1"/>
        <rFont val="Calibri"/>
        <family val="2"/>
        <scheme val="minor"/>
      </rPr>
      <t>TGFBI</t>
    </r>
    <r>
      <rPr>
        <sz val="11"/>
        <color theme="1"/>
        <rFont val="Calibri"/>
        <family val="2"/>
        <scheme val="minor"/>
      </rPr>
      <t xml:space="preserve"> mRNA and protein expression. </t>
    </r>
    <r>
      <rPr>
        <b/>
        <sz val="11"/>
        <color theme="1"/>
        <rFont val="Calibri"/>
        <family val="2"/>
        <scheme val="minor"/>
      </rPr>
      <t>3)</t>
    </r>
    <r>
      <rPr>
        <sz val="11"/>
        <color theme="1"/>
        <rFont val="Calibri"/>
        <family val="2"/>
        <scheme val="minor"/>
      </rPr>
      <t xml:space="preserve"> co-immunoprecipitation demonstrated that TGFBI competes with pro-TGFβ1 for </t>
    </r>
    <r>
      <rPr>
        <b/>
        <sz val="11"/>
        <color theme="1"/>
        <rFont val="Calibri"/>
        <family val="2"/>
        <scheme val="minor"/>
      </rPr>
      <t>integrin receptor</t>
    </r>
    <r>
      <rPr>
        <sz val="11"/>
        <color theme="1"/>
        <rFont val="Calibri"/>
        <family val="2"/>
        <scheme val="minor"/>
      </rPr>
      <t xml:space="preserve"> binding. </t>
    </r>
    <r>
      <rPr>
        <b/>
        <sz val="11"/>
        <color theme="1"/>
        <rFont val="Calibri"/>
        <family val="2"/>
        <scheme val="minor"/>
      </rPr>
      <t>4)</t>
    </r>
    <r>
      <rPr>
        <sz val="11"/>
        <color theme="1"/>
        <rFont val="Calibri"/>
        <family val="2"/>
        <scheme val="minor"/>
      </rPr>
      <t xml:space="preserve"> Decreased TGFBI led to increased </t>
    </r>
    <r>
      <rPr>
        <b/>
        <sz val="11"/>
        <color theme="1"/>
        <rFont val="Calibri"/>
        <family val="2"/>
        <scheme val="minor"/>
      </rPr>
      <t>pro-TGFβ1</t>
    </r>
    <r>
      <rPr>
        <sz val="11"/>
        <color theme="1"/>
        <rFont val="Calibri"/>
        <family val="2"/>
        <scheme val="minor"/>
      </rPr>
      <t xml:space="preserve"> activation and </t>
    </r>
    <r>
      <rPr>
        <b/>
        <sz val="11"/>
        <color theme="1"/>
        <rFont val="Calibri"/>
        <family val="2"/>
        <scheme val="minor"/>
      </rPr>
      <t>TGFβ1</t>
    </r>
    <r>
      <rPr>
        <sz val="11"/>
        <color theme="1"/>
        <rFont val="Calibri"/>
        <family val="2"/>
        <scheme val="minor"/>
      </rPr>
      <t xml:space="preserve"> canonical/noncanonical pathway-induced cisplatin resistance. </t>
    </r>
  </si>
  <si>
    <r>
      <rPr>
        <b/>
        <sz val="11"/>
        <color theme="1"/>
        <rFont val="Calibri"/>
        <family val="2"/>
        <scheme val="minor"/>
      </rPr>
      <t xml:space="preserve">1) </t>
    </r>
    <r>
      <rPr>
        <sz val="11"/>
        <color theme="1"/>
        <rFont val="Calibri"/>
        <family val="2"/>
        <scheme val="minor"/>
      </rPr>
      <t>TGF-β type I (</t>
    </r>
    <r>
      <rPr>
        <b/>
        <sz val="11"/>
        <color theme="1"/>
        <rFont val="Calibri"/>
        <family val="2"/>
        <scheme val="minor"/>
      </rPr>
      <t>TβRI</t>
    </r>
    <r>
      <rPr>
        <sz val="11"/>
        <color theme="1"/>
        <rFont val="Calibri"/>
        <family val="2"/>
        <scheme val="minor"/>
      </rPr>
      <t>) and type II (</t>
    </r>
    <r>
      <rPr>
        <b/>
        <sz val="11"/>
        <color theme="1"/>
        <rFont val="Calibri"/>
        <family val="2"/>
        <scheme val="minor"/>
      </rPr>
      <t>TβRII</t>
    </r>
    <r>
      <rPr>
        <sz val="11"/>
        <color theme="1"/>
        <rFont val="Calibri"/>
        <family val="2"/>
        <scheme val="minor"/>
      </rPr>
      <t xml:space="preserve">) kinase inhibitor LY2109761 was sufficient to induce spontaneous apoptosis of </t>
    </r>
    <r>
      <rPr>
        <b/>
        <sz val="11"/>
        <color theme="1"/>
        <rFont val="Calibri"/>
        <family val="2"/>
        <scheme val="minor"/>
      </rPr>
      <t>ovarian</t>
    </r>
    <r>
      <rPr>
        <sz val="11"/>
        <color theme="1"/>
        <rFont val="Calibri"/>
        <family val="2"/>
        <scheme val="minor"/>
      </rPr>
      <t xml:space="preserve"> cancer cells. </t>
    </r>
    <r>
      <rPr>
        <b/>
        <sz val="11"/>
        <color theme="1"/>
        <rFont val="Calibri"/>
        <family val="2"/>
        <scheme val="minor"/>
      </rPr>
      <t xml:space="preserve">2) </t>
    </r>
    <r>
      <rPr>
        <sz val="11"/>
        <color theme="1"/>
        <rFont val="Calibri"/>
        <family val="2"/>
        <scheme val="minor"/>
      </rPr>
      <t>Combination with LY2109761 significantly augmented the cytotoxicity of</t>
    </r>
    <r>
      <rPr>
        <b/>
        <sz val="11"/>
        <color theme="1"/>
        <rFont val="Calibri"/>
        <family val="2"/>
        <scheme val="minor"/>
      </rPr>
      <t xml:space="preserve"> cisplatin</t>
    </r>
    <r>
      <rPr>
        <sz val="11"/>
        <color theme="1"/>
        <rFont val="Calibri"/>
        <family val="2"/>
        <scheme val="minor"/>
      </rPr>
      <t xml:space="preserve"> in both parental and</t>
    </r>
    <r>
      <rPr>
        <b/>
        <sz val="11"/>
        <color theme="1"/>
        <rFont val="Calibri"/>
        <family val="2"/>
        <scheme val="minor"/>
      </rPr>
      <t xml:space="preserve"> cisplatin resistant</t>
    </r>
    <r>
      <rPr>
        <sz val="11"/>
        <color theme="1"/>
        <rFont val="Calibri"/>
        <family val="2"/>
        <scheme val="minor"/>
      </rPr>
      <t xml:space="preserve"> ovarian cancer cells. </t>
    </r>
    <r>
      <rPr>
        <b/>
        <sz val="11"/>
        <color theme="1"/>
        <rFont val="Calibri"/>
        <family val="2"/>
        <scheme val="minor"/>
      </rPr>
      <t>3)</t>
    </r>
    <r>
      <rPr>
        <sz val="11"/>
        <color theme="1"/>
        <rFont val="Calibri"/>
        <family val="2"/>
        <scheme val="minor"/>
      </rPr>
      <t xml:space="preserve"> LY2109761 significantly increased apoptotic cell death in cisplatin-resistant cells. </t>
    </r>
    <r>
      <rPr>
        <b/>
        <sz val="11"/>
        <color theme="1"/>
        <rFont val="Calibri"/>
        <family val="2"/>
        <scheme val="minor"/>
      </rPr>
      <t xml:space="preserve">4) </t>
    </r>
    <r>
      <rPr>
        <sz val="11"/>
        <color theme="1"/>
        <rFont val="Calibri"/>
        <family val="2"/>
        <scheme val="minor"/>
      </rPr>
      <t>Combination treatment of LY2109761 and cisplatin showed antiproliferative effects and induced a greater rate of apoptosis than the sum of the single-treatment rates and promoted tumor regression in established parental and cisplatin resistant ovarian cancer xenograft models.</t>
    </r>
  </si>
  <si>
    <r>
      <rPr>
        <b/>
        <sz val="11"/>
        <color theme="1"/>
        <rFont val="Calibri"/>
        <family val="2"/>
        <scheme val="minor"/>
      </rPr>
      <t>1)</t>
    </r>
    <r>
      <rPr>
        <sz val="11"/>
        <color theme="1"/>
        <rFont val="Calibri"/>
        <family val="2"/>
        <scheme val="minor"/>
      </rPr>
      <t xml:space="preserve"> in triple‑negative </t>
    </r>
    <r>
      <rPr>
        <b/>
        <sz val="11"/>
        <color theme="1"/>
        <rFont val="Calibri"/>
        <family val="2"/>
        <scheme val="minor"/>
      </rPr>
      <t>breast</t>
    </r>
    <r>
      <rPr>
        <sz val="11"/>
        <color theme="1"/>
        <rFont val="Calibri"/>
        <family val="2"/>
        <scheme val="minor"/>
      </rPr>
      <t xml:space="preserve"> cancer</t>
    </r>
    <r>
      <rPr>
        <b/>
        <sz val="11"/>
        <color theme="1"/>
        <rFont val="Calibri"/>
        <family val="2"/>
        <scheme val="minor"/>
      </rPr>
      <t xml:space="preserve"> patients</t>
    </r>
    <r>
      <rPr>
        <sz val="11"/>
        <color theme="1"/>
        <rFont val="Calibri"/>
        <family val="2"/>
        <scheme val="minor"/>
      </rPr>
      <t xml:space="preserve"> that received a </t>
    </r>
    <r>
      <rPr>
        <b/>
        <sz val="11"/>
        <color theme="1"/>
        <rFont val="Calibri"/>
        <family val="2"/>
        <scheme val="minor"/>
      </rPr>
      <t>cisplatin</t>
    </r>
    <r>
      <rPr>
        <sz val="11"/>
        <color theme="1"/>
        <rFont val="Calibri"/>
        <family val="2"/>
        <scheme val="minor"/>
      </rPr>
      <t xml:space="preserve">/doxorubicin‑based </t>
    </r>
    <r>
      <rPr>
        <b/>
        <sz val="11"/>
        <color theme="1"/>
        <rFont val="Calibri"/>
        <family val="2"/>
        <scheme val="minor"/>
      </rPr>
      <t>neoadjuvant</t>
    </r>
    <r>
      <rPr>
        <sz val="11"/>
        <color theme="1"/>
        <rFont val="Calibri"/>
        <family val="2"/>
        <scheme val="minor"/>
      </rPr>
      <t xml:space="preserve"> treatment. </t>
    </r>
    <r>
      <rPr>
        <b/>
        <sz val="11"/>
        <color theme="1"/>
        <rFont val="Calibri"/>
        <family val="2"/>
        <scheme val="minor"/>
      </rPr>
      <t>2)</t>
    </r>
    <r>
      <rPr>
        <sz val="11"/>
        <color theme="1"/>
        <rFont val="Calibri"/>
        <family val="2"/>
        <scheme val="minor"/>
      </rPr>
      <t xml:space="preserve"> low levels of miR‑145‑5p were associated with increased disease‑free survival. </t>
    </r>
    <r>
      <rPr>
        <b/>
        <sz val="11"/>
        <color theme="1"/>
        <rFont val="Calibri"/>
        <family val="2"/>
        <scheme val="minor"/>
      </rPr>
      <t xml:space="preserve">3) </t>
    </r>
    <r>
      <rPr>
        <sz val="11"/>
        <color theme="1"/>
        <rFont val="Calibri"/>
        <family val="2"/>
        <scheme val="minor"/>
      </rPr>
      <t xml:space="preserve">miR‑145‑5p was downregulated in four breast cancer cell lines relative to normal cells. </t>
    </r>
    <r>
      <rPr>
        <b/>
        <sz val="11"/>
        <color theme="1"/>
        <rFont val="Calibri"/>
        <family val="2"/>
        <scheme val="minor"/>
      </rPr>
      <t>4)</t>
    </r>
    <r>
      <rPr>
        <sz val="11"/>
        <color theme="1"/>
        <rFont val="Calibri"/>
        <family val="2"/>
        <scheme val="minor"/>
      </rPr>
      <t xml:space="preserve"> ectopic expression of miR‑145‑5p resulted in a significant inhibition of cell proliferation and also induced apoptosis. </t>
    </r>
    <r>
      <rPr>
        <b/>
        <sz val="11"/>
        <color theme="1"/>
        <rFont val="Calibri"/>
        <family val="2"/>
        <scheme val="minor"/>
      </rPr>
      <t>5)</t>
    </r>
    <r>
      <rPr>
        <sz val="11"/>
        <color theme="1"/>
        <rFont val="Calibri"/>
        <family val="2"/>
        <scheme val="minor"/>
      </rPr>
      <t xml:space="preserve"> miR‑145‑5p led to sensitization of breast cancer cells to </t>
    </r>
    <r>
      <rPr>
        <b/>
        <sz val="11"/>
        <color theme="1"/>
        <rFont val="Calibri"/>
        <family val="2"/>
        <scheme val="minor"/>
      </rPr>
      <t>cisplatin</t>
    </r>
    <r>
      <rPr>
        <sz val="11"/>
        <color theme="1"/>
        <rFont val="Calibri"/>
        <family val="2"/>
        <scheme val="minor"/>
      </rPr>
      <t xml:space="preserve"> therapy. </t>
    </r>
    <r>
      <rPr>
        <b/>
        <sz val="11"/>
        <color theme="1"/>
        <rFont val="Calibri"/>
        <family val="2"/>
        <scheme val="minor"/>
      </rPr>
      <t>6)</t>
    </r>
    <r>
      <rPr>
        <sz val="11"/>
        <color theme="1"/>
        <rFont val="Calibri"/>
        <family val="2"/>
        <scheme val="minor"/>
      </rPr>
      <t xml:space="preserve"> miR‑145‑5p downregulated the </t>
    </r>
    <r>
      <rPr>
        <b/>
        <sz val="11"/>
        <color theme="1"/>
        <rFont val="Calibri"/>
        <family val="2"/>
        <scheme val="minor"/>
      </rPr>
      <t xml:space="preserve">TGFβR2 </t>
    </r>
    <r>
      <rPr>
        <sz val="11"/>
        <color theme="1"/>
        <rFont val="Calibri"/>
        <family val="2"/>
        <scheme val="minor"/>
      </rPr>
      <t>protein.</t>
    </r>
  </si>
  <si>
    <r>
      <rPr>
        <b/>
        <sz val="11"/>
        <color theme="1"/>
        <rFont val="Calibri"/>
        <family val="2"/>
        <scheme val="minor"/>
      </rPr>
      <t>1)</t>
    </r>
    <r>
      <rPr>
        <sz val="11"/>
        <color theme="1"/>
        <rFont val="Calibri"/>
        <family val="2"/>
        <scheme val="minor"/>
      </rPr>
      <t xml:space="preserve"> TG2 knockdown and a TG2 enzymatic inhibitor (KCC009) sensitized ovarian cancer SKOV3 cells to cisplatin. </t>
    </r>
    <r>
      <rPr>
        <b/>
        <sz val="11"/>
        <color theme="1"/>
        <rFont val="Calibri"/>
        <family val="2"/>
        <scheme val="minor"/>
      </rPr>
      <t>2)</t>
    </r>
    <r>
      <rPr>
        <sz val="11"/>
        <color theme="1"/>
        <rFont val="Calibri"/>
        <family val="2"/>
        <scheme val="minor"/>
      </rPr>
      <t xml:space="preserve"> Overexpression of the constitutively active p65 subunit of NF-kappaB, but not constitutively active Akt, rescued cells with diminished TG2 expression from cisplatin-induced apoptosis. </t>
    </r>
    <r>
      <rPr>
        <b/>
        <sz val="11"/>
        <color theme="1"/>
        <rFont val="Calibri"/>
        <family val="2"/>
        <scheme val="minor"/>
      </rPr>
      <t xml:space="preserve">3) </t>
    </r>
    <r>
      <rPr>
        <sz val="11"/>
        <color theme="1"/>
        <rFont val="Calibri"/>
        <family val="2"/>
        <scheme val="minor"/>
      </rPr>
      <t xml:space="preserve">NF-kappaB activity is decreased and the level of the inhibitory subunit I kappaB alpha is increased in ovarian cancer cells engineered to express diminished levels of TG2 or treated with the enzymatic inhibitor, KCC009. </t>
    </r>
    <r>
      <rPr>
        <b/>
        <sz val="11"/>
        <color theme="1"/>
        <rFont val="Calibri"/>
        <family val="2"/>
        <scheme val="minor"/>
      </rPr>
      <t xml:space="preserve">4) </t>
    </r>
    <r>
      <rPr>
        <sz val="11"/>
        <color theme="1"/>
        <rFont val="Calibri"/>
        <family val="2"/>
        <scheme val="minor"/>
      </rPr>
      <t xml:space="preserve">In one-third of NSCLC cell lines, TGM2 was silenced by promoter methylation. </t>
    </r>
    <r>
      <rPr>
        <b/>
        <sz val="11"/>
        <color theme="1"/>
        <rFont val="Calibri"/>
        <family val="2"/>
        <scheme val="minor"/>
      </rPr>
      <t xml:space="preserve">5) </t>
    </r>
    <r>
      <rPr>
        <sz val="11"/>
        <color theme="1"/>
        <rFont val="Calibri"/>
        <family val="2"/>
        <scheme val="minor"/>
      </rPr>
      <t>The TGM2 promoter-methylated cell lines (HCC-95 and HCC-1588) showed relatively higher sensitivity to cisplatin than the TGM2-expressing cell lines (NCI-H1299 and HCC-1195).</t>
    </r>
  </si>
  <si>
    <r>
      <rPr>
        <b/>
        <sz val="11"/>
        <color theme="1"/>
        <rFont val="Calibri"/>
        <family val="2"/>
        <scheme val="minor"/>
      </rPr>
      <t>TGM-3</t>
    </r>
    <r>
      <rPr>
        <sz val="11"/>
        <color theme="1"/>
        <rFont val="Calibri"/>
        <family val="2"/>
        <scheme val="minor"/>
      </rPr>
      <t xml:space="preserve"> expression was significantly associated with response to</t>
    </r>
    <r>
      <rPr>
        <b/>
        <sz val="11"/>
        <color theme="1"/>
        <rFont val="Calibri"/>
        <family val="2"/>
        <scheme val="minor"/>
      </rPr>
      <t xml:space="preserve"> chemo-radiotherapy treatment</t>
    </r>
    <r>
      <rPr>
        <sz val="11"/>
        <color theme="1"/>
        <rFont val="Calibri"/>
        <family val="2"/>
        <scheme val="minor"/>
      </rPr>
      <t xml:space="preserve"> (p&lt;0.007) and overall survival (p&lt;0.015). </t>
    </r>
    <r>
      <rPr>
        <b/>
        <sz val="11"/>
        <color theme="1"/>
        <rFont val="Calibri"/>
        <family val="2"/>
        <scheme val="minor"/>
      </rPr>
      <t xml:space="preserve">Oral </t>
    </r>
    <r>
      <rPr>
        <sz val="11"/>
        <color theme="1"/>
        <rFont val="Calibri"/>
        <family val="2"/>
        <scheme val="minor"/>
      </rPr>
      <t>squamous cell carcinoma patents having higher level of TGM-3 expression have good response to chemo-radiotherapy and also have better overall survival. </t>
    </r>
  </si>
  <si>
    <r>
      <rPr>
        <b/>
        <sz val="11"/>
        <color theme="1"/>
        <rFont val="Calibri"/>
        <family val="2"/>
        <scheme val="minor"/>
      </rPr>
      <t>1)</t>
    </r>
    <r>
      <rPr>
        <sz val="11"/>
        <color theme="1"/>
        <rFont val="Calibri"/>
        <family val="2"/>
        <scheme val="minor"/>
      </rPr>
      <t xml:space="preserve"> Patients with high TXN and THBS1 expression presented longer PFS (P=0.001 and P&lt;0.001, respectively) and OS (P=0.024 and P&lt;0.001, respectively). </t>
    </r>
    <r>
      <rPr>
        <b/>
        <sz val="11"/>
        <color theme="1"/>
        <rFont val="Calibri"/>
        <family val="2"/>
        <scheme val="minor"/>
      </rPr>
      <t xml:space="preserve">2) </t>
    </r>
    <r>
      <rPr>
        <sz val="11"/>
        <color theme="1"/>
        <rFont val="Calibri"/>
        <family val="2"/>
        <scheme val="minor"/>
      </rPr>
      <t xml:space="preserve">5-FU pretreatment potentiates </t>
    </r>
    <r>
      <rPr>
        <b/>
        <sz val="11"/>
        <color theme="1"/>
        <rFont val="Calibri"/>
        <family val="2"/>
        <scheme val="minor"/>
      </rPr>
      <t>cisplatin</t>
    </r>
    <r>
      <rPr>
        <sz val="11"/>
        <color theme="1"/>
        <rFont val="Calibri"/>
        <family val="2"/>
        <scheme val="minor"/>
      </rPr>
      <t xml:space="preserve">-induced apoptosis through up-regulation of </t>
    </r>
    <r>
      <rPr>
        <b/>
        <sz val="11"/>
        <color theme="1"/>
        <rFont val="Calibri"/>
        <family val="2"/>
        <scheme val="minor"/>
      </rPr>
      <t>thrombospondin-1</t>
    </r>
    <r>
      <rPr>
        <sz val="11"/>
        <color theme="1"/>
        <rFont val="Calibri"/>
        <family val="2"/>
        <scheme val="minor"/>
      </rPr>
      <t xml:space="preserve"> in head and neck squamous cell carcinomas. </t>
    </r>
    <r>
      <rPr>
        <b/>
        <sz val="11"/>
        <color theme="1"/>
        <rFont val="Calibri"/>
        <family val="2"/>
        <scheme val="minor"/>
      </rPr>
      <t xml:space="preserve">3) </t>
    </r>
    <r>
      <rPr>
        <sz val="11"/>
        <color theme="1"/>
        <rFont val="Calibri"/>
        <family val="2"/>
        <scheme val="minor"/>
      </rPr>
      <t xml:space="preserve">Reversal of taxol resistance by cisplatin in nasopharyngeal carcinoma by upregulating thromspondin-1 expression. </t>
    </r>
    <r>
      <rPr>
        <b/>
        <sz val="11"/>
        <color theme="1"/>
        <rFont val="Calibri"/>
        <family val="2"/>
        <scheme val="minor"/>
      </rPr>
      <t xml:space="preserve">4) </t>
    </r>
    <r>
      <rPr>
        <sz val="11"/>
        <color theme="1"/>
        <rFont val="Calibri"/>
        <family val="2"/>
        <scheme val="minor"/>
      </rPr>
      <t>Peripheral blood samples were obtained from 60 patients before first line</t>
    </r>
    <r>
      <rPr>
        <b/>
        <sz val="11"/>
        <color theme="1"/>
        <rFont val="Calibri"/>
        <family val="2"/>
        <scheme val="minor"/>
      </rPr>
      <t xml:space="preserve"> platinum-based chemotherapy </t>
    </r>
    <r>
      <rPr>
        <sz val="11"/>
        <color theme="1"/>
        <rFont val="Calibri"/>
        <family val="2"/>
        <scheme val="minor"/>
      </rPr>
      <t xml:space="preserve">± bevacizumab, and after the third cycle of treatment: Decreased levels of TSP-1 and increased levels of VEGF were associated with shorter survival. </t>
    </r>
  </si>
  <si>
    <r>
      <rPr>
        <b/>
        <sz val="11"/>
        <color theme="1"/>
        <rFont val="Calibri"/>
        <family val="2"/>
        <scheme val="minor"/>
      </rPr>
      <t>1)</t>
    </r>
    <r>
      <rPr>
        <sz val="11"/>
        <color theme="1"/>
        <rFont val="Calibri"/>
        <family val="2"/>
        <scheme val="minor"/>
      </rPr>
      <t xml:space="preserve"> functional siRNA screening identified TIE-1 as a gene that confers cells resistant to cisplatin. </t>
    </r>
    <r>
      <rPr>
        <b/>
        <sz val="11"/>
        <color theme="1"/>
        <rFont val="Calibri"/>
        <family val="2"/>
        <scheme val="minor"/>
      </rPr>
      <t>2)</t>
    </r>
    <r>
      <rPr>
        <sz val="11"/>
        <color theme="1"/>
        <rFont val="Calibri"/>
        <family val="2"/>
        <scheme val="minor"/>
      </rPr>
      <t xml:space="preserve"> over-expression of TIE-1 decrease cisplatin sensitivity in multiple ovarian cancer cell lines. </t>
    </r>
    <r>
      <rPr>
        <b/>
        <sz val="11"/>
        <color theme="1"/>
        <rFont val="Calibri"/>
        <family val="2"/>
        <scheme val="minor"/>
      </rPr>
      <t xml:space="preserve">3) </t>
    </r>
    <r>
      <rPr>
        <sz val="11"/>
        <color theme="1"/>
        <rFont val="Calibri"/>
        <family val="2"/>
        <scheme val="minor"/>
      </rPr>
      <t xml:space="preserve">up-regulation of TIE-1 was correlated with poor prognosis and cisplatin resistance in patients with ovarian cancer. </t>
    </r>
    <r>
      <rPr>
        <b/>
        <sz val="11"/>
        <color theme="1"/>
        <rFont val="Calibri"/>
        <family val="2"/>
        <scheme val="minor"/>
      </rPr>
      <t xml:space="preserve">4) </t>
    </r>
    <r>
      <rPr>
        <sz val="11"/>
        <color theme="1"/>
        <rFont val="Calibri"/>
        <family val="2"/>
        <scheme val="minor"/>
      </rPr>
      <t xml:space="preserve">TIE-1 up-regulates the nucleotide excision repair (NER) system mediated by XPC, thereby leading to decreased susceptibility to cisplatin-induced cell death without affecting cisplatin uptake and excretion.  </t>
    </r>
  </si>
  <si>
    <r>
      <rPr>
        <b/>
        <sz val="11"/>
        <color theme="1"/>
        <rFont val="Calibri"/>
        <family val="2"/>
        <scheme val="minor"/>
      </rPr>
      <t xml:space="preserve">1) </t>
    </r>
    <r>
      <rPr>
        <sz val="11"/>
        <color theme="1"/>
        <rFont val="Calibri"/>
        <family val="2"/>
        <scheme val="minor"/>
      </rPr>
      <t>upregulation of miR-101 inhibited viability, induced apoptosis, increased glycolysis rate and fructose-2,6-bisphosphate levels, decreased glucose-6-phosphate dehydrogenase expression and NADPH levels, and enhanced </t>
    </r>
    <r>
      <rPr>
        <b/>
        <sz val="11"/>
        <color theme="1"/>
        <rFont val="Calibri"/>
        <family val="2"/>
        <scheme val="minor"/>
      </rPr>
      <t>cisplatin</t>
    </r>
    <r>
      <rPr>
        <sz val="11"/>
        <color theme="1"/>
        <rFont val="Calibri"/>
        <family val="2"/>
        <scheme val="minor"/>
      </rPr>
      <t xml:space="preserve">-induced DNA damage in prostate cancer cells. </t>
    </r>
    <r>
      <rPr>
        <b/>
        <sz val="11"/>
        <color theme="1"/>
        <rFont val="Calibri"/>
        <family val="2"/>
        <scheme val="minor"/>
      </rPr>
      <t>2) TIGAR</t>
    </r>
    <r>
      <rPr>
        <sz val="11"/>
        <color theme="1"/>
        <rFont val="Calibri"/>
        <family val="2"/>
        <scheme val="minor"/>
      </rPr>
      <t xml:space="preserve"> was a direct target of miR-101 by using luciferase activity assay. </t>
    </r>
    <r>
      <rPr>
        <b/>
        <sz val="11"/>
        <color theme="1"/>
        <rFont val="Calibri"/>
        <family val="2"/>
        <scheme val="minor"/>
      </rPr>
      <t xml:space="preserve">3) </t>
    </r>
    <r>
      <rPr>
        <sz val="11"/>
        <color theme="1"/>
        <rFont val="Calibri"/>
        <family val="2"/>
        <scheme val="minor"/>
      </rPr>
      <t>the roles of knockdown of TIGAR were similar to miR-101 upregulation in prostate cancer cells. </t>
    </r>
    <r>
      <rPr>
        <b/>
        <sz val="11"/>
        <color theme="1"/>
        <rFont val="Calibri"/>
        <family val="2"/>
        <scheme val="minor"/>
      </rPr>
      <t xml:space="preserve">4) </t>
    </r>
    <r>
      <rPr>
        <sz val="11"/>
        <color theme="1"/>
        <rFont val="Calibri"/>
        <family val="2"/>
        <scheme val="minor"/>
      </rPr>
      <t xml:space="preserve">TP53-induced glycolysis and apoptosis regulator (TIGAR), which scavenges intracellular reactive oxygen species (ROS), was upregulated in spiral ganglion neurons (SGNs) in response to </t>
    </r>
    <r>
      <rPr>
        <b/>
        <sz val="11"/>
        <color theme="1"/>
        <rFont val="Calibri"/>
        <family val="2"/>
        <scheme val="minor"/>
      </rPr>
      <t>cisplatin</t>
    </r>
    <r>
      <rPr>
        <sz val="11"/>
        <color theme="1"/>
        <rFont val="Calibri"/>
        <family val="2"/>
        <scheme val="minor"/>
      </rPr>
      <t xml:space="preserve"> administration.</t>
    </r>
    <r>
      <rPr>
        <b/>
        <sz val="11"/>
        <color theme="1"/>
        <rFont val="Calibri"/>
        <family val="2"/>
        <scheme val="minor"/>
      </rPr>
      <t xml:space="preserve"> 5) </t>
    </r>
    <r>
      <rPr>
        <sz val="11"/>
        <color theme="1"/>
        <rFont val="Calibri"/>
        <family val="2"/>
        <scheme val="minor"/>
      </rPr>
      <t xml:space="preserve">Overexpression of TIGAR reduced ROS and decreased caspase 3 expression, as well as increased the survival of SGNs in Wnt-inhibited SGNs. </t>
    </r>
  </si>
  <si>
    <r>
      <rPr>
        <b/>
        <sz val="11"/>
        <color theme="1"/>
        <rFont val="Calibri"/>
        <family val="2"/>
        <scheme val="minor"/>
      </rPr>
      <t>1)</t>
    </r>
    <r>
      <rPr>
        <sz val="11"/>
        <color theme="1"/>
        <rFont val="Calibri"/>
        <family val="2"/>
        <scheme val="minor"/>
      </rPr>
      <t xml:space="preserve"> High </t>
    </r>
    <r>
      <rPr>
        <b/>
        <sz val="11"/>
        <color theme="1"/>
        <rFont val="Calibri"/>
        <family val="2"/>
        <scheme val="minor"/>
      </rPr>
      <t>TIMELESS</t>
    </r>
    <r>
      <rPr>
        <sz val="11"/>
        <color theme="1"/>
        <rFont val="Calibri"/>
        <family val="2"/>
        <scheme val="minor"/>
      </rPr>
      <t xml:space="preserve"> expression was associated with poorer overall survival and progression free survival. </t>
    </r>
    <r>
      <rPr>
        <b/>
        <sz val="11"/>
        <color theme="1"/>
        <rFont val="Calibri"/>
        <family val="2"/>
        <scheme val="minor"/>
      </rPr>
      <t>2)</t>
    </r>
    <r>
      <rPr>
        <sz val="11"/>
        <color theme="1"/>
        <rFont val="Calibri"/>
        <family val="2"/>
        <scheme val="minor"/>
      </rPr>
      <t xml:space="preserve"> Stable ectopic overexpression of </t>
    </r>
    <r>
      <rPr>
        <b/>
        <sz val="11"/>
        <color theme="1"/>
        <rFont val="Calibri"/>
        <family val="2"/>
        <scheme val="minor"/>
      </rPr>
      <t>TIMELESS</t>
    </r>
    <r>
      <rPr>
        <sz val="11"/>
        <color theme="1"/>
        <rFont val="Calibri"/>
        <family val="2"/>
        <scheme val="minor"/>
      </rPr>
      <t xml:space="preserve"> in </t>
    </r>
    <r>
      <rPr>
        <b/>
        <sz val="11"/>
        <color theme="1"/>
        <rFont val="Calibri"/>
        <family val="2"/>
        <scheme val="minor"/>
      </rPr>
      <t>nasopharyngeal</t>
    </r>
    <r>
      <rPr>
        <sz val="11"/>
        <color theme="1"/>
        <rFont val="Calibri"/>
        <family val="2"/>
        <scheme val="minor"/>
      </rPr>
      <t xml:space="preserve"> carcinoma cell lines conferred resistance to </t>
    </r>
    <r>
      <rPr>
        <b/>
        <sz val="11"/>
        <color theme="1"/>
        <rFont val="Calibri"/>
        <family val="2"/>
        <scheme val="minor"/>
      </rPr>
      <t>cisplatin</t>
    </r>
    <r>
      <rPr>
        <sz val="11"/>
        <color theme="1"/>
        <rFont val="Calibri"/>
        <family val="2"/>
        <scheme val="minor"/>
      </rPr>
      <t xml:space="preserve">-induced apoptosis in vitro and in vivo, promoted an epithelial-to-mesenchymal transition phenotype, and activated the Wnt/β-catenin pathway and downstream gene transcription; </t>
    </r>
    <r>
      <rPr>
        <b/>
        <sz val="11"/>
        <color theme="1"/>
        <rFont val="Calibri"/>
        <family val="2"/>
        <scheme val="minor"/>
      </rPr>
      <t>3)</t>
    </r>
    <r>
      <rPr>
        <sz val="11"/>
        <color theme="1"/>
        <rFont val="Calibri"/>
        <family val="2"/>
        <scheme val="minor"/>
      </rPr>
      <t xml:space="preserve"> knockdown of </t>
    </r>
    <r>
      <rPr>
        <b/>
        <sz val="11"/>
        <color theme="1"/>
        <rFont val="Calibri"/>
        <family val="2"/>
        <scheme val="minor"/>
      </rPr>
      <t xml:space="preserve">TIMELESS </t>
    </r>
    <r>
      <rPr>
        <sz val="11"/>
        <color theme="1"/>
        <rFont val="Calibri"/>
        <family val="2"/>
        <scheme val="minor"/>
      </rPr>
      <t>had the opposite effects.  </t>
    </r>
  </si>
  <si>
    <r>
      <rPr>
        <b/>
        <sz val="11"/>
        <color theme="1"/>
        <rFont val="Calibri"/>
        <family val="2"/>
        <scheme val="minor"/>
      </rPr>
      <t xml:space="preserve">1) </t>
    </r>
    <r>
      <rPr>
        <sz val="11"/>
        <color theme="1"/>
        <rFont val="Calibri"/>
        <family val="2"/>
        <scheme val="minor"/>
      </rPr>
      <t xml:space="preserve">a significant association between enhanced </t>
    </r>
    <r>
      <rPr>
        <b/>
        <sz val="11"/>
        <color theme="1"/>
        <rFont val="Calibri"/>
        <family val="2"/>
        <scheme val="minor"/>
      </rPr>
      <t>stromal</t>
    </r>
    <r>
      <rPr>
        <sz val="11"/>
        <color theme="1"/>
        <rFont val="Calibri"/>
        <family val="2"/>
        <scheme val="minor"/>
      </rPr>
      <t xml:space="preserve"> expression of</t>
    </r>
    <r>
      <rPr>
        <b/>
        <sz val="11"/>
        <color theme="1"/>
        <rFont val="Calibri"/>
        <family val="2"/>
        <scheme val="minor"/>
      </rPr>
      <t xml:space="preserve"> TIMP-2 </t>
    </r>
    <r>
      <rPr>
        <sz val="11"/>
        <color theme="1"/>
        <rFont val="Calibri"/>
        <family val="2"/>
        <scheme val="minor"/>
      </rPr>
      <t>and better clinical response to</t>
    </r>
    <r>
      <rPr>
        <b/>
        <sz val="11"/>
        <color theme="1"/>
        <rFont val="Calibri"/>
        <family val="2"/>
        <scheme val="minor"/>
      </rPr>
      <t xml:space="preserve"> cisplatin- and paclitaxel-based chemotherapy:</t>
    </r>
    <r>
      <rPr>
        <sz val="11"/>
        <color theme="1"/>
        <rFont val="Calibri"/>
        <family val="2"/>
        <scheme val="minor"/>
      </rPr>
      <t xml:space="preserve"> increased expression of TIMP-2 in the stromal compartment and simultaneous overexpression in both stromal and tumor compartments strongly correlated with increased survival. </t>
    </r>
    <r>
      <rPr>
        <b/>
        <sz val="11"/>
        <color theme="1"/>
        <rFont val="Calibri"/>
        <family val="2"/>
        <scheme val="minor"/>
      </rPr>
      <t xml:space="preserve">2) </t>
    </r>
    <r>
      <rPr>
        <sz val="11"/>
        <color theme="1"/>
        <rFont val="Calibri"/>
        <family val="2"/>
        <scheme val="minor"/>
      </rPr>
      <t>No significant correlations were found in vitro between resistance to cisplatin, paclitaxel, or topotecan and the expression of TIMP-2 in the</t>
    </r>
    <r>
      <rPr>
        <b/>
        <sz val="11"/>
        <color theme="1"/>
        <rFont val="Calibri"/>
        <family val="2"/>
        <scheme val="minor"/>
      </rPr>
      <t xml:space="preserve"> OC cell lines</t>
    </r>
    <r>
      <rPr>
        <sz val="11"/>
        <color theme="1"/>
        <rFont val="Calibri"/>
        <family val="2"/>
        <scheme val="minor"/>
      </rPr>
      <t xml:space="preserve">, suggesting stromal influences on tumor chemoresistance in the physiological environment. </t>
    </r>
    <r>
      <rPr>
        <b/>
        <sz val="11"/>
        <color theme="1"/>
        <rFont val="Calibri"/>
        <family val="2"/>
        <scheme val="minor"/>
      </rPr>
      <t xml:space="preserve">3) </t>
    </r>
    <r>
      <rPr>
        <sz val="11"/>
        <color theme="1"/>
        <rFont val="Calibri"/>
        <family val="2"/>
        <scheme val="minor"/>
      </rPr>
      <t>Serum from 68 cervical cancer patients treated within a phase-III-trial with either simultaneous </t>
    </r>
    <r>
      <rPr>
        <b/>
        <sz val="11"/>
        <color theme="1"/>
        <rFont val="Calibri"/>
        <family val="2"/>
        <scheme val="minor"/>
      </rPr>
      <t>cisplatin </t>
    </r>
    <r>
      <rPr>
        <sz val="11"/>
        <color theme="1"/>
        <rFont val="Calibri"/>
        <family val="2"/>
        <scheme val="minor"/>
      </rPr>
      <t xml:space="preserve">radiochemotherapy or sequential systemic </t>
    </r>
    <r>
      <rPr>
        <b/>
        <sz val="11"/>
        <color theme="1"/>
        <rFont val="Calibri"/>
        <family val="2"/>
        <scheme val="minor"/>
      </rPr>
      <t>carboplatin</t>
    </r>
    <r>
      <rPr>
        <sz val="11"/>
        <color theme="1"/>
        <rFont val="Calibri"/>
        <family val="2"/>
        <scheme val="minor"/>
      </rPr>
      <t xml:space="preserve"> and paclitaxel followed by percutaneous irradiation was analyzed by ELISA: A TIMP2 concentration of </t>
    </r>
    <r>
      <rPr>
        <b/>
        <sz val="11"/>
        <color theme="1"/>
        <rFont val="Calibri"/>
        <family val="2"/>
        <scheme val="minor"/>
      </rPr>
      <t xml:space="preserve">lower </t>
    </r>
    <r>
      <rPr>
        <sz val="11"/>
        <color theme="1"/>
        <rFont val="Calibri"/>
        <family val="2"/>
        <scheme val="minor"/>
      </rPr>
      <t>than 90 ng/ml was significantly associated with poorer OS and PFS (p=0.009 and p=0.043, respectively). In the multivariate analysis, TIMP2 expression in serum was the only independent prognostic factor for OS (p=0.032, HR=6.51, 95% CI=1.17-36.01).</t>
    </r>
  </si>
  <si>
    <r>
      <rPr>
        <b/>
        <sz val="11"/>
        <color theme="1"/>
        <rFont val="Calibri"/>
        <family val="2"/>
        <scheme val="minor"/>
      </rPr>
      <t>1)</t>
    </r>
    <r>
      <rPr>
        <sz val="11"/>
        <color theme="1"/>
        <rFont val="Calibri"/>
        <family val="2"/>
        <scheme val="minor"/>
      </rPr>
      <t xml:space="preserve"> The expression of </t>
    </r>
    <r>
      <rPr>
        <b/>
        <sz val="11"/>
        <color theme="1"/>
        <rFont val="Calibri"/>
        <family val="2"/>
        <scheme val="minor"/>
      </rPr>
      <t>TIMP3</t>
    </r>
    <r>
      <rPr>
        <sz val="11"/>
        <color theme="1"/>
        <rFont val="Calibri"/>
        <family val="2"/>
        <scheme val="minor"/>
      </rPr>
      <t xml:space="preserve"> was higher in patients with </t>
    </r>
    <r>
      <rPr>
        <b/>
        <sz val="11"/>
        <color theme="1"/>
        <rFont val="Calibri"/>
        <family val="2"/>
        <scheme val="minor"/>
      </rPr>
      <t>cisplatin</t>
    </r>
    <r>
      <rPr>
        <sz val="11"/>
        <color theme="1"/>
        <rFont val="Calibri"/>
        <family val="2"/>
        <scheme val="minor"/>
      </rPr>
      <t xml:space="preserve">-sensitive osteosarcoma than in those with insensitive osteosarcoma. </t>
    </r>
    <r>
      <rPr>
        <b/>
        <sz val="11"/>
        <color theme="1"/>
        <rFont val="Calibri"/>
        <family val="2"/>
        <scheme val="minor"/>
      </rPr>
      <t>2)</t>
    </r>
    <r>
      <rPr>
        <sz val="11"/>
        <color theme="1"/>
        <rFont val="Calibri"/>
        <family val="2"/>
        <scheme val="minor"/>
      </rPr>
      <t xml:space="preserve"> </t>
    </r>
    <r>
      <rPr>
        <b/>
        <sz val="11"/>
        <color theme="1"/>
        <rFont val="Calibri"/>
        <family val="2"/>
        <scheme val="minor"/>
      </rPr>
      <t>TIMP3</t>
    </r>
    <r>
      <rPr>
        <sz val="11"/>
        <color theme="1"/>
        <rFont val="Calibri"/>
        <family val="2"/>
        <scheme val="minor"/>
      </rPr>
      <t xml:space="preserve"> overexpression suppressed cell proliferation and enhanced cisplatin sensitivity by activating apoptosis-related signal pathways and inhibiting </t>
    </r>
    <r>
      <rPr>
        <b/>
        <sz val="11"/>
        <color theme="1"/>
        <rFont val="Calibri"/>
        <family val="2"/>
        <scheme val="minor"/>
      </rPr>
      <t>IL-6</t>
    </r>
    <r>
      <rPr>
        <sz val="11"/>
        <color theme="1"/>
        <rFont val="Calibri"/>
        <family val="2"/>
        <scheme val="minor"/>
      </rPr>
      <t xml:space="preserve"> expression in vitro and in vivo. </t>
    </r>
  </si>
  <si>
    <r>
      <rPr>
        <b/>
        <sz val="11"/>
        <color theme="1"/>
        <rFont val="Calibri"/>
        <family val="2"/>
        <scheme val="minor"/>
      </rPr>
      <t>1)</t>
    </r>
    <r>
      <rPr>
        <sz val="11"/>
        <color theme="1"/>
        <rFont val="Calibri"/>
        <family val="2"/>
        <scheme val="minor"/>
      </rPr>
      <t xml:space="preserve"> </t>
    </r>
    <r>
      <rPr>
        <b/>
        <sz val="11"/>
        <color theme="1"/>
        <rFont val="Calibri"/>
        <family val="2"/>
        <scheme val="minor"/>
      </rPr>
      <t>TLK1</t>
    </r>
    <r>
      <rPr>
        <sz val="11"/>
        <color theme="1"/>
        <rFont val="Calibri"/>
        <family val="2"/>
        <scheme val="minor"/>
      </rPr>
      <t xml:space="preserve"> is abundantly expressed in</t>
    </r>
    <r>
      <rPr>
        <b/>
        <sz val="11"/>
        <color theme="1"/>
        <rFont val="Calibri"/>
        <family val="2"/>
        <scheme val="minor"/>
      </rPr>
      <t xml:space="preserve"> cholangiocarcinoma</t>
    </r>
    <r>
      <rPr>
        <sz val="11"/>
        <color theme="1"/>
        <rFont val="Calibri"/>
        <family val="2"/>
        <scheme val="minor"/>
      </rPr>
      <t xml:space="preserve"> as well as in cell lines derived from cholangiocarcinoma. </t>
    </r>
    <r>
      <rPr>
        <b/>
        <sz val="11"/>
        <color theme="1"/>
        <rFont val="Calibri"/>
        <family val="2"/>
        <scheme val="minor"/>
      </rPr>
      <t xml:space="preserve">2) </t>
    </r>
    <r>
      <rPr>
        <sz val="11"/>
        <color theme="1"/>
        <rFont val="Calibri"/>
        <family val="2"/>
        <scheme val="minor"/>
      </rPr>
      <t xml:space="preserve">siRNA knockdown of TLK1 did not affect the viability of cholangiocarcinoma cells, it sensitized cholangiocarcinoma cells to </t>
    </r>
    <r>
      <rPr>
        <b/>
        <sz val="11"/>
        <color theme="1"/>
        <rFont val="Calibri"/>
        <family val="2"/>
        <scheme val="minor"/>
      </rPr>
      <t>cisplatin</t>
    </r>
    <r>
      <rPr>
        <sz val="11"/>
        <color theme="1"/>
        <rFont val="Calibri"/>
        <family val="2"/>
        <scheme val="minor"/>
      </rPr>
      <t xml:space="preserve">-induced apoptosis. </t>
    </r>
    <r>
      <rPr>
        <b/>
        <sz val="11"/>
        <color theme="1"/>
        <rFont val="Calibri"/>
        <family val="2"/>
        <scheme val="minor"/>
      </rPr>
      <t xml:space="preserve">3) </t>
    </r>
    <r>
      <rPr>
        <sz val="11"/>
        <color theme="1"/>
        <rFont val="Calibri"/>
        <family val="2"/>
        <scheme val="minor"/>
      </rPr>
      <t>Immunofluorescence analysis of gammaH2AX foci showed that silencing of TLK1 enhanced DNA damage induced by cisplatin treatment. </t>
    </r>
  </si>
  <si>
    <r>
      <rPr>
        <b/>
        <sz val="11"/>
        <color theme="1"/>
        <rFont val="Calibri"/>
        <family val="2"/>
        <scheme val="minor"/>
      </rPr>
      <t>1) Cisplatin</t>
    </r>
    <r>
      <rPr>
        <sz val="11"/>
        <color theme="1"/>
        <rFont val="Calibri"/>
        <family val="2"/>
        <scheme val="minor"/>
      </rPr>
      <t>-treated wild-type mice had significantly more renal dysfunction, histologic damage, and leukocytes infiltrating the kidney than similarly treated mice with a targeted deletion of TLR4 [Tlr4(−/−)]. </t>
    </r>
    <r>
      <rPr>
        <b/>
        <sz val="11"/>
        <color theme="1"/>
        <rFont val="Calibri"/>
        <family val="2"/>
        <scheme val="minor"/>
      </rPr>
      <t xml:space="preserve">2) </t>
    </r>
    <r>
      <rPr>
        <sz val="11"/>
        <color theme="1"/>
        <rFont val="Calibri"/>
        <family val="2"/>
        <scheme val="minor"/>
      </rPr>
      <t xml:space="preserve">activation of TLR4 on renal parenchymal cells may activate p38 MAPK pathways, leading to increased production of inflammatory cytokines, such as TNF-α and subsequent kidney injury. </t>
    </r>
    <r>
      <rPr>
        <b/>
        <sz val="11"/>
        <color theme="1"/>
        <rFont val="Calibri"/>
        <family val="2"/>
        <scheme val="minor"/>
      </rPr>
      <t xml:space="preserve">3) </t>
    </r>
    <r>
      <rPr>
        <sz val="11"/>
        <color theme="1"/>
        <rFont val="Calibri"/>
        <family val="2"/>
        <scheme val="minor"/>
      </rPr>
      <t xml:space="preserve">Down-regulationo f TLR4 gene in CDDP-resistant </t>
    </r>
    <r>
      <rPr>
        <b/>
        <sz val="11"/>
        <color theme="1"/>
        <rFont val="Calibri"/>
        <family val="2"/>
        <scheme val="minor"/>
      </rPr>
      <t>gastric</t>
    </r>
    <r>
      <rPr>
        <sz val="11"/>
        <color theme="1"/>
        <rFont val="Calibri"/>
        <family val="2"/>
        <scheme val="minor"/>
      </rPr>
      <t xml:space="preserve"> cancer SGC7901/DDP cells. </t>
    </r>
    <r>
      <rPr>
        <b/>
        <sz val="11"/>
        <color theme="1"/>
        <rFont val="Calibri"/>
        <family val="2"/>
        <scheme val="minor"/>
      </rPr>
      <t xml:space="preserve">4) </t>
    </r>
    <r>
      <rPr>
        <sz val="11"/>
        <color theme="1"/>
        <rFont val="Calibri"/>
        <family val="2"/>
        <scheme val="minor"/>
      </rPr>
      <t xml:space="preserve">Fucoidan upregulates TLR4/CHOP-mediated caspase-3 and PARP activation to enhance </t>
    </r>
    <r>
      <rPr>
        <b/>
        <sz val="11"/>
        <color theme="1"/>
        <rFont val="Calibri"/>
        <family val="2"/>
        <scheme val="minor"/>
      </rPr>
      <t>cisplatin</t>
    </r>
    <r>
      <rPr>
        <sz val="11"/>
        <color theme="1"/>
        <rFont val="Calibri"/>
        <family val="2"/>
        <scheme val="minor"/>
      </rPr>
      <t>-induced cytotoxicity in human</t>
    </r>
    <r>
      <rPr>
        <b/>
        <sz val="11"/>
        <color theme="1"/>
        <rFont val="Calibri"/>
        <family val="2"/>
        <scheme val="minor"/>
      </rPr>
      <t xml:space="preserve"> lung</t>
    </r>
    <r>
      <rPr>
        <sz val="11"/>
        <color theme="1"/>
        <rFont val="Calibri"/>
        <family val="2"/>
        <scheme val="minor"/>
      </rPr>
      <t xml:space="preserve"> cancer cells. </t>
    </r>
    <r>
      <rPr>
        <b/>
        <sz val="11"/>
        <color theme="1"/>
        <rFont val="Calibri"/>
        <family val="2"/>
        <scheme val="minor"/>
      </rPr>
      <t xml:space="preserve">5) </t>
    </r>
    <r>
      <rPr>
        <sz val="11"/>
        <color theme="1"/>
        <rFont val="Calibri"/>
        <family val="2"/>
        <scheme val="minor"/>
      </rPr>
      <t xml:space="preserve">P-MAPA immunotherapy potentiates the effect of </t>
    </r>
    <r>
      <rPr>
        <b/>
        <sz val="11"/>
        <color theme="1"/>
        <rFont val="Calibri"/>
        <family val="2"/>
        <scheme val="minor"/>
      </rPr>
      <t>cisplatin</t>
    </r>
    <r>
      <rPr>
        <sz val="11"/>
        <color theme="1"/>
        <rFont val="Calibri"/>
        <family val="2"/>
        <scheme val="minor"/>
      </rPr>
      <t xml:space="preserve"> on serous </t>
    </r>
    <r>
      <rPr>
        <b/>
        <sz val="11"/>
        <color theme="1"/>
        <rFont val="Calibri"/>
        <family val="2"/>
        <scheme val="minor"/>
      </rPr>
      <t>ovarian</t>
    </r>
    <r>
      <rPr>
        <sz val="11"/>
        <color theme="1"/>
        <rFont val="Calibri"/>
        <family val="2"/>
        <scheme val="minor"/>
      </rPr>
      <t xml:space="preserve"> carcinoma through targeting </t>
    </r>
    <r>
      <rPr>
        <b/>
        <sz val="11"/>
        <color theme="1"/>
        <rFont val="Calibri"/>
        <family val="2"/>
        <scheme val="minor"/>
      </rPr>
      <t>TLR4</t>
    </r>
    <r>
      <rPr>
        <sz val="11"/>
        <color theme="1"/>
        <rFont val="Calibri"/>
        <family val="2"/>
        <scheme val="minor"/>
      </rPr>
      <t xml:space="preserve"> signaling.</t>
    </r>
  </si>
  <si>
    <r>
      <rPr>
        <b/>
        <sz val="11"/>
        <color theme="1"/>
        <rFont val="Calibri"/>
        <family val="2"/>
        <scheme val="minor"/>
      </rPr>
      <t>1) TLX3</t>
    </r>
    <r>
      <rPr>
        <sz val="11"/>
        <color theme="1"/>
        <rFont val="Calibri"/>
        <family val="2"/>
        <scheme val="minor"/>
      </rPr>
      <t xml:space="preserve"> was unmethylated in </t>
    </r>
    <r>
      <rPr>
        <b/>
        <sz val="11"/>
        <color theme="1"/>
        <rFont val="Calibri"/>
        <family val="2"/>
        <scheme val="minor"/>
      </rPr>
      <t>cisplatin</t>
    </r>
    <r>
      <rPr>
        <sz val="11"/>
        <color theme="1"/>
        <rFont val="Calibri"/>
        <family val="2"/>
        <scheme val="minor"/>
      </rPr>
      <t xml:space="preserve"> sensitive cells and methylated in resistant cells. </t>
    </r>
    <r>
      <rPr>
        <b/>
        <sz val="11"/>
        <color theme="1"/>
        <rFont val="Calibri"/>
        <family val="2"/>
        <scheme val="minor"/>
      </rPr>
      <t xml:space="preserve">2) </t>
    </r>
    <r>
      <rPr>
        <sz val="11"/>
        <color theme="1"/>
        <rFont val="Calibri"/>
        <family val="2"/>
        <scheme val="minor"/>
      </rPr>
      <t>shRNA</t>
    </r>
    <r>
      <rPr>
        <b/>
        <sz val="11"/>
        <color theme="1"/>
        <rFont val="Calibri"/>
        <family val="2"/>
        <scheme val="minor"/>
      </rPr>
      <t xml:space="preserve"> </t>
    </r>
    <r>
      <rPr>
        <sz val="11"/>
        <color theme="1"/>
        <rFont val="Calibri"/>
        <family val="2"/>
        <scheme val="minor"/>
      </rPr>
      <t xml:space="preserve">suppression of TLX3 expression increased cisplatin resistance. </t>
    </r>
    <r>
      <rPr>
        <b/>
        <sz val="11"/>
        <color theme="1"/>
        <rFont val="Calibri"/>
        <family val="2"/>
        <scheme val="minor"/>
      </rPr>
      <t xml:space="preserve">3) </t>
    </r>
    <r>
      <rPr>
        <sz val="11"/>
        <color theme="1"/>
        <rFont val="Calibri"/>
        <family val="2"/>
        <scheme val="minor"/>
      </rPr>
      <t xml:space="preserve">overexpression of TLX3 in resistant cells induced increased sensitivity to cisplatin. </t>
    </r>
    <r>
      <rPr>
        <b/>
        <sz val="11"/>
        <color theme="1"/>
        <rFont val="Calibri"/>
        <family val="2"/>
        <scheme val="minor"/>
      </rPr>
      <t>4)</t>
    </r>
    <r>
      <rPr>
        <sz val="11"/>
        <color theme="1"/>
        <rFont val="Calibri"/>
        <family val="2"/>
        <scheme val="minor"/>
      </rPr>
      <t xml:space="preserve"> 22 (21%) out of 110 clinical samples of </t>
    </r>
    <r>
      <rPr>
        <b/>
        <sz val="11"/>
        <color theme="1"/>
        <rFont val="Calibri"/>
        <family val="2"/>
        <scheme val="minor"/>
      </rPr>
      <t>bladder</t>
    </r>
    <r>
      <rPr>
        <sz val="11"/>
        <color theme="1"/>
        <rFont val="Calibri"/>
        <family val="2"/>
        <scheme val="minor"/>
      </rPr>
      <t xml:space="preserve"> cancer showed the methylated pattern using the COBRA assay in TLX3. </t>
    </r>
    <r>
      <rPr>
        <b/>
        <sz val="11"/>
        <color theme="1"/>
        <rFont val="Calibri"/>
        <family val="2"/>
        <scheme val="minor"/>
      </rPr>
      <t xml:space="preserve">5) </t>
    </r>
    <r>
      <rPr>
        <sz val="11"/>
        <color theme="1"/>
        <rFont val="Calibri"/>
        <family val="2"/>
        <scheme val="minor"/>
      </rPr>
      <t>a correlation between TLX3 methylation and the sensitivity to cisplatin in the clinical samples by SDI test. Cisplatin sensitivity was closely associated with the methylation status of TLX3. </t>
    </r>
  </si>
  <si>
    <r>
      <rPr>
        <b/>
        <sz val="11"/>
        <color theme="1"/>
        <rFont val="Calibri"/>
        <family val="2"/>
        <scheme val="minor"/>
      </rPr>
      <t>1) TMEM205</t>
    </r>
    <r>
      <rPr>
        <sz val="11"/>
        <color theme="1"/>
        <rFont val="Calibri"/>
        <family val="2"/>
        <scheme val="minor"/>
      </rPr>
      <t xml:space="preserve"> is located at the cell surface. but in the presence of the chemotherapeutic drug, the protein is translocated in an intracellular compartment at the periphery of the nucleus. </t>
    </r>
    <r>
      <rPr>
        <b/>
        <sz val="11"/>
        <color theme="1"/>
        <rFont val="Calibri"/>
        <family val="2"/>
        <scheme val="minor"/>
      </rPr>
      <t xml:space="preserve">2) </t>
    </r>
    <r>
      <rPr>
        <sz val="11"/>
        <color theme="1"/>
        <rFont val="Calibri"/>
        <family val="2"/>
        <scheme val="minor"/>
      </rPr>
      <t xml:space="preserve">Its expression is increased in our </t>
    </r>
    <r>
      <rPr>
        <b/>
        <sz val="11"/>
        <color theme="1"/>
        <rFont val="Calibri"/>
        <family val="2"/>
        <scheme val="minor"/>
      </rPr>
      <t>cisplatin</t>
    </r>
    <r>
      <rPr>
        <sz val="11"/>
        <color theme="1"/>
        <rFont val="Calibri"/>
        <family val="2"/>
        <scheme val="minor"/>
      </rPr>
      <t xml:space="preserve">-selected CP-r </t>
    </r>
    <r>
      <rPr>
        <b/>
        <sz val="11"/>
        <color theme="1"/>
        <rFont val="Calibri"/>
        <family val="2"/>
        <scheme val="minor"/>
      </rPr>
      <t>epidermoid</t>
    </r>
    <r>
      <rPr>
        <sz val="11"/>
        <color theme="1"/>
        <rFont val="Calibri"/>
        <family val="2"/>
        <scheme val="minor"/>
      </rPr>
      <t xml:space="preserve"> carcinoma cell lines. </t>
    </r>
    <r>
      <rPr>
        <b/>
        <sz val="11"/>
        <color theme="1"/>
        <rFont val="Calibri"/>
        <family val="2"/>
        <scheme val="minor"/>
      </rPr>
      <t xml:space="preserve">3) </t>
    </r>
    <r>
      <rPr>
        <sz val="11"/>
        <color theme="1"/>
        <rFont val="Calibri"/>
        <family val="2"/>
        <scheme val="minor"/>
      </rPr>
      <t xml:space="preserve">Stable transfection of the TMEM205 gene confers resistance to cisplatin by approximately 2.5-fold. </t>
    </r>
    <r>
      <rPr>
        <b/>
        <sz val="11"/>
        <color theme="1"/>
        <rFont val="Calibri"/>
        <family val="2"/>
        <scheme val="minor"/>
      </rPr>
      <t>4)</t>
    </r>
    <r>
      <rPr>
        <sz val="11"/>
        <color theme="1"/>
        <rFont val="Calibri"/>
        <family val="2"/>
        <scheme val="minor"/>
      </rPr>
      <t xml:space="preserve"> Uptake assays with Alexa Fluor-cisplatin showed reduced accumulation in CP-r KB-CP.3 and KB-CP.5 cells, and in TMEM205-transfected cells. </t>
    </r>
    <r>
      <rPr>
        <b/>
        <sz val="11"/>
        <color theme="1"/>
        <rFont val="Calibri"/>
        <family val="2"/>
        <scheme val="minor"/>
      </rPr>
      <t xml:space="preserve">5) </t>
    </r>
    <r>
      <rPr>
        <sz val="11"/>
        <color theme="1"/>
        <rFont val="Calibri"/>
        <family val="2"/>
        <scheme val="minor"/>
      </rPr>
      <t xml:space="preserve">TMEM205 colocalized with RAB8, a marker of recycling endosomes. Interestingly, TMEM205 also colocalized with syntaxin 6 (STXR6), a regulator of protein trafficking, which is translocated at the same subcellular localization that TMEM205 in the presence of cisplatin. Then, the translocation of TMEM205 may allow the exocytosis of platinum containing vesicles, which thus results in the accumulation of the drug outside the cell.  </t>
    </r>
  </si>
  <si>
    <r>
      <rPr>
        <b/>
        <sz val="11"/>
        <color theme="1"/>
        <rFont val="Calibri"/>
        <family val="2"/>
        <scheme val="minor"/>
      </rPr>
      <t xml:space="preserve">1) </t>
    </r>
    <r>
      <rPr>
        <sz val="11"/>
        <color theme="1"/>
        <rFont val="Calibri"/>
        <family val="2"/>
        <scheme val="minor"/>
      </rPr>
      <t xml:space="preserve">Genome-wide DNA methylation analysis of OC </t>
    </r>
    <r>
      <rPr>
        <b/>
        <sz val="11"/>
        <color theme="1"/>
        <rFont val="Calibri"/>
        <family val="2"/>
        <scheme val="minor"/>
      </rPr>
      <t>xenografts</t>
    </r>
    <r>
      <rPr>
        <sz val="11"/>
        <color theme="1"/>
        <rFont val="Calibri"/>
        <family val="2"/>
        <scheme val="minor"/>
      </rPr>
      <t xml:space="preserve"> identified 6 genes (SSH3, SLC12A4, </t>
    </r>
    <r>
      <rPr>
        <b/>
        <sz val="11"/>
        <color theme="1"/>
        <rFont val="Calibri"/>
        <family val="2"/>
        <scheme val="minor"/>
      </rPr>
      <t>TMEM88</t>
    </r>
    <r>
      <rPr>
        <sz val="11"/>
        <color theme="1"/>
        <rFont val="Calibri"/>
        <family val="2"/>
        <scheme val="minor"/>
      </rPr>
      <t xml:space="preserve">, PCDHGC3, DAXX, MEST) whose promoters were significantly </t>
    </r>
    <r>
      <rPr>
        <b/>
        <sz val="11"/>
        <color theme="1"/>
        <rFont val="Calibri"/>
        <family val="2"/>
        <scheme val="minor"/>
      </rPr>
      <t>hypo</t>
    </r>
    <r>
      <rPr>
        <sz val="11"/>
        <color theme="1"/>
        <rFont val="Calibri"/>
        <family val="2"/>
        <scheme val="minor"/>
      </rPr>
      <t>methylated in resistant compared to sensitive (control) xenografts (p&lt;0.001).</t>
    </r>
    <r>
      <rPr>
        <b/>
        <sz val="11"/>
        <color theme="1"/>
        <rFont val="Calibri"/>
        <family val="2"/>
        <scheme val="minor"/>
      </rPr>
      <t xml:space="preserve"> 2) </t>
    </r>
    <r>
      <rPr>
        <sz val="11"/>
        <color theme="1"/>
        <rFont val="Calibri"/>
        <family val="2"/>
        <scheme val="minor"/>
      </rPr>
      <t xml:space="preserve">TMEM88 and DAXX mRNA expression levels were increased in platinum resistant compared to control xenografts. </t>
    </r>
    <r>
      <rPr>
        <b/>
        <sz val="11"/>
        <color theme="1"/>
        <rFont val="Calibri"/>
        <family val="2"/>
        <scheme val="minor"/>
      </rPr>
      <t xml:space="preserve">3) </t>
    </r>
    <r>
      <rPr>
        <sz val="11"/>
        <color theme="1"/>
        <rFont val="Calibri"/>
        <family val="2"/>
        <scheme val="minor"/>
      </rPr>
      <t xml:space="preserve">treatment of OC cells with SGI-110 (guadecitabine), a DNA methyl transferase (DNMT) inhibitor, increased TMEM88 mRNA expression levels. </t>
    </r>
    <r>
      <rPr>
        <b/>
        <sz val="11"/>
        <color theme="1"/>
        <rFont val="Calibri"/>
        <family val="2"/>
        <scheme val="minor"/>
      </rPr>
      <t xml:space="preserve">4) </t>
    </r>
    <r>
      <rPr>
        <sz val="11"/>
        <color theme="1"/>
        <rFont val="Calibri"/>
        <family val="2"/>
        <scheme val="minor"/>
      </rPr>
      <t xml:space="preserve">TMEM88 was detectable by IHC in all histological types of ovarian tumors </t>
    </r>
    <r>
      <rPr>
        <b/>
        <sz val="11"/>
        <color theme="1"/>
        <rFont val="Calibri"/>
        <family val="2"/>
        <scheme val="minor"/>
      </rPr>
      <t>5)</t>
    </r>
    <r>
      <rPr>
        <sz val="11"/>
        <color theme="1"/>
        <rFont val="Calibri"/>
        <family val="2"/>
        <scheme val="minor"/>
      </rPr>
      <t xml:space="preserve"> its knock-down by using siRNA promoted OC cell proliferation and colony formation and re-sensitized cells to platinum.</t>
    </r>
    <r>
      <rPr>
        <b/>
        <sz val="11"/>
        <color theme="1"/>
        <rFont val="Calibri"/>
        <family val="2"/>
        <scheme val="minor"/>
      </rPr>
      <t xml:space="preserve"> 6) </t>
    </r>
    <r>
      <rPr>
        <sz val="11"/>
        <color theme="1"/>
        <rFont val="Calibri"/>
        <family val="2"/>
        <scheme val="minor"/>
      </rPr>
      <t>TMEM88 knock down induced upregulation of cyclin D1 and c-Myc, known Wnt target genes, supporting that TMEM88 inhibits Wnt signaling.</t>
    </r>
  </si>
  <si>
    <r>
      <rPr>
        <b/>
        <sz val="11"/>
        <color theme="1"/>
        <rFont val="Calibri"/>
        <family val="2"/>
        <scheme val="minor"/>
      </rPr>
      <t>1)</t>
    </r>
    <r>
      <rPr>
        <sz val="11"/>
        <color theme="1"/>
        <rFont val="Calibri"/>
        <family val="2"/>
        <scheme val="minor"/>
      </rPr>
      <t xml:space="preserve"> the high expression level of </t>
    </r>
    <r>
      <rPr>
        <b/>
        <sz val="11"/>
        <color theme="1"/>
        <rFont val="Calibri"/>
        <family val="2"/>
        <scheme val="minor"/>
      </rPr>
      <t>TMEM97</t>
    </r>
    <r>
      <rPr>
        <sz val="11"/>
        <color theme="1"/>
        <rFont val="Calibri"/>
        <family val="2"/>
        <scheme val="minor"/>
      </rPr>
      <t xml:space="preserve"> has been correlated with the resistance of cancer to platinum-based treatment but also with poor patient survival. </t>
    </r>
    <r>
      <rPr>
        <b/>
        <sz val="11"/>
        <color theme="1"/>
        <rFont val="Calibri"/>
        <family val="2"/>
        <scheme val="minor"/>
      </rPr>
      <t>2)</t>
    </r>
    <r>
      <rPr>
        <sz val="11"/>
        <color theme="1"/>
        <rFont val="Calibri"/>
        <family val="2"/>
        <scheme val="minor"/>
      </rPr>
      <t xml:space="preserve"> only 4% of patients with elevated expression of TMEM97 showed responses to therapy while 65% of patients with low expression of TMEM97 responded to the treatment.</t>
    </r>
  </si>
  <si>
    <r>
      <rPr>
        <b/>
        <sz val="11"/>
        <color theme="1"/>
        <rFont val="Calibri"/>
        <family val="2"/>
        <scheme val="minor"/>
      </rPr>
      <t>1) TMEM98</t>
    </r>
    <r>
      <rPr>
        <sz val="11"/>
        <color theme="1"/>
        <rFont val="Calibri"/>
        <family val="2"/>
        <scheme val="minor"/>
      </rPr>
      <t xml:space="preserve"> has been identified as a </t>
    </r>
    <r>
      <rPr>
        <b/>
        <sz val="11"/>
        <color theme="1"/>
        <rFont val="Calibri"/>
        <family val="2"/>
        <scheme val="minor"/>
      </rPr>
      <t>chemoresistance</t>
    </r>
    <r>
      <rPr>
        <sz val="11"/>
        <color theme="1"/>
        <rFont val="Calibri"/>
        <family val="2"/>
        <scheme val="minor"/>
      </rPr>
      <t xml:space="preserve">-associated gene. Indeed, its expression is increased in two chemoresistant </t>
    </r>
    <r>
      <rPr>
        <b/>
        <sz val="11"/>
        <color theme="1"/>
        <rFont val="Calibri"/>
        <family val="2"/>
        <scheme val="minor"/>
      </rPr>
      <t>hepatocellular</t>
    </r>
    <r>
      <rPr>
        <sz val="11"/>
        <color theme="1"/>
        <rFont val="Calibri"/>
        <family val="2"/>
        <scheme val="minor"/>
      </rPr>
      <t xml:space="preserve"> carcinoma cell lines, MHCC97L/CisR and MHCC97L/DoxR resistant to </t>
    </r>
    <r>
      <rPr>
        <b/>
        <sz val="11"/>
        <color theme="1"/>
        <rFont val="Calibri"/>
        <family val="2"/>
        <scheme val="minor"/>
      </rPr>
      <t>cisplatin</t>
    </r>
    <r>
      <rPr>
        <sz val="11"/>
        <color theme="1"/>
        <rFont val="Calibri"/>
        <family val="2"/>
        <scheme val="minor"/>
      </rPr>
      <t xml:space="preserve"> and doxorubicin respectively. </t>
    </r>
    <r>
      <rPr>
        <b/>
        <sz val="11"/>
        <color theme="1"/>
        <rFont val="Calibri"/>
        <family val="2"/>
        <scheme val="minor"/>
      </rPr>
      <t>2)</t>
    </r>
    <r>
      <rPr>
        <sz val="11"/>
        <color theme="1"/>
        <rFont val="Calibri"/>
        <family val="2"/>
        <scheme val="minor"/>
      </rPr>
      <t xml:space="preserve"> the level of the upregulation increased with the degree of chemoresistance. </t>
    </r>
    <r>
      <rPr>
        <b/>
        <sz val="11"/>
        <color theme="1"/>
        <rFont val="Calibri"/>
        <family val="2"/>
        <scheme val="minor"/>
      </rPr>
      <t>3)</t>
    </r>
    <r>
      <rPr>
        <sz val="11"/>
        <color theme="1"/>
        <rFont val="Calibri"/>
        <family val="2"/>
        <scheme val="minor"/>
      </rPr>
      <t xml:space="preserve"> TMEM98 mRNA expression was higher in tumor tissue of patients who received a transarterial chemoembolization treatment. </t>
    </r>
    <r>
      <rPr>
        <b/>
        <sz val="11"/>
        <color theme="1"/>
        <rFont val="Calibri"/>
        <family val="2"/>
        <scheme val="minor"/>
      </rPr>
      <t xml:space="preserve">4) </t>
    </r>
    <r>
      <rPr>
        <sz val="11"/>
        <color theme="1"/>
        <rFont val="Calibri"/>
        <family val="2"/>
        <scheme val="minor"/>
      </rPr>
      <t>the patients who did not respond well to the treatment had higher TMEM98 expression level. </t>
    </r>
    <r>
      <rPr>
        <b/>
        <sz val="11"/>
        <color theme="1"/>
        <rFont val="Calibri"/>
        <family val="2"/>
        <scheme val="minor"/>
      </rPr>
      <t xml:space="preserve">5) </t>
    </r>
    <r>
      <rPr>
        <sz val="11"/>
        <color theme="1"/>
        <rFont val="Calibri"/>
        <family val="2"/>
        <scheme val="minor"/>
      </rPr>
      <t xml:space="preserve">In the absence of TMEM88 in resistant cell lines, a repression of activation of AKT in association with a repression of its downstream targets had been observed. </t>
    </r>
    <r>
      <rPr>
        <b/>
        <sz val="11"/>
        <color theme="1"/>
        <rFont val="Calibri"/>
        <family val="2"/>
        <scheme val="minor"/>
      </rPr>
      <t xml:space="preserve">6) </t>
    </r>
    <r>
      <rPr>
        <sz val="11"/>
        <color theme="1"/>
        <rFont val="Calibri"/>
        <family val="2"/>
        <scheme val="minor"/>
      </rPr>
      <t xml:space="preserve">the silencing of TMEM88 restored p53 phosphorylation and activation under cisplatin or doxorubicin treatment. </t>
    </r>
  </si>
  <si>
    <r>
      <rPr>
        <b/>
        <sz val="11"/>
        <color theme="1"/>
        <rFont val="Calibri"/>
        <family val="2"/>
        <scheme val="minor"/>
      </rPr>
      <t>1)</t>
    </r>
    <r>
      <rPr>
        <sz val="11"/>
        <color theme="1"/>
        <rFont val="Calibri"/>
        <family val="2"/>
        <scheme val="minor"/>
      </rPr>
      <t xml:space="preserve"> TNFAIP8 overexpression at both mRNA and protein levels in platinum-resistant disease was clearly higher than that in platinum-sensitive disease (P &lt; .05). </t>
    </r>
    <r>
      <rPr>
        <b/>
        <sz val="11"/>
        <color theme="1"/>
        <rFont val="Calibri"/>
        <family val="2"/>
        <scheme val="minor"/>
      </rPr>
      <t xml:space="preserve">2) </t>
    </r>
    <r>
      <rPr>
        <sz val="11"/>
        <color theme="1"/>
        <rFont val="Calibri"/>
        <family val="2"/>
        <scheme val="minor"/>
      </rPr>
      <t xml:space="preserve">Platinum resistance was independently correlated with residual tumor size (P = .025), ascites (P = .027), and TNFAIP8 overexpression (P = .003). </t>
    </r>
    <r>
      <rPr>
        <b/>
        <sz val="11"/>
        <color theme="1"/>
        <rFont val="Calibri"/>
        <family val="2"/>
        <scheme val="minor"/>
      </rPr>
      <t xml:space="preserve">4) </t>
    </r>
    <r>
      <rPr>
        <sz val="11"/>
        <color theme="1"/>
        <rFont val="Calibri"/>
        <family val="2"/>
        <scheme val="minor"/>
      </rPr>
      <t xml:space="preserve">In particular, TNFAIP8 overexpression was correlated with </t>
    </r>
    <r>
      <rPr>
        <b/>
        <sz val="11"/>
        <color theme="1"/>
        <rFont val="Calibri"/>
        <family val="2"/>
        <scheme val="minor"/>
      </rPr>
      <t>platinum</t>
    </r>
    <r>
      <rPr>
        <sz val="11"/>
        <color theme="1"/>
        <rFont val="Calibri"/>
        <family val="2"/>
        <scheme val="minor"/>
      </rPr>
      <t xml:space="preserve"> resistance in </t>
    </r>
    <r>
      <rPr>
        <b/>
        <sz val="11"/>
        <color theme="1"/>
        <rFont val="Calibri"/>
        <family val="2"/>
        <scheme val="minor"/>
      </rPr>
      <t xml:space="preserve">EOCs </t>
    </r>
    <r>
      <rPr>
        <sz val="11"/>
        <color theme="1"/>
        <rFont val="Calibri"/>
        <family val="2"/>
        <scheme val="minor"/>
      </rPr>
      <t xml:space="preserve">with optimal cytoreduction (P = .001). TNFAIP8 mRNA expression was strongly associated with residual tumor size (P = .019). </t>
    </r>
    <r>
      <rPr>
        <b/>
        <sz val="11"/>
        <color theme="1"/>
        <rFont val="Calibri"/>
        <family val="2"/>
        <scheme val="minor"/>
      </rPr>
      <t>5) TNFAIP8</t>
    </r>
    <r>
      <rPr>
        <sz val="11"/>
        <color theme="1"/>
        <rFont val="Calibri"/>
        <family val="2"/>
        <scheme val="minor"/>
      </rPr>
      <t xml:space="preserve"> protein expression levels were significantly increased in </t>
    </r>
    <r>
      <rPr>
        <b/>
        <sz val="11"/>
        <color theme="1"/>
        <rFont val="Calibri"/>
        <family val="2"/>
        <scheme val="minor"/>
      </rPr>
      <t>cervical</t>
    </r>
    <r>
      <rPr>
        <sz val="11"/>
        <color theme="1"/>
        <rFont val="Calibri"/>
        <family val="2"/>
        <scheme val="minor"/>
      </rPr>
      <t xml:space="preserve"> cancer tissues compared with the non-tumor adjacent tissues using immunohistochemistry. </t>
    </r>
    <r>
      <rPr>
        <b/>
        <sz val="11"/>
        <color theme="1"/>
        <rFont val="Calibri"/>
        <family val="2"/>
        <scheme val="minor"/>
      </rPr>
      <t>6)</t>
    </r>
    <r>
      <rPr>
        <sz val="11"/>
        <color theme="1"/>
        <rFont val="Calibri"/>
        <family val="2"/>
        <scheme val="minor"/>
      </rPr>
      <t xml:space="preserve"> TNFAIP8 overexpression is associated with </t>
    </r>
    <r>
      <rPr>
        <b/>
        <sz val="11"/>
        <color theme="1"/>
        <rFont val="Calibri"/>
        <family val="2"/>
        <scheme val="minor"/>
      </rPr>
      <t>cisplatin</t>
    </r>
    <r>
      <rPr>
        <sz val="11"/>
        <color theme="1"/>
        <rFont val="Calibri"/>
        <family val="2"/>
        <scheme val="minor"/>
      </rPr>
      <t xml:space="preserve"> resistance. </t>
    </r>
    <r>
      <rPr>
        <b/>
        <sz val="11"/>
        <color theme="1"/>
        <rFont val="Calibri"/>
        <family val="2"/>
        <scheme val="minor"/>
      </rPr>
      <t xml:space="preserve">7) </t>
    </r>
    <r>
      <rPr>
        <sz val="11"/>
        <color theme="1"/>
        <rFont val="Calibri"/>
        <family val="2"/>
        <scheme val="minor"/>
      </rPr>
      <t xml:space="preserve">depletion of TNFAIP8 impaired </t>
    </r>
    <r>
      <rPr>
        <b/>
        <sz val="11"/>
        <color theme="1"/>
        <rFont val="Calibri"/>
        <family val="2"/>
        <scheme val="minor"/>
      </rPr>
      <t>HeLa</t>
    </r>
    <r>
      <rPr>
        <sz val="11"/>
        <color theme="1"/>
        <rFont val="Calibri"/>
        <family val="2"/>
        <scheme val="minor"/>
      </rPr>
      <t xml:space="preserve"> cell proliferation and viability in vitro, improved cisplatin sensitivity, and promoted cisplatin-induced cellular apoptosis and death. </t>
    </r>
    <r>
      <rPr>
        <b/>
        <sz val="11"/>
        <color theme="1"/>
        <rFont val="Calibri"/>
        <family val="2"/>
        <scheme val="minor"/>
      </rPr>
      <t xml:space="preserve">8) </t>
    </r>
    <r>
      <rPr>
        <sz val="11"/>
        <color theme="1"/>
        <rFont val="Calibri"/>
        <family val="2"/>
        <scheme val="minor"/>
      </rPr>
      <t xml:space="preserve">TNFAIP8 silencing promoted </t>
    </r>
    <r>
      <rPr>
        <b/>
        <sz val="11"/>
        <color theme="1"/>
        <rFont val="Calibri"/>
        <family val="2"/>
        <scheme val="minor"/>
      </rPr>
      <t>caspase-8/-3</t>
    </r>
    <r>
      <rPr>
        <sz val="11"/>
        <color theme="1"/>
        <rFont val="Calibri"/>
        <family val="2"/>
        <scheme val="minor"/>
      </rPr>
      <t xml:space="preserve"> activation and </t>
    </r>
    <r>
      <rPr>
        <b/>
        <sz val="11"/>
        <color theme="1"/>
        <rFont val="Calibri"/>
        <family val="2"/>
        <scheme val="minor"/>
      </rPr>
      <t>p38</t>
    </r>
    <r>
      <rPr>
        <sz val="11"/>
        <color theme="1"/>
        <rFont val="Calibri"/>
        <family val="2"/>
        <scheme val="minor"/>
      </rPr>
      <t xml:space="preserve"> phosphorylation in HeLa cells treated with cisplatin, whereas apoptosis regulator </t>
    </r>
    <r>
      <rPr>
        <b/>
        <sz val="11"/>
        <color theme="1"/>
        <rFont val="Calibri"/>
        <family val="2"/>
        <scheme val="minor"/>
      </rPr>
      <t>Bcl2</t>
    </r>
    <r>
      <rPr>
        <sz val="11"/>
        <color theme="1"/>
        <rFont val="Calibri"/>
        <family val="2"/>
        <scheme val="minor"/>
      </rPr>
      <t xml:space="preserve"> expression was inhibited with TNFAIP8-silenced HeLa cells following treatment with cisplatin. </t>
    </r>
    <r>
      <rPr>
        <b/>
        <sz val="11"/>
        <color theme="1"/>
        <rFont val="Calibri"/>
        <family val="2"/>
        <scheme val="minor"/>
      </rPr>
      <t>9)</t>
    </r>
    <r>
      <rPr>
        <sz val="11"/>
        <color theme="1"/>
        <rFont val="Calibri"/>
        <family val="2"/>
        <scheme val="minor"/>
      </rPr>
      <t xml:space="preserve"> TNFAIP8 serves as an anti-apoptotic protein against cisplatin-induced cell death, which eventually leads to chemotherapeutic drug-treatment failure. </t>
    </r>
    <r>
      <rPr>
        <b/>
        <sz val="11"/>
        <color theme="1"/>
        <rFont val="Calibri"/>
        <family val="2"/>
        <scheme val="minor"/>
      </rPr>
      <t xml:space="preserve">10) </t>
    </r>
    <r>
      <rPr>
        <sz val="11"/>
        <color theme="1"/>
        <rFont val="Calibri"/>
        <family val="2"/>
        <scheme val="minor"/>
      </rPr>
      <t>the extent of decreased TNFAIP8 expression after NACT was positively associated with response to neoadjuvant chemotherapy (NACT) (P = .013).</t>
    </r>
  </si>
  <si>
    <r>
      <rPr>
        <b/>
        <sz val="11"/>
        <color theme="1"/>
        <rFont val="Calibri"/>
        <family val="2"/>
        <scheme val="minor"/>
      </rPr>
      <t>1) TIPE2</t>
    </r>
    <r>
      <rPr>
        <sz val="11"/>
        <color theme="1"/>
        <rFont val="Calibri"/>
        <family val="2"/>
        <scheme val="minor"/>
      </rPr>
      <t xml:space="preserve"> was down-regulated in </t>
    </r>
    <r>
      <rPr>
        <b/>
        <sz val="11"/>
        <color theme="1"/>
        <rFont val="Calibri"/>
        <family val="2"/>
        <scheme val="minor"/>
      </rPr>
      <t>cisplatin</t>
    </r>
    <r>
      <rPr>
        <sz val="11"/>
        <color theme="1"/>
        <rFont val="Calibri"/>
        <family val="2"/>
        <scheme val="minor"/>
      </rPr>
      <t xml:space="preserve"> (DDP)-resistant </t>
    </r>
    <r>
      <rPr>
        <b/>
        <sz val="11"/>
        <color theme="1"/>
        <rFont val="Calibri"/>
        <family val="2"/>
        <scheme val="minor"/>
      </rPr>
      <t>NSCLC</t>
    </r>
    <r>
      <rPr>
        <sz val="11"/>
        <color theme="1"/>
        <rFont val="Calibri"/>
        <family val="2"/>
        <scheme val="minor"/>
      </rPr>
      <t xml:space="preserve"> tissues and DDP-resistant NSCLC cells compared with the sensitive control. </t>
    </r>
    <r>
      <rPr>
        <b/>
        <sz val="11"/>
        <color theme="1"/>
        <rFont val="Calibri"/>
        <family val="2"/>
        <scheme val="minor"/>
      </rPr>
      <t xml:space="preserve">2) </t>
    </r>
    <r>
      <rPr>
        <sz val="11"/>
        <color theme="1"/>
        <rFont val="Calibri"/>
        <family val="2"/>
        <scheme val="minor"/>
      </rPr>
      <t xml:space="preserve">The inhibition of TIPE2 contributed to cell cisplatin-resistance, and the overexpression of TIPE2 enhanced cisplatin sensitivity and autophagy. </t>
    </r>
    <r>
      <rPr>
        <b/>
        <sz val="11"/>
        <color theme="1"/>
        <rFont val="Calibri"/>
        <family val="2"/>
        <scheme val="minor"/>
      </rPr>
      <t>3)</t>
    </r>
    <r>
      <rPr>
        <sz val="11"/>
        <color theme="1"/>
        <rFont val="Calibri"/>
        <family val="2"/>
        <scheme val="minor"/>
      </rPr>
      <t xml:space="preserve"> increased TIPE2 elevated apoptosis in DDP-resistant NSCLC cells. </t>
    </r>
    <r>
      <rPr>
        <b/>
        <sz val="11"/>
        <color theme="1"/>
        <rFont val="Calibri"/>
        <family val="2"/>
        <scheme val="minor"/>
      </rPr>
      <t xml:space="preserve">4) </t>
    </r>
    <r>
      <rPr>
        <sz val="11"/>
        <color theme="1"/>
        <rFont val="Calibri"/>
        <family val="2"/>
        <scheme val="minor"/>
      </rPr>
      <t xml:space="preserve">TIPE2 restored the activity of mTOR signalling. </t>
    </r>
    <r>
      <rPr>
        <b/>
        <sz val="11"/>
        <color theme="1"/>
        <rFont val="Calibri"/>
        <family val="2"/>
        <scheme val="minor"/>
      </rPr>
      <t xml:space="preserve">5) </t>
    </r>
    <r>
      <rPr>
        <sz val="11"/>
        <color theme="1"/>
        <rFont val="Calibri"/>
        <family val="2"/>
        <scheme val="minor"/>
      </rPr>
      <t xml:space="preserve">Preconditioning with the mTOR activator 3BDO abrogated TIPE2-mediated depression in cisplatin-evoked autophagy. </t>
    </r>
    <r>
      <rPr>
        <b/>
        <sz val="11"/>
        <color theme="1"/>
        <rFont val="Calibri"/>
        <family val="2"/>
        <scheme val="minor"/>
      </rPr>
      <t xml:space="preserve">6) </t>
    </r>
    <r>
      <rPr>
        <sz val="11"/>
        <color theme="1"/>
        <rFont val="Calibri"/>
        <family val="2"/>
        <scheme val="minor"/>
      </rPr>
      <t xml:space="preserve">overexpression of </t>
    </r>
    <r>
      <rPr>
        <b/>
        <sz val="11"/>
        <color theme="1"/>
        <rFont val="Calibri"/>
        <family val="2"/>
        <scheme val="minor"/>
      </rPr>
      <t>TIPE2</t>
    </r>
    <r>
      <rPr>
        <sz val="11"/>
        <color theme="1"/>
        <rFont val="Calibri"/>
        <family val="2"/>
        <scheme val="minor"/>
      </rPr>
      <t xml:space="preserve"> effectively inhibited </t>
    </r>
    <r>
      <rPr>
        <b/>
        <sz val="11"/>
        <color theme="1"/>
        <rFont val="Calibri"/>
        <family val="2"/>
        <scheme val="minor"/>
      </rPr>
      <t>MDR1</t>
    </r>
    <r>
      <rPr>
        <sz val="11"/>
        <color theme="1"/>
        <rFont val="Calibri"/>
        <family val="2"/>
        <scheme val="minor"/>
      </rPr>
      <t xml:space="preserve"> expression and greatly sensitized </t>
    </r>
    <r>
      <rPr>
        <b/>
        <sz val="11"/>
        <color theme="1"/>
        <rFont val="Calibri"/>
        <family val="2"/>
        <scheme val="minor"/>
      </rPr>
      <t>osteosarcoma</t>
    </r>
    <r>
      <rPr>
        <sz val="11"/>
        <color theme="1"/>
        <rFont val="Calibri"/>
        <family val="2"/>
        <scheme val="minor"/>
      </rPr>
      <t xml:space="preserve"> cells to </t>
    </r>
    <r>
      <rPr>
        <b/>
        <sz val="11"/>
        <color theme="1"/>
        <rFont val="Calibri"/>
        <family val="2"/>
        <scheme val="minor"/>
      </rPr>
      <t>cisplatin</t>
    </r>
    <r>
      <rPr>
        <sz val="11"/>
        <color theme="1"/>
        <rFont val="Calibri"/>
        <family val="2"/>
        <scheme val="minor"/>
      </rPr>
      <t xml:space="preserve">, both in vivo and in vitro. </t>
    </r>
    <r>
      <rPr>
        <b/>
        <sz val="11"/>
        <color theme="1"/>
        <rFont val="Calibri"/>
        <family val="2"/>
        <scheme val="minor"/>
      </rPr>
      <t>7) TIPE2</t>
    </r>
    <r>
      <rPr>
        <sz val="11"/>
        <color theme="1"/>
        <rFont val="Calibri"/>
        <family val="2"/>
        <scheme val="minor"/>
      </rPr>
      <t xml:space="preserve"> inhibited the transcription of the </t>
    </r>
    <r>
      <rPr>
        <b/>
        <sz val="11"/>
        <color theme="1"/>
        <rFont val="Calibri"/>
        <family val="2"/>
        <scheme val="minor"/>
      </rPr>
      <t>MDR1</t>
    </r>
    <r>
      <rPr>
        <sz val="11"/>
        <color theme="1"/>
        <rFont val="Calibri"/>
        <family val="2"/>
        <scheme val="minor"/>
      </rPr>
      <t xml:space="preserve"> promoter by interfering with the </t>
    </r>
    <r>
      <rPr>
        <b/>
        <sz val="11"/>
        <color theme="1"/>
        <rFont val="Calibri"/>
        <family val="2"/>
        <scheme val="minor"/>
      </rPr>
      <t>TAK1-NF-κB</t>
    </r>
    <r>
      <rPr>
        <sz val="11"/>
        <color theme="1"/>
        <rFont val="Calibri"/>
        <family val="2"/>
        <scheme val="minor"/>
      </rPr>
      <t xml:space="preserve"> and -</t>
    </r>
    <r>
      <rPr>
        <b/>
        <sz val="11"/>
        <color theme="1"/>
        <rFont val="Calibri"/>
        <family val="2"/>
        <scheme val="minor"/>
      </rPr>
      <t>AP-1</t>
    </r>
    <r>
      <rPr>
        <sz val="11"/>
        <color theme="1"/>
        <rFont val="Calibri"/>
        <family val="2"/>
        <scheme val="minor"/>
      </rPr>
      <t xml:space="preserve"> pathways. </t>
    </r>
  </si>
  <si>
    <r>
      <rPr>
        <b/>
        <sz val="11"/>
        <color theme="1"/>
        <rFont val="Calibri"/>
        <family val="2"/>
        <scheme val="minor"/>
      </rPr>
      <t xml:space="preserve">1) </t>
    </r>
    <r>
      <rPr>
        <sz val="11"/>
        <color theme="1"/>
        <rFont val="Calibri"/>
        <family val="2"/>
        <scheme val="minor"/>
      </rPr>
      <t xml:space="preserve">Azacitidine enhanced the sensitivity of platinum-resistant </t>
    </r>
    <r>
      <rPr>
        <b/>
        <sz val="11"/>
        <color theme="1"/>
        <rFont val="Calibri"/>
        <family val="2"/>
        <scheme val="minor"/>
      </rPr>
      <t>ovarian</t>
    </r>
    <r>
      <rPr>
        <sz val="11"/>
        <color theme="1"/>
        <rFont val="Calibri"/>
        <family val="2"/>
        <scheme val="minor"/>
      </rPr>
      <t xml:space="preserve"> cancer cells to </t>
    </r>
    <r>
      <rPr>
        <b/>
        <sz val="11"/>
        <color theme="1"/>
        <rFont val="Calibri"/>
        <family val="2"/>
        <scheme val="minor"/>
      </rPr>
      <t>carboplatin</t>
    </r>
    <r>
      <rPr>
        <sz val="11"/>
        <color theme="1"/>
        <rFont val="Calibri"/>
        <family val="2"/>
        <scheme val="minor"/>
      </rPr>
      <t xml:space="preserve"> associated with caspase-3- and -8-dependent apoptosis pathway and reexpression of </t>
    </r>
    <r>
      <rPr>
        <b/>
        <sz val="11"/>
        <color theme="1"/>
        <rFont val="Calibri"/>
        <family val="2"/>
        <scheme val="minor"/>
      </rPr>
      <t>DR4</t>
    </r>
    <r>
      <rPr>
        <sz val="11"/>
        <color theme="1"/>
        <rFont val="Calibri"/>
        <family val="2"/>
        <scheme val="minor"/>
      </rPr>
      <t xml:space="preserve">. </t>
    </r>
    <r>
      <rPr>
        <b/>
        <sz val="11"/>
        <color theme="1"/>
        <rFont val="Calibri"/>
        <family val="2"/>
        <scheme val="minor"/>
      </rPr>
      <t>2)</t>
    </r>
    <r>
      <rPr>
        <sz val="11"/>
        <color theme="1"/>
        <rFont val="Calibri"/>
        <family val="2"/>
        <scheme val="minor"/>
      </rPr>
      <t xml:space="preserve"> 30 patients: </t>
    </r>
    <r>
      <rPr>
        <b/>
        <sz val="11"/>
        <color theme="1"/>
        <rFont val="Calibri"/>
        <family val="2"/>
        <scheme val="minor"/>
      </rPr>
      <t>DR4</t>
    </r>
    <r>
      <rPr>
        <sz val="11"/>
        <color theme="1"/>
        <rFont val="Calibri"/>
        <family val="2"/>
        <scheme val="minor"/>
      </rPr>
      <t xml:space="preserve"> methylation in peripheral blood leukocytes was decreased during treatment in 3 of 4 objective responders (to </t>
    </r>
    <r>
      <rPr>
        <b/>
        <sz val="11"/>
        <color theme="1"/>
        <rFont val="Calibri"/>
        <family val="2"/>
        <scheme val="minor"/>
      </rPr>
      <t>platinum</t>
    </r>
    <r>
      <rPr>
        <sz val="11"/>
        <color theme="1"/>
        <rFont val="Calibri"/>
        <family val="2"/>
        <scheme val="minor"/>
      </rPr>
      <t xml:space="preserve">) (75%), but in only 5 of 13 nonresponders (38%). </t>
    </r>
    <r>
      <rPr>
        <b/>
        <sz val="11"/>
        <color theme="1"/>
        <rFont val="Calibri"/>
        <family val="2"/>
        <scheme val="minor"/>
      </rPr>
      <t>3) cisplatin</t>
    </r>
    <r>
      <rPr>
        <sz val="11"/>
        <color theme="1"/>
        <rFont val="Calibri"/>
        <family val="2"/>
        <scheme val="minor"/>
      </rPr>
      <t xml:space="preserve">-resistant cell lines displayed a marked increase in sensitivity to death receptor-induced apoptosis, in particular </t>
    </r>
    <r>
      <rPr>
        <b/>
        <sz val="11"/>
        <color theme="1"/>
        <rFont val="Calibri"/>
        <family val="2"/>
        <scheme val="minor"/>
      </rPr>
      <t>TRAIL</t>
    </r>
    <r>
      <rPr>
        <sz val="11"/>
        <color theme="1"/>
        <rFont val="Calibri"/>
        <family val="2"/>
        <scheme val="minor"/>
      </rPr>
      <t xml:space="preserve">-mediated execution. </t>
    </r>
    <r>
      <rPr>
        <b/>
        <sz val="11"/>
        <color theme="1"/>
        <rFont val="Calibri"/>
        <family val="2"/>
        <scheme val="minor"/>
      </rPr>
      <t>4)</t>
    </r>
    <r>
      <rPr>
        <sz val="11"/>
        <color theme="1"/>
        <rFont val="Calibri"/>
        <family val="2"/>
        <scheme val="minor"/>
      </rPr>
      <t xml:space="preserve"> a significant increase in the localization of TRAIL death receptor, </t>
    </r>
    <r>
      <rPr>
        <b/>
        <sz val="11"/>
        <color theme="1"/>
        <rFont val="Calibri"/>
        <family val="2"/>
        <scheme val="minor"/>
      </rPr>
      <t>DR4</t>
    </r>
    <r>
      <rPr>
        <sz val="11"/>
        <color theme="1"/>
        <rFont val="Calibri"/>
        <family val="2"/>
        <scheme val="minor"/>
      </rPr>
      <t>, to the lipid raft subdomains of plasma membrane was detected in the resistant variants; exposure of cisplatin-resistant cells to TRAIL resulted in upregulation of inducible nitric oxide synthase (</t>
    </r>
    <r>
      <rPr>
        <b/>
        <sz val="11"/>
        <color theme="1"/>
        <rFont val="Calibri"/>
        <family val="2"/>
        <scheme val="minor"/>
      </rPr>
      <t>iNOS</t>
    </r>
    <r>
      <rPr>
        <sz val="11"/>
        <color theme="1"/>
        <rFont val="Calibri"/>
        <family val="2"/>
        <scheme val="minor"/>
      </rPr>
      <t xml:space="preserve">) and increase in nitric oxide (NO) production that triggered the generation of peroxynitrite (ONOO(-)). </t>
    </r>
    <r>
      <rPr>
        <b/>
        <sz val="11"/>
        <color theme="1"/>
        <rFont val="Calibri"/>
        <family val="2"/>
        <scheme val="minor"/>
      </rPr>
      <t>5)</t>
    </r>
    <r>
      <rPr>
        <sz val="11"/>
        <color theme="1"/>
        <rFont val="Calibri"/>
        <family val="2"/>
        <scheme val="minor"/>
      </rPr>
      <t xml:space="preserve"> Scavenging ONOO(-) rescued cells from TRAIL-induced apoptosis, thereby suggesting a critical role of ONOO(-) in TRAIL-induced execution of </t>
    </r>
    <r>
      <rPr>
        <b/>
        <sz val="11"/>
        <color theme="1"/>
        <rFont val="Calibri"/>
        <family val="2"/>
        <scheme val="minor"/>
      </rPr>
      <t>cisplatin</t>
    </r>
    <r>
      <rPr>
        <sz val="11"/>
        <color theme="1"/>
        <rFont val="Calibri"/>
        <family val="2"/>
        <scheme val="minor"/>
      </rPr>
      <t xml:space="preserve">-resistant cells. Notably, preincubation of cells with TRAIL restored sensitivity of resistant cells to </t>
    </r>
    <r>
      <rPr>
        <b/>
        <sz val="11"/>
        <color theme="1"/>
        <rFont val="Calibri"/>
        <family val="2"/>
        <scheme val="minor"/>
      </rPr>
      <t>cisplatin</t>
    </r>
    <r>
      <rPr>
        <sz val="11"/>
        <color theme="1"/>
        <rFont val="Calibri"/>
        <family val="2"/>
        <scheme val="minor"/>
      </rPr>
      <t xml:space="preserve">. </t>
    </r>
  </si>
  <si>
    <r>
      <rPr>
        <b/>
        <sz val="11"/>
        <color theme="1"/>
        <rFont val="Calibri"/>
        <family val="2"/>
        <scheme val="minor"/>
      </rPr>
      <t xml:space="preserve">1) </t>
    </r>
    <r>
      <rPr>
        <sz val="11"/>
        <color theme="1"/>
        <rFont val="Calibri"/>
        <family val="2"/>
        <scheme val="minor"/>
      </rPr>
      <t>joint presence of TRAILR2 (</t>
    </r>
    <r>
      <rPr>
        <b/>
        <sz val="11"/>
        <color theme="1"/>
        <rFont val="Calibri"/>
        <family val="2"/>
        <scheme val="minor"/>
      </rPr>
      <t>DR5</t>
    </r>
    <r>
      <rPr>
        <sz val="11"/>
        <color theme="1"/>
        <rFont val="Calibri"/>
        <family val="2"/>
        <scheme val="minor"/>
      </rPr>
      <t xml:space="preserve">) agonistic antibody (AD5-10) with TRAIL and natural killer (NK) cells expressing TRAIL resensitizes </t>
    </r>
    <r>
      <rPr>
        <b/>
        <sz val="11"/>
        <color theme="1"/>
        <rFont val="Calibri"/>
        <family val="2"/>
        <scheme val="minor"/>
      </rPr>
      <t>ovarian</t>
    </r>
    <r>
      <rPr>
        <sz val="11"/>
        <color theme="1"/>
        <rFont val="Calibri"/>
        <family val="2"/>
        <scheme val="minor"/>
      </rPr>
      <t xml:space="preserve"> cancer cells to apoptosis in vitro and </t>
    </r>
    <r>
      <rPr>
        <b/>
        <sz val="11"/>
        <color theme="1"/>
        <rFont val="Calibri"/>
        <family val="2"/>
        <scheme val="minor"/>
      </rPr>
      <t>2)</t>
    </r>
    <r>
      <rPr>
        <sz val="11"/>
        <color theme="1"/>
        <rFont val="Calibri"/>
        <family val="2"/>
        <scheme val="minor"/>
      </rPr>
      <t xml:space="preserve"> in vivo, respectively.</t>
    </r>
    <r>
      <rPr>
        <b/>
        <sz val="11"/>
        <color theme="1"/>
        <rFont val="Calibri"/>
        <family val="2"/>
        <scheme val="minor"/>
      </rPr>
      <t xml:space="preserve"> 3) </t>
    </r>
    <r>
      <rPr>
        <sz val="11"/>
        <color theme="1"/>
        <rFont val="Calibri"/>
        <family val="2"/>
        <scheme val="minor"/>
      </rPr>
      <t xml:space="preserve">The combination of AD5-10 with </t>
    </r>
    <r>
      <rPr>
        <b/>
        <sz val="11"/>
        <color theme="1"/>
        <rFont val="Calibri"/>
        <family val="2"/>
        <scheme val="minor"/>
      </rPr>
      <t>carboplatin</t>
    </r>
    <r>
      <rPr>
        <sz val="11"/>
        <color theme="1"/>
        <rFont val="Calibri"/>
        <family val="2"/>
        <scheme val="minor"/>
      </rPr>
      <t xml:space="preserve"> exerts a more than additive effect in vitro, which may at least partially be explained by the fact that </t>
    </r>
    <r>
      <rPr>
        <b/>
        <sz val="11"/>
        <color theme="1"/>
        <rFont val="Calibri"/>
        <family val="2"/>
        <scheme val="minor"/>
      </rPr>
      <t>carboplatin triggers DR5 expression</t>
    </r>
    <r>
      <rPr>
        <sz val="11"/>
        <color theme="1"/>
        <rFont val="Calibri"/>
        <family val="2"/>
        <scheme val="minor"/>
      </rPr>
      <t xml:space="preserve"> on ovarian cancer cells. </t>
    </r>
    <r>
      <rPr>
        <b/>
        <sz val="11"/>
        <color theme="1"/>
        <rFont val="Calibri"/>
        <family val="2"/>
        <scheme val="minor"/>
      </rPr>
      <t xml:space="preserve">4) </t>
    </r>
    <r>
      <rPr>
        <sz val="11"/>
        <color theme="1"/>
        <rFont val="Calibri"/>
        <family val="2"/>
        <scheme val="minor"/>
      </rPr>
      <t xml:space="preserve">AD5-10 restores the sensitivity of platin-resistant ovarian cancer to carboplatin in vivo. </t>
    </r>
    <r>
      <rPr>
        <b/>
        <sz val="11"/>
        <color theme="1"/>
        <rFont val="Calibri"/>
        <family val="2"/>
        <scheme val="minor"/>
      </rPr>
      <t xml:space="preserve">5) </t>
    </r>
    <r>
      <rPr>
        <sz val="11"/>
        <color theme="1"/>
        <rFont val="Calibri"/>
        <family val="2"/>
        <scheme val="minor"/>
      </rPr>
      <t xml:space="preserve">TRAIL expression and NK cells are abundant in the tumor microenvironment and that depletion of NK cells abolishes the antitumor activity of AD5-10. </t>
    </r>
    <r>
      <rPr>
        <b/>
        <sz val="11"/>
        <color theme="1"/>
        <rFont val="Calibri"/>
        <family val="2"/>
        <scheme val="minor"/>
      </rPr>
      <t>6)</t>
    </r>
    <r>
      <rPr>
        <sz val="11"/>
        <color theme="1"/>
        <rFont val="Calibri"/>
        <family val="2"/>
        <scheme val="minor"/>
      </rPr>
      <t xml:space="preserve"> NK-mediated immunosurveillance against ovarian cancer might be mediated by TRAIL. </t>
    </r>
    <r>
      <rPr>
        <b/>
        <sz val="11"/>
        <color theme="1"/>
        <rFont val="Calibri"/>
        <family val="2"/>
        <scheme val="minor"/>
      </rPr>
      <t>7)</t>
    </r>
    <r>
      <rPr>
        <sz val="11"/>
        <color theme="1"/>
        <rFont val="Calibri"/>
        <family val="2"/>
        <scheme val="minor"/>
      </rPr>
      <t xml:space="preserve"> 34 chemotherapy naïve patients with advanced </t>
    </r>
    <r>
      <rPr>
        <b/>
        <sz val="11"/>
        <color theme="1"/>
        <rFont val="Calibri"/>
        <family val="2"/>
        <scheme val="minor"/>
      </rPr>
      <t>NSCLC:</t>
    </r>
    <r>
      <rPr>
        <sz val="11"/>
        <color theme="1"/>
        <rFont val="Calibri"/>
        <family val="2"/>
        <scheme val="minor"/>
      </rPr>
      <t xml:space="preserve">  the response rate was significantly higher in patients with </t>
    </r>
    <r>
      <rPr>
        <b/>
        <sz val="11"/>
        <color theme="1"/>
        <rFont val="Calibri"/>
        <family val="2"/>
        <scheme val="minor"/>
      </rPr>
      <t xml:space="preserve">DR5 </t>
    </r>
    <r>
      <rPr>
        <sz val="11"/>
        <color theme="1"/>
        <rFont val="Calibri"/>
        <family val="2"/>
        <scheme val="minor"/>
      </rPr>
      <t xml:space="preserve">expression than those without </t>
    </r>
    <r>
      <rPr>
        <b/>
        <sz val="11"/>
        <color theme="1"/>
        <rFont val="Calibri"/>
        <family val="2"/>
        <scheme val="minor"/>
      </rPr>
      <t xml:space="preserve">DR5 </t>
    </r>
    <r>
      <rPr>
        <sz val="11"/>
        <color theme="1"/>
        <rFont val="Calibri"/>
        <family val="2"/>
        <scheme val="minor"/>
      </rPr>
      <t xml:space="preserve">expression (91% vs 39%; p = 0.008). </t>
    </r>
    <r>
      <rPr>
        <b/>
        <sz val="11"/>
        <color theme="1"/>
        <rFont val="Calibri"/>
        <family val="2"/>
        <scheme val="minor"/>
      </rPr>
      <t xml:space="preserve">8) </t>
    </r>
    <r>
      <rPr>
        <sz val="11"/>
        <color theme="1"/>
        <rFont val="Calibri"/>
        <family val="2"/>
        <scheme val="minor"/>
      </rPr>
      <t xml:space="preserve">Patients with Bcl-2 expression were apparently less responsive than those without Bcl-2 expression (21% vs 80%; p = 0.001). </t>
    </r>
  </si>
  <si>
    <r>
      <rPr>
        <b/>
        <sz val="11"/>
        <color theme="1"/>
        <rFont val="Calibri"/>
        <family val="2"/>
        <scheme val="minor"/>
      </rPr>
      <t>1) Fn14</t>
    </r>
    <r>
      <rPr>
        <sz val="11"/>
        <color theme="1"/>
        <rFont val="Calibri"/>
        <family val="2"/>
        <scheme val="minor"/>
      </rPr>
      <t xml:space="preserve"> was significantly downregulated in patients with </t>
    </r>
    <r>
      <rPr>
        <b/>
        <sz val="11"/>
        <color theme="1"/>
        <rFont val="Calibri"/>
        <family val="2"/>
        <scheme val="minor"/>
      </rPr>
      <t>cisplatin</t>
    </r>
    <r>
      <rPr>
        <sz val="11"/>
        <color theme="1"/>
        <rFont val="Calibri"/>
        <family val="2"/>
        <scheme val="minor"/>
      </rPr>
      <t xml:space="preserve"> resistance. </t>
    </r>
    <r>
      <rPr>
        <b/>
        <sz val="11"/>
        <color theme="1"/>
        <rFont val="Calibri"/>
        <family val="2"/>
        <scheme val="minor"/>
      </rPr>
      <t xml:space="preserve">2) </t>
    </r>
    <r>
      <rPr>
        <sz val="11"/>
        <color theme="1"/>
        <rFont val="Calibri"/>
        <family val="2"/>
        <scheme val="minor"/>
      </rPr>
      <t xml:space="preserve">Patients with low Fn14 expression were associated with shorter progression-free survival and overall survival. </t>
    </r>
    <r>
      <rPr>
        <b/>
        <sz val="11"/>
        <color theme="1"/>
        <rFont val="Calibri"/>
        <family val="2"/>
        <scheme val="minor"/>
      </rPr>
      <t xml:space="preserve">3) </t>
    </r>
    <r>
      <rPr>
        <sz val="11"/>
        <color theme="1"/>
        <rFont val="Calibri"/>
        <family val="2"/>
        <scheme val="minor"/>
      </rPr>
      <t xml:space="preserve">Overexpression of Fn14 suppressed cisplatin resistance in </t>
    </r>
    <r>
      <rPr>
        <b/>
        <sz val="11"/>
        <color theme="1"/>
        <rFont val="Calibri"/>
        <family val="2"/>
        <scheme val="minor"/>
      </rPr>
      <t>OVCAR-3</t>
    </r>
    <r>
      <rPr>
        <sz val="11"/>
        <color theme="1"/>
        <rFont val="Calibri"/>
        <family val="2"/>
        <scheme val="minor"/>
      </rPr>
      <t xml:space="preserve"> cells, whereas knockdown of Fn14 did not affect cisplatin resistance in </t>
    </r>
    <r>
      <rPr>
        <b/>
        <sz val="11"/>
        <color theme="1"/>
        <rFont val="Calibri"/>
        <family val="2"/>
        <scheme val="minor"/>
      </rPr>
      <t>SKOV-3</t>
    </r>
    <r>
      <rPr>
        <sz val="11"/>
        <color theme="1"/>
        <rFont val="Calibri"/>
        <family val="2"/>
        <scheme val="minor"/>
      </rPr>
      <t xml:space="preserve"> cells. </t>
    </r>
    <r>
      <rPr>
        <b/>
        <sz val="11"/>
        <color theme="1"/>
        <rFont val="Calibri"/>
        <family val="2"/>
        <scheme val="minor"/>
      </rPr>
      <t>4)</t>
    </r>
    <r>
      <rPr>
        <sz val="11"/>
        <color theme="1"/>
        <rFont val="Calibri"/>
        <family val="2"/>
        <scheme val="minor"/>
      </rPr>
      <t xml:space="preserve"> Fn14 could exert anti-chemoresistance effect only in OVCAR-3 cells harboring a p53-R248Q mutation, but not in SKOV-3 cells with a p53-null mutation. </t>
    </r>
    <r>
      <rPr>
        <b/>
        <sz val="11"/>
        <color theme="1"/>
        <rFont val="Calibri"/>
        <family val="2"/>
        <scheme val="minor"/>
      </rPr>
      <t>5)</t>
    </r>
    <r>
      <rPr>
        <sz val="11"/>
        <color theme="1"/>
        <rFont val="Calibri"/>
        <family val="2"/>
        <scheme val="minor"/>
      </rPr>
      <t xml:space="preserve"> In primary cells from two patients with the p53-R248Q mutation from </t>
    </r>
    <r>
      <rPr>
        <b/>
        <sz val="11"/>
        <color theme="1"/>
        <rFont val="Calibri"/>
        <family val="2"/>
        <scheme val="minor"/>
      </rPr>
      <t>HGSOC</t>
    </r>
    <r>
      <rPr>
        <sz val="11"/>
        <color theme="1"/>
        <rFont val="Calibri"/>
        <family val="2"/>
        <scheme val="minor"/>
      </rPr>
      <t xml:space="preserve"> patients and the anti-chemoresistance effect of Fn14 was observed in both primary cells. </t>
    </r>
    <r>
      <rPr>
        <b/>
        <sz val="11"/>
        <color theme="1"/>
        <rFont val="Calibri"/>
        <family val="2"/>
        <scheme val="minor"/>
      </rPr>
      <t>6)</t>
    </r>
    <r>
      <rPr>
        <sz val="11"/>
        <color theme="1"/>
        <rFont val="Calibri"/>
        <family val="2"/>
        <scheme val="minor"/>
      </rPr>
      <t xml:space="preserve"> overexpression of Fn14 could reduce the formation of a </t>
    </r>
    <r>
      <rPr>
        <b/>
        <sz val="11"/>
        <color theme="1"/>
        <rFont val="Calibri"/>
        <family val="2"/>
        <scheme val="minor"/>
      </rPr>
      <t>Mdm2-p53-R248Q-Hsp90</t>
    </r>
    <r>
      <rPr>
        <sz val="11"/>
        <color theme="1"/>
        <rFont val="Calibri"/>
        <family val="2"/>
        <scheme val="minor"/>
      </rPr>
      <t xml:space="preserve"> complex by downregulating </t>
    </r>
    <r>
      <rPr>
        <b/>
        <sz val="11"/>
        <color theme="1"/>
        <rFont val="Calibri"/>
        <family val="2"/>
        <scheme val="minor"/>
      </rPr>
      <t>Hsp90</t>
    </r>
    <r>
      <rPr>
        <sz val="11"/>
        <color theme="1"/>
        <rFont val="Calibri"/>
        <family val="2"/>
        <scheme val="minor"/>
      </rPr>
      <t xml:space="preserve"> expression, indicating that degradation of p53-R248Q was accelerated via Mdm2-mediated ubiquitin-proteasomal pathway.</t>
    </r>
  </si>
  <si>
    <r>
      <rPr>
        <b/>
        <sz val="11"/>
        <color theme="1"/>
        <rFont val="Calibri"/>
        <family val="2"/>
        <scheme val="minor"/>
      </rPr>
      <t xml:space="preserve">1) </t>
    </r>
    <r>
      <rPr>
        <sz val="11"/>
        <color theme="1"/>
        <rFont val="Calibri"/>
        <family val="2"/>
        <scheme val="minor"/>
      </rPr>
      <t xml:space="preserve">The majority of the chemoresistant cells were also resistant to TRAIL alone. </t>
    </r>
    <r>
      <rPr>
        <b/>
        <sz val="11"/>
        <color theme="1"/>
        <rFont val="Calibri"/>
        <family val="2"/>
        <scheme val="minor"/>
      </rPr>
      <t xml:space="preserve">2) </t>
    </r>
    <r>
      <rPr>
        <sz val="11"/>
        <color theme="1"/>
        <rFont val="Calibri"/>
        <family val="2"/>
        <scheme val="minor"/>
      </rPr>
      <t xml:space="preserve">the combination of TRAIL and chemotherapy resulted in a significant growth inhibition over a wide range of concentrations. </t>
    </r>
    <r>
      <rPr>
        <b/>
        <sz val="11"/>
        <color theme="1"/>
        <rFont val="Calibri"/>
        <family val="2"/>
        <scheme val="minor"/>
      </rPr>
      <t xml:space="preserve">3) </t>
    </r>
    <r>
      <rPr>
        <sz val="11"/>
        <color theme="1"/>
        <rFont val="Calibri"/>
        <family val="2"/>
        <scheme val="minor"/>
      </rPr>
      <t xml:space="preserve">This interaction was synergistic by dose-effect analysis. Flow cytometry demonstrated a significant increase in the fraction of apoptotic cells by the combination compared to each reagent alone. </t>
    </r>
    <r>
      <rPr>
        <b/>
        <sz val="11"/>
        <color theme="1"/>
        <rFont val="Calibri"/>
        <family val="2"/>
        <scheme val="minor"/>
      </rPr>
      <t xml:space="preserve">4) </t>
    </r>
    <r>
      <rPr>
        <sz val="11"/>
        <color theme="1"/>
        <rFont val="Calibri"/>
        <family val="2"/>
        <scheme val="minor"/>
      </rPr>
      <t xml:space="preserve">A significant enhancement in caspase and PARP cleavage was observed upon treatment with the combination. Finally, no correlation between induction of apoptosis and level of death receptors was found. </t>
    </r>
    <r>
      <rPr>
        <b/>
        <sz val="11"/>
        <color theme="1"/>
        <rFont val="Calibri"/>
        <family val="2"/>
        <scheme val="minor"/>
      </rPr>
      <t>5)</t>
    </r>
    <r>
      <rPr>
        <sz val="11"/>
        <color theme="1"/>
        <rFont val="Calibri"/>
        <family val="2"/>
        <scheme val="minor"/>
      </rPr>
      <t xml:space="preserve"> The prosurvival activity of ascites against TRAIL is associated with shorter disease-free interval, which may be explained, at least in part, by ascites-induced </t>
    </r>
    <r>
      <rPr>
        <b/>
        <sz val="11"/>
        <color theme="1"/>
        <rFont val="Calibri"/>
        <family val="2"/>
        <scheme val="minor"/>
      </rPr>
      <t>cisplatin</t>
    </r>
    <r>
      <rPr>
        <sz val="11"/>
        <color theme="1"/>
        <rFont val="Calibri"/>
        <family val="2"/>
        <scheme val="minor"/>
      </rPr>
      <t xml:space="preserve">/paclitaxel resistance. </t>
    </r>
    <r>
      <rPr>
        <b/>
        <sz val="11"/>
        <color theme="1"/>
        <rFont val="Calibri"/>
        <family val="2"/>
        <scheme val="minor"/>
      </rPr>
      <t>6)</t>
    </r>
    <r>
      <rPr>
        <sz val="11"/>
        <color theme="1"/>
        <rFont val="Calibri"/>
        <family val="2"/>
        <scheme val="minor"/>
      </rPr>
      <t xml:space="preserve"> Treatment with </t>
    </r>
    <r>
      <rPr>
        <b/>
        <sz val="11"/>
        <color theme="1"/>
        <rFont val="Calibri"/>
        <family val="2"/>
        <scheme val="minor"/>
      </rPr>
      <t>cisplatin</t>
    </r>
    <r>
      <rPr>
        <sz val="11"/>
        <color theme="1"/>
        <rFont val="Calibri"/>
        <family val="2"/>
        <scheme val="minor"/>
      </rPr>
      <t xml:space="preserve"> in </t>
    </r>
    <r>
      <rPr>
        <b/>
        <sz val="11"/>
        <color theme="1"/>
        <rFont val="Calibri"/>
        <family val="2"/>
        <scheme val="minor"/>
      </rPr>
      <t>Glioblastoma</t>
    </r>
    <r>
      <rPr>
        <sz val="11"/>
        <color theme="1"/>
        <rFont val="Calibri"/>
        <family val="2"/>
        <scheme val="minor"/>
      </rPr>
      <t xml:space="preserve">-derived stem cells leads to the upregulation of </t>
    </r>
    <r>
      <rPr>
        <b/>
        <sz val="11"/>
        <color theme="1"/>
        <rFont val="Calibri"/>
        <family val="2"/>
        <scheme val="minor"/>
      </rPr>
      <t>DR5</t>
    </r>
    <r>
      <rPr>
        <sz val="11"/>
        <color theme="1"/>
        <rFont val="Calibri"/>
        <family val="2"/>
        <scheme val="minor"/>
      </rPr>
      <t xml:space="preserve"> and downregulation of </t>
    </r>
    <r>
      <rPr>
        <b/>
        <sz val="11"/>
        <color theme="1"/>
        <rFont val="Calibri"/>
        <family val="2"/>
        <scheme val="minor"/>
      </rPr>
      <t>c-FLIP</t>
    </r>
    <r>
      <rPr>
        <sz val="11"/>
        <color theme="1"/>
        <rFont val="Calibri"/>
        <family val="2"/>
        <scheme val="minor"/>
      </rPr>
      <t xml:space="preserve"> and restores TRAIL apoptotic pathway in the neurospheres. </t>
    </r>
  </si>
  <si>
    <r>
      <rPr>
        <b/>
        <sz val="11"/>
        <color theme="1"/>
        <rFont val="Calibri"/>
        <family val="2"/>
        <scheme val="minor"/>
      </rPr>
      <t xml:space="preserve">1) </t>
    </r>
    <r>
      <rPr>
        <sz val="11"/>
        <color theme="1"/>
        <rFont val="Calibri"/>
        <family val="2"/>
        <scheme val="minor"/>
      </rPr>
      <t xml:space="preserve">TOP2A mRNA was detected by RNA in situ hybridization in all ovarian cancer samples, with stronger hybridization signals in tumor epithelial cells compared to adjacent stromal cells. </t>
    </r>
    <r>
      <rPr>
        <b/>
        <sz val="11"/>
        <color theme="1"/>
        <rFont val="Calibri"/>
        <family val="2"/>
        <scheme val="minor"/>
      </rPr>
      <t>2)</t>
    </r>
    <r>
      <rPr>
        <sz val="11"/>
        <color theme="1"/>
        <rFont val="Calibri"/>
        <family val="2"/>
        <scheme val="minor"/>
      </rPr>
      <t xml:space="preserve"> The same expression pattern was found by immunohistochemistry (P = .0001). </t>
    </r>
    <r>
      <rPr>
        <b/>
        <sz val="11"/>
        <color theme="1"/>
        <rFont val="Calibri"/>
        <family val="2"/>
        <scheme val="minor"/>
      </rPr>
      <t>3)</t>
    </r>
    <r>
      <rPr>
        <sz val="11"/>
        <color theme="1"/>
        <rFont val="Calibri"/>
        <family val="2"/>
        <scheme val="minor"/>
      </rPr>
      <t xml:space="preserve"> specific change was found in recurrent ovarian cancer after platinum-based chemotherapy: TOP2A expression decreased in tumor epithelial cells of recurrent ovarian cancer compared to primary ovarian cancer (P = .056),</t>
    </r>
    <r>
      <rPr>
        <b/>
        <sz val="11"/>
        <color theme="1"/>
        <rFont val="Calibri"/>
        <family val="2"/>
        <scheme val="minor"/>
      </rPr>
      <t xml:space="preserve"> 4) </t>
    </r>
    <r>
      <rPr>
        <sz val="11"/>
        <color theme="1"/>
        <rFont val="Calibri"/>
        <family val="2"/>
        <scheme val="minor"/>
      </rPr>
      <t xml:space="preserve">it increased in tumor-adjacent stromal cells in carboplatin-treated recurrent tumors compared to primary ovarian cancer (P = .023). </t>
    </r>
    <r>
      <rPr>
        <b/>
        <sz val="11"/>
        <color theme="1"/>
        <rFont val="Calibri"/>
        <family val="2"/>
        <scheme val="minor"/>
      </rPr>
      <t xml:space="preserve">5) </t>
    </r>
    <r>
      <rPr>
        <sz val="11"/>
        <color theme="1"/>
        <rFont val="Calibri"/>
        <family val="2"/>
        <scheme val="minor"/>
      </rPr>
      <t xml:space="preserve">Novobiocin, a commercially available oral antibiotic, inhibits </t>
    </r>
    <r>
      <rPr>
        <b/>
        <sz val="11"/>
        <color theme="1"/>
        <rFont val="Calibri"/>
        <family val="2"/>
        <scheme val="minor"/>
      </rPr>
      <t xml:space="preserve">DNA topoisomerase II </t>
    </r>
    <r>
      <rPr>
        <sz val="11"/>
        <color theme="1"/>
        <rFont val="Calibri"/>
        <family val="2"/>
        <scheme val="minor"/>
      </rPr>
      <t xml:space="preserve">in a manner shown in cell culture to enhance the cytotoxicity of alkylating agents and </t>
    </r>
    <r>
      <rPr>
        <b/>
        <sz val="11"/>
        <color theme="1"/>
        <rFont val="Calibri"/>
        <family val="2"/>
        <scheme val="minor"/>
      </rPr>
      <t>cisplatin</t>
    </r>
    <r>
      <rPr>
        <sz val="11"/>
        <color theme="1"/>
        <rFont val="Calibri"/>
        <family val="2"/>
        <scheme val="minor"/>
      </rPr>
      <t xml:space="preserve">. </t>
    </r>
    <r>
      <rPr>
        <b/>
        <sz val="11"/>
        <color theme="1"/>
        <rFont val="Calibri"/>
        <family val="2"/>
        <scheme val="minor"/>
      </rPr>
      <t>6)</t>
    </r>
    <r>
      <rPr>
        <sz val="11"/>
        <color theme="1"/>
        <rFont val="Calibri"/>
        <family val="2"/>
        <scheme val="minor"/>
      </rPr>
      <t xml:space="preserve"> GLC4/cDDP is the cisplatin-resistant subline, which displays increased Topo II activity. </t>
    </r>
  </si>
  <si>
    <r>
      <rPr>
        <b/>
        <sz val="11"/>
        <color theme="1"/>
        <rFont val="Calibri"/>
        <family val="2"/>
        <scheme val="minor"/>
      </rPr>
      <t>1)</t>
    </r>
    <r>
      <rPr>
        <sz val="11"/>
        <color theme="1"/>
        <rFont val="Calibri"/>
        <family val="2"/>
        <scheme val="minor"/>
      </rPr>
      <t xml:space="preserve"> 18 proteins' abundances were increased in all chemoresistance cells for more than 2-fold, 13 of which were identified by mass spectrometry. Compared with the parental </t>
    </r>
    <r>
      <rPr>
        <b/>
        <sz val="11"/>
        <color theme="1"/>
        <rFont val="Calibri"/>
        <family val="2"/>
        <scheme val="minor"/>
      </rPr>
      <t>gastric</t>
    </r>
    <r>
      <rPr>
        <sz val="11"/>
        <color theme="1"/>
        <rFont val="Calibri"/>
        <family val="2"/>
        <scheme val="minor"/>
      </rPr>
      <t xml:space="preserve"> cancer cell MGC-803, SLMAP, </t>
    </r>
    <r>
      <rPr>
        <b/>
        <sz val="11"/>
        <color theme="1"/>
        <rFont val="Calibri"/>
        <family val="2"/>
        <scheme val="minor"/>
      </rPr>
      <t>TOP3A</t>
    </r>
    <r>
      <rPr>
        <sz val="11"/>
        <color theme="1"/>
        <rFont val="Calibri"/>
        <family val="2"/>
        <scheme val="minor"/>
      </rPr>
      <t xml:space="preserve">, DYNC1H1, RHPN1, PUF60 and SIAH1 were significantly up-regulated in </t>
    </r>
    <r>
      <rPr>
        <b/>
        <sz val="11"/>
        <color theme="1"/>
        <rFont val="Calibri"/>
        <family val="2"/>
        <scheme val="minor"/>
      </rPr>
      <t>DDP</t>
    </r>
    <r>
      <rPr>
        <sz val="11"/>
        <color theme="1"/>
        <rFont val="Calibri"/>
        <family val="2"/>
        <scheme val="minor"/>
      </rPr>
      <t>-resistant cells. </t>
    </r>
    <r>
      <rPr>
        <b/>
        <sz val="11"/>
        <color theme="1"/>
        <rFont val="Calibri"/>
        <family val="2"/>
        <scheme val="minor"/>
      </rPr>
      <t>2)</t>
    </r>
    <r>
      <rPr>
        <sz val="11"/>
        <color theme="1"/>
        <rFont val="Calibri"/>
        <family val="2"/>
        <scheme val="minor"/>
      </rPr>
      <t xml:space="preserve"> Especially, high expression of two topoisomerase isoforms, TOP2A and </t>
    </r>
    <r>
      <rPr>
        <b/>
        <sz val="11"/>
        <color theme="1"/>
        <rFont val="Calibri"/>
        <family val="2"/>
        <scheme val="minor"/>
      </rPr>
      <t>TOP3A</t>
    </r>
    <r>
      <rPr>
        <sz val="11"/>
        <color theme="1"/>
        <rFont val="Calibri"/>
        <family val="2"/>
        <scheme val="minor"/>
      </rPr>
      <t xml:space="preserve">, was found to be correlated to worse overall survival (OS) in all </t>
    </r>
    <r>
      <rPr>
        <b/>
        <sz val="11"/>
        <color theme="1"/>
        <rFont val="Calibri"/>
        <family val="2"/>
        <scheme val="minor"/>
      </rPr>
      <t>NSCLC</t>
    </r>
    <r>
      <rPr>
        <sz val="11"/>
        <color theme="1"/>
        <rFont val="Calibri"/>
        <family val="2"/>
        <scheme val="minor"/>
      </rPr>
      <t xml:space="preserve"> and </t>
    </r>
    <r>
      <rPr>
        <b/>
        <sz val="11"/>
        <color theme="1"/>
        <rFont val="Calibri"/>
        <family val="2"/>
        <scheme val="minor"/>
      </rPr>
      <t>lung</t>
    </r>
    <r>
      <rPr>
        <sz val="11"/>
        <color theme="1"/>
        <rFont val="Calibri"/>
        <family val="2"/>
        <scheme val="minor"/>
      </rPr>
      <t xml:space="preserve"> adenocarcinoma (Ade) patients, but not in lung squamous cell carcinoma (SCC) patients.</t>
    </r>
  </si>
  <si>
    <r>
      <t xml:space="preserve">1) Predicting Response to </t>
    </r>
    <r>
      <rPr>
        <b/>
        <sz val="11"/>
        <color theme="1"/>
        <rFont val="Calibri"/>
        <family val="2"/>
        <scheme val="minor"/>
      </rPr>
      <t>Chemotherapy</t>
    </r>
    <r>
      <rPr>
        <sz val="11"/>
        <color theme="1"/>
        <rFont val="Calibri"/>
        <family val="2"/>
        <scheme val="minor"/>
      </rPr>
      <t xml:space="preserve"> With Early-Stage</t>
    </r>
    <r>
      <rPr>
        <b/>
        <sz val="11"/>
        <color theme="1"/>
        <rFont val="Calibri"/>
        <family val="2"/>
        <scheme val="minor"/>
      </rPr>
      <t xml:space="preserve"> Lung </t>
    </r>
    <r>
      <rPr>
        <sz val="11"/>
        <color theme="1"/>
        <rFont val="Calibri"/>
        <family val="2"/>
        <scheme val="minor"/>
      </rPr>
      <t xml:space="preserve">Cancer: In the univariate analysis, the deregulation of 9 genes (BRCA1, XRCC3, XRCC5, UBE2V2, OGG1, UNG, TYMS, RRM1 and </t>
    </r>
    <r>
      <rPr>
        <b/>
        <sz val="11"/>
        <color theme="1"/>
        <rFont val="Calibri"/>
        <family val="2"/>
        <scheme val="minor"/>
      </rPr>
      <t>TOP3B</t>
    </r>
    <r>
      <rPr>
        <sz val="11"/>
        <color theme="1"/>
        <rFont val="Calibri"/>
        <family val="2"/>
        <scheme val="minor"/>
      </rPr>
      <t>) was found to be significantly associated with poor prognosis.</t>
    </r>
  </si>
  <si>
    <r>
      <rPr>
        <b/>
        <sz val="11"/>
        <color theme="1"/>
        <rFont val="Calibri"/>
        <family val="2"/>
        <scheme val="minor"/>
      </rPr>
      <t xml:space="preserve">1) </t>
    </r>
    <r>
      <rPr>
        <sz val="11"/>
        <color theme="1"/>
        <rFont val="Calibri"/>
        <family val="2"/>
        <scheme val="minor"/>
      </rPr>
      <t xml:space="preserve">TopBP1 knockdown decreased the chemoresistance of OS cells to both doxorubicin and </t>
    </r>
    <r>
      <rPr>
        <b/>
        <sz val="11"/>
        <color theme="1"/>
        <rFont val="Calibri"/>
        <family val="2"/>
        <scheme val="minor"/>
      </rPr>
      <t>cisplatin</t>
    </r>
    <r>
      <rPr>
        <sz val="11"/>
        <color theme="1"/>
        <rFont val="Calibri"/>
        <family val="2"/>
        <scheme val="minor"/>
      </rPr>
      <t xml:space="preserve">. </t>
    </r>
    <r>
      <rPr>
        <b/>
        <sz val="11"/>
        <color theme="1"/>
        <rFont val="Calibri"/>
        <family val="2"/>
        <scheme val="minor"/>
      </rPr>
      <t>2)</t>
    </r>
    <r>
      <rPr>
        <sz val="11"/>
        <color theme="1"/>
        <rFont val="Calibri"/>
        <family val="2"/>
        <scheme val="minor"/>
      </rPr>
      <t xml:space="preserve"> Retrospective cohort study showed that high TopBP1 expression was not only associated with high local recurrence and low necrosis rate, but also correlated with poor overall survival and disease-free survival of </t>
    </r>
    <r>
      <rPr>
        <b/>
        <sz val="11"/>
        <color theme="1"/>
        <rFont val="Calibri"/>
        <family val="2"/>
        <scheme val="minor"/>
      </rPr>
      <t>OS</t>
    </r>
    <r>
      <rPr>
        <sz val="11"/>
        <color theme="1"/>
        <rFont val="Calibri"/>
        <family val="2"/>
        <scheme val="minor"/>
      </rPr>
      <t xml:space="preserve"> patients. </t>
    </r>
    <r>
      <rPr>
        <b/>
        <sz val="11"/>
        <color theme="1"/>
        <rFont val="Calibri"/>
        <family val="2"/>
        <scheme val="minor"/>
      </rPr>
      <t xml:space="preserve">3) </t>
    </r>
    <r>
      <rPr>
        <sz val="11"/>
        <color theme="1"/>
        <rFont val="Calibri"/>
        <family val="2"/>
        <scheme val="minor"/>
      </rPr>
      <t xml:space="preserve">A total of 101 </t>
    </r>
    <r>
      <rPr>
        <b/>
        <sz val="11"/>
        <color theme="1"/>
        <rFont val="Calibri"/>
        <family val="2"/>
        <scheme val="minor"/>
      </rPr>
      <t>NSCLC</t>
    </r>
    <r>
      <rPr>
        <sz val="11"/>
        <color theme="1"/>
        <rFont val="Calibri"/>
        <family val="2"/>
        <scheme val="minor"/>
      </rPr>
      <t xml:space="preserve"> patients treated with </t>
    </r>
    <r>
      <rPr>
        <b/>
        <sz val="11"/>
        <color theme="1"/>
        <rFont val="Calibri"/>
        <family val="2"/>
        <scheme val="minor"/>
      </rPr>
      <t>platinum</t>
    </r>
    <r>
      <rPr>
        <sz val="11"/>
        <color theme="1"/>
        <rFont val="Calibri"/>
        <family val="2"/>
        <scheme val="minor"/>
      </rPr>
      <t xml:space="preserve">-based chemotherapy: A significant correlation between the positive expression of BRCA1 and the positive expression of TopBP1 was observed (P &lt; 0.001, r = 0.326). No significant correlation between BRCA1/TopBP1 and age, gender, smoking status, performance status score, pathohistological type, or clinical stage was detected (P &gt; 0.05). </t>
    </r>
    <r>
      <rPr>
        <b/>
        <sz val="11"/>
        <color theme="1"/>
        <rFont val="Calibri"/>
        <family val="2"/>
        <scheme val="minor"/>
      </rPr>
      <t xml:space="preserve">4) </t>
    </r>
    <r>
      <rPr>
        <sz val="11"/>
        <color theme="1"/>
        <rFont val="Calibri"/>
        <family val="2"/>
        <scheme val="minor"/>
      </rPr>
      <t xml:space="preserve">The survival rate of patients with negative BRCA1 protein expression was higher than that in patients with positive BRCA1 protein expression [median overall survival (OS) 34 vs. 21 months, HR 1.913, 95 % CI 1.161-3.150, P = 0.011]. </t>
    </r>
    <r>
      <rPr>
        <b/>
        <sz val="11"/>
        <color theme="1"/>
        <rFont val="Calibri"/>
        <family val="2"/>
        <scheme val="minor"/>
      </rPr>
      <t xml:space="preserve">5) </t>
    </r>
    <r>
      <rPr>
        <sz val="11"/>
        <color theme="1"/>
        <rFont val="Calibri"/>
        <family val="2"/>
        <scheme val="minor"/>
      </rPr>
      <t xml:space="preserve">Similarly, the survival rate of patients with negative TopBP1 expression was higher than that in patients with positive TopBP1 (median OS 36 vs. 23 months, HR 1.931, 95 % CI 1.157-3.224, P = 0.012). </t>
    </r>
  </si>
  <si>
    <r>
      <rPr>
        <b/>
        <sz val="11"/>
        <color theme="1"/>
        <rFont val="Calibri"/>
        <family val="2"/>
        <scheme val="minor"/>
      </rPr>
      <t xml:space="preserve">1) </t>
    </r>
    <r>
      <rPr>
        <sz val="11"/>
        <color theme="1"/>
        <rFont val="Calibri"/>
        <family val="2"/>
        <scheme val="minor"/>
      </rPr>
      <t xml:space="preserve">PANDAR (the promoter of CDKN1A antisense DNA damage activated </t>
    </r>
    <r>
      <rPr>
        <b/>
        <sz val="11"/>
        <color theme="1"/>
        <rFont val="Calibri"/>
        <family val="2"/>
        <scheme val="minor"/>
      </rPr>
      <t>RNA</t>
    </r>
    <r>
      <rPr>
        <sz val="11"/>
        <color theme="1"/>
        <rFont val="Calibri"/>
        <family val="2"/>
        <scheme val="minor"/>
      </rPr>
      <t xml:space="preserve">)-reduced </t>
    </r>
    <r>
      <rPr>
        <b/>
        <sz val="11"/>
        <color theme="1"/>
        <rFont val="Calibri"/>
        <family val="2"/>
        <scheme val="minor"/>
      </rPr>
      <t>cisplatin</t>
    </r>
    <r>
      <rPr>
        <sz val="11"/>
        <color theme="1"/>
        <rFont val="Calibri"/>
        <family val="2"/>
        <scheme val="minor"/>
      </rPr>
      <t xml:space="preserve"> sensitivity was likely or partly due to the PANDAR-binding protein SFRS2 (arginine/serine-rich 2), a splicing factor with the ability to negative regulate </t>
    </r>
    <r>
      <rPr>
        <b/>
        <sz val="11"/>
        <color theme="1"/>
        <rFont val="Calibri"/>
        <family val="2"/>
        <scheme val="minor"/>
      </rPr>
      <t>p53</t>
    </r>
    <r>
      <rPr>
        <sz val="11"/>
        <color theme="1"/>
        <rFont val="Calibri"/>
        <family val="2"/>
        <scheme val="minor"/>
      </rPr>
      <t xml:space="preserve"> and its phosphorylation at Serine 15 (Ser15). </t>
    </r>
    <r>
      <rPr>
        <b/>
        <sz val="11"/>
        <color theme="1"/>
        <rFont val="Calibri"/>
        <family val="2"/>
        <scheme val="minor"/>
      </rPr>
      <t xml:space="preserve">2) </t>
    </r>
    <r>
      <rPr>
        <sz val="11"/>
        <color theme="1"/>
        <rFont val="Calibri"/>
        <family val="2"/>
        <scheme val="minor"/>
      </rPr>
      <t xml:space="preserve">This feedback regulation of PANDAR-SFRS2-p53 leads to a reduced transactivation of p53-related pro-apoptotic genes, such as PUMA (p53-upregulated modulator of apoptosis). </t>
    </r>
    <r>
      <rPr>
        <b/>
        <sz val="11"/>
        <color theme="1"/>
        <rFont val="Calibri"/>
        <family val="2"/>
        <scheme val="minor"/>
      </rPr>
      <t xml:space="preserve">3) </t>
    </r>
    <r>
      <rPr>
        <sz val="11"/>
        <color theme="1"/>
        <rFont val="Calibri"/>
        <family val="2"/>
        <scheme val="minor"/>
      </rPr>
      <t xml:space="preserve">in </t>
    </r>
    <r>
      <rPr>
        <b/>
        <sz val="11"/>
        <color theme="1"/>
        <rFont val="Calibri"/>
        <family val="2"/>
        <scheme val="minor"/>
      </rPr>
      <t>platinum</t>
    </r>
    <r>
      <rPr>
        <sz val="11"/>
        <color theme="1"/>
        <rFont val="Calibri"/>
        <family val="2"/>
        <scheme val="minor"/>
      </rPr>
      <t xml:space="preserve">-treated patients with relapsed </t>
    </r>
    <r>
      <rPr>
        <b/>
        <sz val="11"/>
        <color theme="1"/>
        <rFont val="Calibri"/>
        <family val="2"/>
        <scheme val="minor"/>
      </rPr>
      <t>ovarian</t>
    </r>
    <r>
      <rPr>
        <sz val="11"/>
        <color theme="1"/>
        <rFont val="Calibri"/>
        <family val="2"/>
        <scheme val="minor"/>
      </rPr>
      <t xml:space="preserve"> cancer, resistant period was positively correlated with the expression of PANDAR and SFRS2, and inversely associated with expression of p53-Ser15 and PUMA in these clinical tissues. </t>
    </r>
    <r>
      <rPr>
        <b/>
        <sz val="11"/>
        <color theme="1"/>
        <rFont val="Calibri"/>
        <family val="2"/>
        <scheme val="minor"/>
      </rPr>
      <t xml:space="preserve">4) </t>
    </r>
    <r>
      <rPr>
        <sz val="11"/>
        <color theme="1"/>
        <rFont val="Calibri"/>
        <family val="2"/>
        <scheme val="minor"/>
      </rPr>
      <t xml:space="preserve">HE staining and the quantification of DNA content indicated a significantly higher proportion of polyploidy and aneuploidy cells in the TP53 mutant group than in the wild-type group (p &lt; 0.05). </t>
    </r>
    <r>
      <rPr>
        <b/>
        <sz val="11"/>
        <color theme="1"/>
        <rFont val="Calibri"/>
        <family val="2"/>
        <scheme val="minor"/>
      </rPr>
      <t xml:space="preserve">5) </t>
    </r>
    <r>
      <rPr>
        <sz val="11"/>
        <color theme="1"/>
        <rFont val="Calibri"/>
        <family val="2"/>
        <scheme val="minor"/>
      </rPr>
      <t xml:space="preserve">In relapse patients, the proportion of chemoresistant cases in the TP53 wild-type group was significantly lower than in the mutant group (63.6% vs. 91.8%, p &lt; 0.05). </t>
    </r>
    <r>
      <rPr>
        <b/>
        <sz val="11"/>
        <color theme="1"/>
        <rFont val="Calibri"/>
        <family val="2"/>
        <scheme val="minor"/>
      </rPr>
      <t>6)</t>
    </r>
    <r>
      <rPr>
        <sz val="11"/>
        <color theme="1"/>
        <rFont val="Calibri"/>
        <family val="2"/>
        <scheme val="minor"/>
      </rPr>
      <t xml:space="preserve"> High nuclear p53 expression levels were associated with better outcome for overall survival (OS) (P = 0.0023) and disease-free survival (P = 0.0338) at 5-years. </t>
    </r>
    <r>
      <rPr>
        <b/>
        <sz val="11"/>
        <color theme="1"/>
        <rFont val="Calibri"/>
        <family val="2"/>
        <scheme val="minor"/>
      </rPr>
      <t xml:space="preserve">7) </t>
    </r>
    <r>
      <rPr>
        <sz val="11"/>
        <color theme="1"/>
        <rFont val="Calibri"/>
        <family val="2"/>
        <scheme val="minor"/>
      </rPr>
      <t xml:space="preserve">High cytoplasmic p53 expression levels were associated with better outcome for OS (P = 0.0002). </t>
    </r>
    <r>
      <rPr>
        <b/>
        <sz val="11"/>
        <color theme="1"/>
        <rFont val="Calibri"/>
        <family val="2"/>
        <scheme val="minor"/>
      </rPr>
      <t xml:space="preserve">8) </t>
    </r>
    <r>
      <rPr>
        <sz val="11"/>
        <color theme="1"/>
        <rFont val="Calibri"/>
        <family val="2"/>
        <scheme val="minor"/>
      </rPr>
      <t xml:space="preserve">Relative to sensitive A2780 cells harboring </t>
    </r>
    <r>
      <rPr>
        <b/>
        <sz val="11"/>
        <color theme="1"/>
        <rFont val="Calibri"/>
        <family val="2"/>
        <scheme val="minor"/>
      </rPr>
      <t>wild-type p53</t>
    </r>
    <r>
      <rPr>
        <sz val="11"/>
        <color theme="1"/>
        <rFont val="Calibri"/>
        <family val="2"/>
        <scheme val="minor"/>
      </rPr>
      <t>, the 2780CP/Cl-16, OVCAR-10, Hey and OVCA-433 cell lines were 10- to 30-fold resistant to cis-Pt, but was substantially circumvented by oxali-Pt.</t>
    </r>
    <r>
      <rPr>
        <b/>
        <sz val="11"/>
        <color theme="1"/>
        <rFont val="Calibri"/>
        <family val="2"/>
        <scheme val="minor"/>
      </rPr>
      <t xml:space="preserve"> 9) </t>
    </r>
    <r>
      <rPr>
        <sz val="11"/>
        <color theme="1"/>
        <rFont val="Calibri"/>
        <family val="2"/>
        <scheme val="minor"/>
      </rPr>
      <t xml:space="preserve">Mutant p53 in 2780CP/Cl-16 (p53V172F) and OVCAR-10 (p53V172F and p53G266R) cells, predicted as non-functional in p53 database, displayed attenuated response to cis-Pt, as did the polymorphic p53P72R (functionally equivalent to wild-type p53) in HEY and OVCA-433 cell lines. </t>
    </r>
    <r>
      <rPr>
        <b/>
        <sz val="11"/>
        <color theme="1"/>
        <rFont val="Calibri"/>
        <family val="2"/>
        <scheme val="minor"/>
      </rPr>
      <t>10)</t>
    </r>
    <r>
      <rPr>
        <sz val="11"/>
        <color theme="1"/>
        <rFont val="Calibri"/>
        <family val="2"/>
        <scheme val="minor"/>
      </rPr>
      <t xml:space="preserve"> However, p53 was robustly activated by oxali-Pt in all cell lines, with resultant drug potency confirmed as p53-dependent by p53 knockout using CRISPR/Cas9 system. </t>
    </r>
    <r>
      <rPr>
        <b/>
        <sz val="11"/>
        <color theme="1"/>
        <rFont val="Calibri"/>
        <family val="2"/>
        <scheme val="minor"/>
      </rPr>
      <t xml:space="preserve">11) </t>
    </r>
    <r>
      <rPr>
        <sz val="11"/>
        <color theme="1"/>
        <rFont val="Calibri"/>
        <family val="2"/>
        <scheme val="minor"/>
      </rPr>
      <t>knockdown of the p53 protein with small interfering RNA led to a twofold decrease in cell survival in the resistant cells.</t>
    </r>
    <r>
      <rPr>
        <b/>
        <sz val="11"/>
        <color theme="1"/>
        <rFont val="Calibri"/>
        <family val="2"/>
        <scheme val="minor"/>
      </rPr>
      <t xml:space="preserve"> 12) p53</t>
    </r>
    <r>
      <rPr>
        <sz val="11"/>
        <color theme="1"/>
        <rFont val="Calibri"/>
        <family val="2"/>
        <scheme val="minor"/>
      </rPr>
      <t xml:space="preserve"> disruption sensitized </t>
    </r>
    <r>
      <rPr>
        <b/>
        <sz val="11"/>
        <color theme="1"/>
        <rFont val="Calibri"/>
        <family val="2"/>
        <scheme val="minor"/>
      </rPr>
      <t>breast</t>
    </r>
    <r>
      <rPr>
        <sz val="11"/>
        <color theme="1"/>
        <rFont val="Calibri"/>
        <family val="2"/>
        <scheme val="minor"/>
      </rPr>
      <t xml:space="preserve"> cancer MCF-7 cells to </t>
    </r>
    <r>
      <rPr>
        <b/>
        <sz val="11"/>
        <color theme="1"/>
        <rFont val="Calibri"/>
        <family val="2"/>
        <scheme val="minor"/>
      </rPr>
      <t>cisplatin</t>
    </r>
    <r>
      <rPr>
        <sz val="11"/>
        <color theme="1"/>
        <rFont val="Calibri"/>
        <family val="2"/>
        <scheme val="minor"/>
      </rPr>
      <t xml:space="preserve"> but not to several other DNA-damaging agents. </t>
    </r>
    <r>
      <rPr>
        <b/>
        <sz val="11"/>
        <color theme="1"/>
        <rFont val="Calibri"/>
        <family val="2"/>
        <scheme val="minor"/>
      </rPr>
      <t>13) CDDP</t>
    </r>
    <r>
      <rPr>
        <sz val="11"/>
        <color theme="1"/>
        <rFont val="Calibri"/>
        <family val="2"/>
        <scheme val="minor"/>
      </rPr>
      <t xml:space="preserve"> sensitization was not limited to MCF-7 cells since p53 disruption in human </t>
    </r>
    <r>
      <rPr>
        <b/>
        <sz val="11"/>
        <color theme="1"/>
        <rFont val="Calibri"/>
        <family val="2"/>
        <scheme val="minor"/>
      </rPr>
      <t>colon</t>
    </r>
    <r>
      <rPr>
        <sz val="11"/>
        <color theme="1"/>
        <rFont val="Calibri"/>
        <family val="2"/>
        <scheme val="minor"/>
      </rPr>
      <t xml:space="preserve"> carcinoma RKO cells also enhanced sensitivity to CDDP. </t>
    </r>
  </si>
  <si>
    <r>
      <rPr>
        <b/>
        <sz val="11"/>
        <color theme="1"/>
        <rFont val="Calibri"/>
        <family val="2"/>
        <scheme val="minor"/>
      </rPr>
      <t xml:space="preserve">1) </t>
    </r>
    <r>
      <rPr>
        <sz val="11"/>
        <color theme="1"/>
        <rFont val="Calibri"/>
        <family val="2"/>
        <scheme val="minor"/>
      </rPr>
      <t xml:space="preserve">Resistant cells also acquired a </t>
    </r>
    <r>
      <rPr>
        <b/>
        <sz val="11"/>
        <color theme="1"/>
        <rFont val="Calibri"/>
        <family val="2"/>
        <scheme val="minor"/>
      </rPr>
      <t>TP53BP1 mutation</t>
    </r>
    <r>
      <rPr>
        <sz val="11"/>
        <color theme="1"/>
        <rFont val="Calibri"/>
        <family val="2"/>
        <scheme val="minor"/>
      </rPr>
      <t xml:space="preserve"> that facilitated DNA end resection in the absence of a BRCA1 protein capable of binding CtIP. </t>
    </r>
    <r>
      <rPr>
        <b/>
        <sz val="11"/>
        <color theme="1"/>
        <rFont val="Calibri"/>
        <family val="2"/>
        <scheme val="minor"/>
      </rPr>
      <t xml:space="preserve">2) </t>
    </r>
    <r>
      <rPr>
        <sz val="11"/>
        <color theme="1"/>
        <rFont val="Calibri"/>
        <family val="2"/>
        <scheme val="minor"/>
      </rPr>
      <t xml:space="preserve">concomitant increased mutant BRCA1 and </t>
    </r>
    <r>
      <rPr>
        <b/>
        <sz val="11"/>
        <color theme="1"/>
        <rFont val="Calibri"/>
        <family val="2"/>
        <scheme val="minor"/>
      </rPr>
      <t>decreased 53BP1 protein expression</t>
    </r>
    <r>
      <rPr>
        <sz val="11"/>
        <color theme="1"/>
        <rFont val="Calibri"/>
        <family val="2"/>
        <scheme val="minor"/>
      </rPr>
      <t xml:space="preserve"> occur in clinical samples of BRCA1-mutated recurrent ovarian carcinomas that have developed resistance to platinum. </t>
    </r>
    <r>
      <rPr>
        <b/>
        <sz val="11"/>
        <color theme="1"/>
        <rFont val="Calibri"/>
        <family val="2"/>
        <scheme val="minor"/>
      </rPr>
      <t>3)</t>
    </r>
    <r>
      <rPr>
        <sz val="11"/>
        <color theme="1"/>
        <rFont val="Calibri"/>
        <family val="2"/>
        <scheme val="minor"/>
      </rPr>
      <t xml:space="preserve"> 53BP1 overexpression resulted in decreased migrating SKOV3/pLPC-53BP1 cells and</t>
    </r>
    <r>
      <rPr>
        <b/>
        <sz val="11"/>
        <color theme="1"/>
        <rFont val="Calibri"/>
        <family val="2"/>
        <scheme val="minor"/>
      </rPr>
      <t xml:space="preserve"> 4) </t>
    </r>
    <r>
      <rPr>
        <sz val="11"/>
        <color theme="1"/>
        <rFont val="Calibri"/>
        <family val="2"/>
        <scheme val="minor"/>
      </rPr>
      <t xml:space="preserve">the protein expression of MMP-9 was significantly inhibited. </t>
    </r>
    <r>
      <rPr>
        <b/>
        <sz val="11"/>
        <color theme="1"/>
        <rFont val="Calibri"/>
        <family val="2"/>
        <scheme val="minor"/>
      </rPr>
      <t xml:space="preserve">5) </t>
    </r>
    <r>
      <rPr>
        <sz val="11"/>
        <color theme="1"/>
        <rFont val="Calibri"/>
        <family val="2"/>
        <scheme val="minor"/>
      </rPr>
      <t xml:space="preserve">53BP1 overexpression resulted in increased resistance to cisplatin. </t>
    </r>
    <r>
      <rPr>
        <b/>
        <sz val="11"/>
        <color theme="1"/>
        <rFont val="Calibri"/>
        <family val="2"/>
        <scheme val="minor"/>
      </rPr>
      <t xml:space="preserve">6) </t>
    </r>
    <r>
      <rPr>
        <sz val="11"/>
        <color theme="1"/>
        <rFont val="Calibri"/>
        <family val="2"/>
        <scheme val="minor"/>
      </rPr>
      <t xml:space="preserve">Decreased chemosensitivity to </t>
    </r>
    <r>
      <rPr>
        <b/>
        <sz val="11"/>
        <color theme="1"/>
        <rFont val="Calibri"/>
        <family val="2"/>
        <scheme val="minor"/>
      </rPr>
      <t>cisplatin</t>
    </r>
    <r>
      <rPr>
        <sz val="11"/>
        <color theme="1"/>
        <rFont val="Calibri"/>
        <family val="2"/>
        <scheme val="minor"/>
      </rPr>
      <t xml:space="preserve"> may be associated with increased expression of Akt and Cdk2 and with decreased expression of p21 and Bcl-2 associated X/Bcl-2 ratio. </t>
    </r>
  </si>
  <si>
    <r>
      <t xml:space="preserve">1) miR-3934-5p was upregulated in </t>
    </r>
    <r>
      <rPr>
        <b/>
        <sz val="11"/>
        <color theme="1"/>
        <rFont val="Calibri"/>
        <family val="2"/>
        <scheme val="minor"/>
      </rPr>
      <t>NSCLC</t>
    </r>
    <r>
      <rPr>
        <sz val="11"/>
        <color theme="1"/>
        <rFont val="Calibri"/>
        <family val="2"/>
        <scheme val="minor"/>
      </rPr>
      <t xml:space="preserve"> tissues and A549 cells. </t>
    </r>
    <r>
      <rPr>
        <b/>
        <sz val="11"/>
        <color theme="1"/>
        <rFont val="Calibri"/>
        <family val="2"/>
        <scheme val="minor"/>
      </rPr>
      <t>Increases</t>
    </r>
    <r>
      <rPr>
        <sz val="11"/>
        <color theme="1"/>
        <rFont val="Calibri"/>
        <family val="2"/>
        <scheme val="minor"/>
      </rPr>
      <t xml:space="preserve"> in the half-maximal inhibitory concentration (IC50) and the expression of miR-3934-5p were observed in the </t>
    </r>
    <r>
      <rPr>
        <b/>
        <sz val="11"/>
        <color theme="1"/>
        <rFont val="Calibri"/>
        <family val="2"/>
        <scheme val="minor"/>
      </rPr>
      <t>A549/DDP</t>
    </r>
    <r>
      <rPr>
        <sz val="11"/>
        <color theme="1"/>
        <rFont val="Calibri"/>
        <family val="2"/>
        <scheme val="minor"/>
      </rPr>
      <t xml:space="preserve"> group. </t>
    </r>
    <r>
      <rPr>
        <b/>
        <sz val="11"/>
        <color theme="1"/>
        <rFont val="Calibri"/>
        <family val="2"/>
        <scheme val="minor"/>
      </rPr>
      <t>2)</t>
    </r>
    <r>
      <rPr>
        <sz val="11"/>
        <color theme="1"/>
        <rFont val="Calibri"/>
        <family val="2"/>
        <scheme val="minor"/>
      </rPr>
      <t xml:space="preserve"> miR-3934-5p mimic promoted the expression of miR-3934-5p and the IC50 of the A549 cells. miR-3934-5p inhibitor downregulated miR-3934-5p and reduced the IC50 of A549/DDP cells. </t>
    </r>
    <r>
      <rPr>
        <b/>
        <sz val="11"/>
        <color theme="1"/>
        <rFont val="Calibri"/>
        <family val="2"/>
        <scheme val="minor"/>
      </rPr>
      <t xml:space="preserve">3) </t>
    </r>
    <r>
      <rPr>
        <sz val="11"/>
        <color theme="1"/>
        <rFont val="Calibri"/>
        <family val="2"/>
        <scheme val="minor"/>
      </rPr>
      <t xml:space="preserve">miR-3934-5p was revealed to target the 3'-untranslated region of </t>
    </r>
    <r>
      <rPr>
        <b/>
        <sz val="11"/>
        <color theme="1"/>
        <rFont val="Calibri"/>
        <family val="2"/>
        <scheme val="minor"/>
      </rPr>
      <t>TP53INP1</t>
    </r>
    <r>
      <rPr>
        <sz val="11"/>
        <color theme="1"/>
        <rFont val="Calibri"/>
        <family val="2"/>
        <scheme val="minor"/>
      </rPr>
      <t xml:space="preserve">. </t>
    </r>
    <r>
      <rPr>
        <b/>
        <sz val="11"/>
        <color theme="1"/>
        <rFont val="Calibri"/>
        <family val="2"/>
        <scheme val="minor"/>
      </rPr>
      <t>4)</t>
    </r>
    <r>
      <rPr>
        <sz val="11"/>
        <color theme="1"/>
        <rFont val="Calibri"/>
        <family val="2"/>
        <scheme val="minor"/>
      </rPr>
      <t xml:space="preserve"> The downregulation of miR-3934-5p significantly suppressed the proliferation and promoted the apoptosis of A549/DDP cells, which were reversed by transfection with </t>
    </r>
    <r>
      <rPr>
        <b/>
        <sz val="11"/>
        <color theme="1"/>
        <rFont val="Calibri"/>
        <family val="2"/>
        <scheme val="minor"/>
      </rPr>
      <t>TP53INP1</t>
    </r>
    <r>
      <rPr>
        <sz val="11"/>
        <color theme="1"/>
        <rFont val="Calibri"/>
        <family val="2"/>
        <scheme val="minor"/>
      </rPr>
      <t xml:space="preserve"> siRNA. </t>
    </r>
    <r>
      <rPr>
        <b/>
        <sz val="11"/>
        <color theme="1"/>
        <rFont val="Calibri"/>
        <family val="2"/>
        <scheme val="minor"/>
      </rPr>
      <t xml:space="preserve">5) </t>
    </r>
    <r>
      <rPr>
        <sz val="11"/>
        <color theme="1"/>
        <rFont val="Calibri"/>
        <family val="2"/>
        <scheme val="minor"/>
      </rPr>
      <t xml:space="preserve">The protein and mRNA expression levels of </t>
    </r>
    <r>
      <rPr>
        <b/>
        <sz val="11"/>
        <color theme="1"/>
        <rFont val="Calibri"/>
        <family val="2"/>
        <scheme val="minor"/>
      </rPr>
      <t>TP53INP1</t>
    </r>
    <r>
      <rPr>
        <sz val="11"/>
        <color theme="1"/>
        <rFont val="Calibri"/>
        <family val="2"/>
        <scheme val="minor"/>
      </rPr>
      <t>, Bcl-2-associated-X and p21 were significantly increased, whereas those of Bcl-2 were significantly decreased in the miR-3934-5p inhibitor group, which was significantly reduced by TP53INP1 siRNA transfection. </t>
    </r>
  </si>
  <si>
    <r>
      <rPr>
        <b/>
        <sz val="11"/>
        <color theme="1"/>
        <rFont val="Calibri"/>
        <family val="2"/>
        <scheme val="minor"/>
      </rPr>
      <t>1)</t>
    </r>
    <r>
      <rPr>
        <sz val="11"/>
        <color theme="1"/>
        <rFont val="Calibri"/>
        <family val="2"/>
        <scheme val="minor"/>
      </rPr>
      <t xml:space="preserve"> In response to genotoxic stress the TP53 induce cell cycle arrest or apoptosis. These canonical activities can be repressed by TP63 in normal stratifying epithelia to maintain proliferative capacity or drive proliferation of squamous cell carcinomas, where TP63 is frequently overexpressed/amplified. </t>
    </r>
    <r>
      <rPr>
        <b/>
        <sz val="11"/>
        <color theme="1"/>
        <rFont val="Calibri"/>
        <family val="2"/>
        <scheme val="minor"/>
      </rPr>
      <t xml:space="preserve">2) </t>
    </r>
    <r>
      <rPr>
        <sz val="11"/>
        <color theme="1"/>
        <rFont val="Calibri"/>
        <family val="2"/>
        <scheme val="minor"/>
      </rPr>
      <t xml:space="preserve">TP53 can induce or repress transcription of an extensive network of genes by direct binding and/or modulation of TP63 activity. </t>
    </r>
    <r>
      <rPr>
        <b/>
        <sz val="11"/>
        <color theme="1"/>
        <rFont val="Calibri"/>
        <family val="2"/>
        <scheme val="minor"/>
      </rPr>
      <t xml:space="preserve"> 3) </t>
    </r>
    <r>
      <rPr>
        <sz val="11"/>
        <color theme="1"/>
        <rFont val="Calibri"/>
        <family val="2"/>
        <scheme val="minor"/>
      </rPr>
      <t xml:space="preserve">in the absence of genotoxic stress TP63 plays an important role in maintaining expression of DNA repair genes, loss of which results in defective repair. </t>
    </r>
    <r>
      <rPr>
        <b/>
        <sz val="11"/>
        <color theme="1"/>
        <rFont val="Calibri"/>
        <family val="2"/>
        <scheme val="minor"/>
      </rPr>
      <t>4)</t>
    </r>
    <r>
      <rPr>
        <sz val="11"/>
        <color theme="1"/>
        <rFont val="Calibri"/>
        <family val="2"/>
        <scheme val="minor"/>
      </rPr>
      <t xml:space="preserve"> IL-1β particularly upregulates the expression of the tumor protein 63 (TP63) isoform ΔNP63α. </t>
    </r>
    <r>
      <rPr>
        <b/>
        <sz val="11"/>
        <color theme="1"/>
        <rFont val="Calibri"/>
        <family val="2"/>
        <scheme val="minor"/>
      </rPr>
      <t>5)</t>
    </r>
    <r>
      <rPr>
        <sz val="11"/>
        <color theme="1"/>
        <rFont val="Calibri"/>
        <family val="2"/>
        <scheme val="minor"/>
      </rPr>
      <t xml:space="preserve"> Upregulation of ΔNP63α leads to an increase in the expression of EGFR and phosphatase 1D (Wip1), and a decrease in ATM. </t>
    </r>
    <r>
      <rPr>
        <b/>
        <sz val="11"/>
        <color theme="1"/>
        <rFont val="Calibri"/>
        <family val="2"/>
        <scheme val="minor"/>
      </rPr>
      <t xml:space="preserve">6) </t>
    </r>
    <r>
      <rPr>
        <sz val="11"/>
        <color theme="1"/>
        <rFont val="Calibri"/>
        <family val="2"/>
        <scheme val="minor"/>
      </rPr>
      <t>The participation of these processes in the increase of resistance to cisplatin was confirmed by silencing TP63 expression or by inhibition of the phosphoinositide 3-kinase (PI3K)/protein kinase B (AKT) activity in the IL-1β/IL-1RI/β-catenin signaling pathway. </t>
    </r>
    <r>
      <rPr>
        <b/>
        <sz val="11"/>
        <color theme="1"/>
        <rFont val="Calibri"/>
        <family val="2"/>
        <scheme val="minor"/>
      </rPr>
      <t>7)</t>
    </r>
    <r>
      <rPr>
        <sz val="11"/>
        <color theme="1"/>
        <rFont val="Calibri"/>
        <family val="2"/>
        <scheme val="minor"/>
      </rPr>
      <t xml:space="preserve"> </t>
    </r>
    <r>
      <rPr>
        <b/>
        <sz val="11"/>
        <color theme="1"/>
        <rFont val="Calibri"/>
        <family val="2"/>
        <scheme val="minor"/>
      </rPr>
      <t>Head and neck</t>
    </r>
    <r>
      <rPr>
        <sz val="11"/>
        <color theme="1"/>
        <rFont val="Calibri"/>
        <family val="2"/>
        <scheme val="minor"/>
      </rPr>
      <t xml:space="preserve"> squamous cell carcinoma cells exposed to cisplatin display ATM-dependent phosphorylation of the most predominant TP63 isoform (ΔNp63α), leading to its activation as a transcription factor. 8) </t>
    </r>
    <r>
      <rPr>
        <b/>
        <sz val="11"/>
        <color theme="1"/>
        <rFont val="Calibri"/>
        <family val="2"/>
        <scheme val="minor"/>
      </rPr>
      <t>DeltaNp63alpha</t>
    </r>
    <r>
      <rPr>
        <sz val="11"/>
        <color theme="1"/>
        <rFont val="Calibri"/>
        <family val="2"/>
        <scheme val="minor"/>
      </rPr>
      <t xml:space="preserve"> levels correlate with clinical tumor response to cisplatin in </t>
    </r>
    <r>
      <rPr>
        <b/>
        <sz val="11"/>
        <color theme="1"/>
        <rFont val="Calibri"/>
        <family val="2"/>
        <scheme val="minor"/>
      </rPr>
      <t>head and neck</t>
    </r>
    <r>
      <rPr>
        <sz val="11"/>
        <color theme="1"/>
        <rFont val="Calibri"/>
        <family val="2"/>
        <scheme val="minor"/>
      </rPr>
      <t xml:space="preserve"> cancer patients. </t>
    </r>
  </si>
  <si>
    <r>
      <rPr>
        <b/>
        <sz val="11"/>
        <color theme="1"/>
        <rFont val="Calibri"/>
        <family val="2"/>
        <scheme val="minor"/>
      </rPr>
      <t>1)</t>
    </r>
    <r>
      <rPr>
        <sz val="11"/>
        <color theme="1"/>
        <rFont val="Calibri"/>
        <family val="2"/>
        <scheme val="minor"/>
      </rPr>
      <t xml:space="preserve"> the expression of TP73-AS1 was increased in GC tissues and cell lines and increased expression level of TP73-AS1 was associated with poor prognosis in patients with GC. </t>
    </r>
    <r>
      <rPr>
        <b/>
        <sz val="11"/>
        <color theme="1"/>
        <rFont val="Calibri"/>
        <family val="2"/>
        <scheme val="minor"/>
      </rPr>
      <t xml:space="preserve">2) </t>
    </r>
    <r>
      <rPr>
        <sz val="11"/>
        <color theme="1"/>
        <rFont val="Calibri"/>
        <family val="2"/>
        <scheme val="minor"/>
      </rPr>
      <t>silencing of TP73-AS1 may suppress cell proliferation and enhance the chemotherapeutic response of GC cells to </t>
    </r>
    <r>
      <rPr>
        <b/>
        <sz val="11"/>
        <color theme="1"/>
        <rFont val="Calibri"/>
        <family val="2"/>
        <scheme val="minor"/>
      </rPr>
      <t>cisplatin</t>
    </r>
    <r>
      <rPr>
        <sz val="11"/>
        <color theme="1"/>
        <rFont val="Calibri"/>
        <family val="2"/>
        <scheme val="minor"/>
      </rPr>
      <t> through targeting the HMGB1/receptor for advanced glycation endproducts signaling pathway. </t>
    </r>
    <r>
      <rPr>
        <b/>
        <sz val="11"/>
        <color theme="1"/>
        <rFont val="Calibri"/>
        <family val="2"/>
        <scheme val="minor"/>
      </rPr>
      <t xml:space="preserve">3) </t>
    </r>
    <r>
      <rPr>
        <sz val="11"/>
        <color theme="1"/>
        <rFont val="Calibri"/>
        <family val="2"/>
        <scheme val="minor"/>
      </rPr>
      <t xml:space="preserve">Expression of anti-apoptotic proteins Bcl-2 and Mcl-1 and DNA repair associated molecules ATM, CHK1, </t>
    </r>
    <r>
      <rPr>
        <b/>
        <sz val="11"/>
        <color theme="1"/>
        <rFont val="Calibri"/>
        <family val="2"/>
        <scheme val="minor"/>
      </rPr>
      <t>TP73</t>
    </r>
    <r>
      <rPr>
        <sz val="11"/>
        <color theme="1"/>
        <rFont val="Calibri"/>
        <family val="2"/>
        <scheme val="minor"/>
      </rPr>
      <t xml:space="preserve">, p53, and ERCC1 were significantly up regulated in cisplatin-treated A549sc and H157sc cells. </t>
    </r>
    <r>
      <rPr>
        <b/>
        <sz val="11"/>
        <color theme="1"/>
        <rFont val="Calibri"/>
        <family val="2"/>
        <scheme val="minor"/>
      </rPr>
      <t>4)</t>
    </r>
    <r>
      <rPr>
        <sz val="11"/>
        <color theme="1"/>
        <rFont val="Calibri"/>
        <family val="2"/>
        <scheme val="minor"/>
      </rPr>
      <t xml:space="preserve"> p73 can activate transcription of p53-responsive genes, thereby inhibiting cell growth.</t>
    </r>
    <r>
      <rPr>
        <b/>
        <sz val="11"/>
        <color theme="1"/>
        <rFont val="Calibri"/>
        <family val="2"/>
        <scheme val="minor"/>
      </rPr>
      <t xml:space="preserve"> 5) </t>
    </r>
    <r>
      <rPr>
        <sz val="11"/>
        <color theme="1"/>
        <rFont val="Calibri"/>
        <family val="2"/>
        <scheme val="minor"/>
      </rPr>
      <t xml:space="preserve">TAp73 is considered pro-apoptotic, and ΔNp73 anti-apoptotic. </t>
    </r>
    <r>
      <rPr>
        <b/>
        <sz val="11"/>
        <color theme="1"/>
        <rFont val="Calibri"/>
        <family val="2"/>
        <scheme val="minor"/>
      </rPr>
      <t>6)</t>
    </r>
    <r>
      <rPr>
        <sz val="11"/>
        <color theme="1"/>
        <rFont val="Calibri"/>
        <family val="2"/>
        <scheme val="minor"/>
      </rPr>
      <t xml:space="preserve"> an allelic imbalance of </t>
    </r>
    <r>
      <rPr>
        <b/>
        <sz val="11"/>
        <color theme="1"/>
        <rFont val="Calibri"/>
        <family val="2"/>
        <scheme val="minor"/>
      </rPr>
      <t>TP73</t>
    </r>
    <r>
      <rPr>
        <sz val="11"/>
        <color theme="1"/>
        <rFont val="Calibri"/>
        <family val="2"/>
        <scheme val="minor"/>
      </rPr>
      <t xml:space="preserve"> was the most remarkable independent predictive factor of poor patient survival (P=0.0002, risk ratio: 3382) in invasive bladder cancer. </t>
    </r>
  </si>
  <si>
    <r>
      <rPr>
        <b/>
        <sz val="11"/>
        <color theme="1"/>
        <rFont val="Calibri"/>
        <family val="2"/>
        <scheme val="minor"/>
      </rPr>
      <t>1)</t>
    </r>
    <r>
      <rPr>
        <sz val="11"/>
        <color theme="1"/>
        <rFont val="Calibri"/>
        <family val="2"/>
        <scheme val="minor"/>
      </rPr>
      <t xml:space="preserve"> TCTP was overexpressed in carcinoma tissues compared with normal tissues. </t>
    </r>
    <r>
      <rPr>
        <b/>
        <sz val="11"/>
        <color theme="1"/>
        <rFont val="Calibri"/>
        <family val="2"/>
        <scheme val="minor"/>
      </rPr>
      <t xml:space="preserve">2) </t>
    </r>
    <r>
      <rPr>
        <sz val="11"/>
        <color theme="1"/>
        <rFont val="Calibri"/>
        <family val="2"/>
        <scheme val="minor"/>
      </rPr>
      <t xml:space="preserve">TCTP expression was significantly associated with clinicopathologic variables. </t>
    </r>
    <r>
      <rPr>
        <b/>
        <sz val="11"/>
        <color theme="1"/>
        <rFont val="Calibri"/>
        <family val="2"/>
        <scheme val="minor"/>
      </rPr>
      <t>3)</t>
    </r>
    <r>
      <rPr>
        <sz val="11"/>
        <color theme="1"/>
        <rFont val="Calibri"/>
        <family val="2"/>
        <scheme val="minor"/>
      </rPr>
      <t xml:space="preserve"> high TCTP expression was significantly related to poor prognosis of the patients. </t>
    </r>
    <r>
      <rPr>
        <b/>
        <sz val="11"/>
        <color theme="1"/>
        <rFont val="Calibri"/>
        <family val="2"/>
        <scheme val="minor"/>
      </rPr>
      <t xml:space="preserve">4) </t>
    </r>
    <r>
      <rPr>
        <sz val="11"/>
        <color theme="1"/>
        <rFont val="Calibri"/>
        <family val="2"/>
        <scheme val="minor"/>
      </rPr>
      <t xml:space="preserve">siRNA knockdown of CTPT in HO8910 cells resulted in increased sensitivity to  cisplatin. </t>
    </r>
  </si>
  <si>
    <r>
      <rPr>
        <b/>
        <sz val="11"/>
        <color theme="1"/>
        <rFont val="Calibri"/>
        <family val="2"/>
        <scheme val="minor"/>
      </rPr>
      <t>1)</t>
    </r>
    <r>
      <rPr>
        <sz val="11"/>
        <color theme="1"/>
        <rFont val="Calibri"/>
        <family val="2"/>
        <scheme val="minor"/>
      </rPr>
      <t xml:space="preserve"> </t>
    </r>
    <r>
      <rPr>
        <b/>
        <sz val="11"/>
        <color theme="1"/>
        <rFont val="Calibri"/>
        <family val="2"/>
        <scheme val="minor"/>
      </rPr>
      <t>TRAF2</t>
    </r>
    <r>
      <rPr>
        <sz val="11"/>
        <color theme="1"/>
        <rFont val="Calibri"/>
        <family val="2"/>
        <scheme val="minor"/>
      </rPr>
      <t xml:space="preserve"> deficient cells exhibit significant resistance to cell death induced by </t>
    </r>
    <r>
      <rPr>
        <b/>
        <sz val="11"/>
        <color theme="1"/>
        <rFont val="Calibri"/>
        <family val="2"/>
        <scheme val="minor"/>
      </rPr>
      <t>cisplatin</t>
    </r>
    <r>
      <rPr>
        <sz val="11"/>
        <color theme="1"/>
        <rFont val="Calibri"/>
        <family val="2"/>
        <scheme val="minor"/>
      </rPr>
      <t xml:space="preserve">, accompanied by the reduction of both p53 protein level and caspase-3 activation. </t>
    </r>
    <r>
      <rPr>
        <b/>
        <sz val="11"/>
        <color theme="1"/>
        <rFont val="Calibri"/>
        <family val="2"/>
        <scheme val="minor"/>
      </rPr>
      <t>2) cisplatin</t>
    </r>
    <r>
      <rPr>
        <sz val="11"/>
        <color theme="1"/>
        <rFont val="Calibri"/>
        <family val="2"/>
        <scheme val="minor"/>
      </rPr>
      <t xml:space="preserve">-induced </t>
    </r>
    <r>
      <rPr>
        <b/>
        <sz val="11"/>
        <color theme="1"/>
        <rFont val="Calibri"/>
        <family val="2"/>
        <scheme val="minor"/>
      </rPr>
      <t>JNK</t>
    </r>
    <r>
      <rPr>
        <sz val="11"/>
        <color theme="1"/>
        <rFont val="Calibri"/>
        <family val="2"/>
        <scheme val="minor"/>
      </rPr>
      <t xml:space="preserve"> activation was attenuated in </t>
    </r>
    <r>
      <rPr>
        <b/>
        <sz val="11"/>
        <color theme="1"/>
        <rFont val="Calibri"/>
        <family val="2"/>
        <scheme val="minor"/>
      </rPr>
      <t>TRAF2</t>
    </r>
    <r>
      <rPr>
        <sz val="11"/>
        <color theme="1"/>
        <rFont val="Calibri"/>
        <family val="2"/>
        <scheme val="minor"/>
      </rPr>
      <t>-deficient cells, and pharmacological inhibition of JNK signaling suppressed p53 stabilization. </t>
    </r>
  </si>
  <si>
    <r>
      <rPr>
        <b/>
        <sz val="11"/>
        <color theme="1"/>
        <rFont val="Calibri"/>
        <family val="2"/>
        <scheme val="minor"/>
      </rPr>
      <t>1) TRAP1</t>
    </r>
    <r>
      <rPr>
        <sz val="11"/>
        <color theme="1"/>
        <rFont val="Calibri"/>
        <family val="2"/>
        <scheme val="minor"/>
      </rPr>
      <t xml:space="preserve"> expression inversely correlated with grade, stage and lower survival in a large cohort of OC patients. </t>
    </r>
    <r>
      <rPr>
        <b/>
        <sz val="11"/>
        <color theme="1"/>
        <rFont val="Calibri"/>
        <family val="2"/>
        <scheme val="minor"/>
      </rPr>
      <t>2)</t>
    </r>
    <r>
      <rPr>
        <sz val="11"/>
        <color theme="1"/>
        <rFont val="Calibri"/>
        <family val="2"/>
        <scheme val="minor"/>
      </rPr>
      <t xml:space="preserve"> TRAP1 silencing induced resistance to </t>
    </r>
    <r>
      <rPr>
        <b/>
        <sz val="11"/>
        <color theme="1"/>
        <rFont val="Calibri"/>
        <family val="2"/>
        <scheme val="minor"/>
      </rPr>
      <t>cisplatin</t>
    </r>
    <r>
      <rPr>
        <sz val="11"/>
        <color theme="1"/>
        <rFont val="Calibri"/>
        <family val="2"/>
        <scheme val="minor"/>
      </rPr>
      <t xml:space="preserve">, </t>
    </r>
    <r>
      <rPr>
        <b/>
        <sz val="11"/>
        <color theme="1"/>
        <rFont val="Calibri"/>
        <family val="2"/>
        <scheme val="minor"/>
      </rPr>
      <t>3)</t>
    </r>
    <r>
      <rPr>
        <sz val="11"/>
        <color theme="1"/>
        <rFont val="Calibri"/>
        <family val="2"/>
        <scheme val="minor"/>
      </rPr>
      <t xml:space="preserve"> resistant cells showed increased </t>
    </r>
    <r>
      <rPr>
        <b/>
        <sz val="11"/>
        <color theme="1"/>
        <rFont val="Calibri"/>
        <family val="2"/>
        <scheme val="minor"/>
      </rPr>
      <t>oxidative metabolism</t>
    </r>
    <r>
      <rPr>
        <sz val="11"/>
        <color theme="1"/>
        <rFont val="Calibri"/>
        <family val="2"/>
        <scheme val="minor"/>
      </rPr>
      <t xml:space="preserve"> compared with their sensitive counterpart, and the bioenergetics cellular index of higher grade tumours indicated increased mitochondrial respiration. </t>
    </r>
    <r>
      <rPr>
        <b/>
        <sz val="11"/>
        <color theme="1"/>
        <rFont val="Calibri"/>
        <family val="2"/>
        <scheme val="minor"/>
      </rPr>
      <t>4)</t>
    </r>
    <r>
      <rPr>
        <sz val="11"/>
        <color theme="1"/>
        <rFont val="Calibri"/>
        <family val="2"/>
        <scheme val="minor"/>
      </rPr>
      <t xml:space="preserve"> cisplatin resistance was reversible upon pharmacological inhibition of mitochondrial oxidative phosphorylation by metformin/oligomycin. </t>
    </r>
    <r>
      <rPr>
        <b/>
        <sz val="11"/>
        <color theme="1"/>
        <rFont val="Calibri"/>
        <family val="2"/>
        <scheme val="minor"/>
      </rPr>
      <t>5)</t>
    </r>
    <r>
      <rPr>
        <sz val="11"/>
        <color theme="1"/>
        <rFont val="Calibri"/>
        <family val="2"/>
        <scheme val="minor"/>
      </rPr>
      <t xml:space="preserve"> </t>
    </r>
    <r>
      <rPr>
        <b/>
        <sz val="11"/>
        <color theme="1"/>
        <rFont val="Calibri"/>
        <family val="2"/>
        <scheme val="minor"/>
      </rPr>
      <t>increased oxidative metabolism</t>
    </r>
    <r>
      <rPr>
        <sz val="11"/>
        <color theme="1"/>
        <rFont val="Calibri"/>
        <family val="2"/>
        <scheme val="minor"/>
      </rPr>
      <t xml:space="preserve"> in low TRAP1-expressing OC cells and tissues enhanced production of inflammatory mediators such as IL-6 and IL-8. </t>
    </r>
    <r>
      <rPr>
        <b/>
        <sz val="11"/>
        <color theme="1"/>
        <rFont val="Calibri"/>
        <family val="2"/>
        <scheme val="minor"/>
      </rPr>
      <t xml:space="preserve">6) </t>
    </r>
    <r>
      <rPr>
        <sz val="11"/>
        <color theme="1"/>
        <rFont val="Calibri"/>
        <family val="2"/>
        <scheme val="minor"/>
      </rPr>
      <t xml:space="preserve">members of MDR were key mediators of such metabolism-driven, inflammation-induced process. </t>
    </r>
    <r>
      <rPr>
        <b/>
        <sz val="11"/>
        <color theme="1"/>
        <rFont val="Calibri"/>
        <family val="2"/>
        <scheme val="minor"/>
      </rPr>
      <t xml:space="preserve">7) </t>
    </r>
    <r>
      <rPr>
        <sz val="11"/>
        <color theme="1"/>
        <rFont val="Calibri"/>
        <family val="2"/>
        <scheme val="minor"/>
      </rPr>
      <t xml:space="preserve">treatment of OC cell lines with TNFα and IL6 induced a selective increase in the expression of TAP1 and multidrug resistance protein 1, whereas TAP1 silencing sensitized cells to cisplatin-induced apoptosis. </t>
    </r>
    <r>
      <rPr>
        <b/>
        <sz val="11"/>
        <color theme="1"/>
        <rFont val="Calibri"/>
        <family val="2"/>
        <scheme val="minor"/>
      </rPr>
      <t xml:space="preserve">8) </t>
    </r>
    <r>
      <rPr>
        <sz val="11"/>
        <color theme="1"/>
        <rFont val="Calibri"/>
        <family val="2"/>
        <scheme val="minor"/>
      </rPr>
      <t xml:space="preserve">high TRAP1/HSP75 expression correlated with poor prognosis in esophageal squamous cell cancer (ESCC) patients.  </t>
    </r>
  </si>
  <si>
    <r>
      <rPr>
        <b/>
        <sz val="11"/>
        <color theme="1"/>
        <rFont val="Calibri"/>
        <family val="2"/>
        <scheme val="minor"/>
      </rPr>
      <t xml:space="preserve">1) </t>
    </r>
    <r>
      <rPr>
        <sz val="11"/>
        <color theme="1"/>
        <rFont val="Calibri"/>
        <family val="2"/>
        <scheme val="minor"/>
      </rPr>
      <t>Experiments revealed 37 commonly hypermethylated genes in resistant cells of which Tribbles 2 (</t>
    </r>
    <r>
      <rPr>
        <b/>
        <sz val="11"/>
        <color theme="1"/>
        <rFont val="Calibri"/>
        <family val="2"/>
        <scheme val="minor"/>
      </rPr>
      <t>TRIB2</t>
    </r>
    <r>
      <rPr>
        <sz val="11"/>
        <color theme="1"/>
        <rFont val="Calibri"/>
        <family val="2"/>
        <scheme val="minor"/>
      </rPr>
      <t xml:space="preserve">) showed the most pronounced </t>
    </r>
    <r>
      <rPr>
        <b/>
        <sz val="11"/>
        <color theme="1"/>
        <rFont val="Calibri"/>
        <family val="2"/>
        <scheme val="minor"/>
      </rPr>
      <t>downregulation</t>
    </r>
    <r>
      <rPr>
        <sz val="11"/>
        <color theme="1"/>
        <rFont val="Calibri"/>
        <family val="2"/>
        <scheme val="minor"/>
      </rPr>
      <t xml:space="preserve"> on mRNA level. </t>
    </r>
    <r>
      <rPr>
        <b/>
        <sz val="11"/>
        <color theme="1"/>
        <rFont val="Calibri"/>
        <family val="2"/>
        <scheme val="minor"/>
      </rPr>
      <t>2)</t>
    </r>
    <r>
      <rPr>
        <sz val="11"/>
        <color theme="1"/>
        <rFont val="Calibri"/>
        <family val="2"/>
        <scheme val="minor"/>
      </rPr>
      <t xml:space="preserve"> TRIB2 showed a reactivation after 5'-Aza-Cytidine treatment in resistant cells </t>
    </r>
    <r>
      <rPr>
        <b/>
        <sz val="11"/>
        <color theme="1"/>
        <rFont val="Calibri"/>
        <family val="2"/>
        <scheme val="minor"/>
      </rPr>
      <t xml:space="preserve">3) </t>
    </r>
    <r>
      <rPr>
        <sz val="11"/>
        <color theme="1"/>
        <rFont val="Calibri"/>
        <family val="2"/>
        <scheme val="minor"/>
      </rPr>
      <t xml:space="preserve">a cisplatin-dependent, prominent upregulation on mRNA level in sensitive cells, only. </t>
    </r>
    <r>
      <rPr>
        <b/>
        <sz val="11"/>
        <color theme="1"/>
        <rFont val="Calibri"/>
        <family val="2"/>
        <scheme val="minor"/>
      </rPr>
      <t>4)</t>
    </r>
    <r>
      <rPr>
        <sz val="11"/>
        <color theme="1"/>
        <rFont val="Calibri"/>
        <family val="2"/>
        <scheme val="minor"/>
      </rPr>
      <t xml:space="preserve"> Re-expression in resistant  cells increased the sensitivity to cisplatin. </t>
    </r>
    <r>
      <rPr>
        <b/>
        <sz val="11"/>
        <color theme="1"/>
        <rFont val="Calibri"/>
        <family val="2"/>
        <scheme val="minor"/>
      </rPr>
      <t>5)</t>
    </r>
    <r>
      <rPr>
        <sz val="11"/>
        <color theme="1"/>
        <rFont val="Calibri"/>
        <family val="2"/>
        <scheme val="minor"/>
      </rPr>
      <t xml:space="preserve"> knockdown of TRIB2 increased resistance to cisplatin in sensitive cells. </t>
    </r>
    <r>
      <rPr>
        <b/>
        <sz val="11"/>
        <color theme="1"/>
        <rFont val="Calibri"/>
        <family val="2"/>
        <scheme val="minor"/>
      </rPr>
      <t xml:space="preserve">6) </t>
    </r>
    <r>
      <rPr>
        <sz val="11"/>
        <color theme="1"/>
        <rFont val="Calibri"/>
        <family val="2"/>
        <scheme val="minor"/>
      </rPr>
      <t xml:space="preserve">TRIB2 was involved in the induction of a cisplatin-dependent cell cycle arrest and apoptosis by influencing p21 and survivin expression. </t>
    </r>
    <r>
      <rPr>
        <b/>
        <sz val="11"/>
        <color theme="1"/>
        <rFont val="Calibri"/>
        <family val="2"/>
        <scheme val="minor"/>
      </rPr>
      <t>6)</t>
    </r>
    <r>
      <rPr>
        <sz val="11"/>
        <color theme="1"/>
        <rFont val="Calibri"/>
        <family val="2"/>
        <scheme val="minor"/>
      </rPr>
      <t xml:space="preserve"> patient stratification of two homogenous cohorts of </t>
    </r>
    <r>
      <rPr>
        <b/>
        <sz val="11"/>
        <color theme="1"/>
        <rFont val="Calibri"/>
        <family val="2"/>
        <scheme val="minor"/>
      </rPr>
      <t>EOC</t>
    </r>
    <r>
      <rPr>
        <sz val="11"/>
        <color theme="1"/>
        <rFont val="Calibri"/>
        <family val="2"/>
        <scheme val="minor"/>
      </rPr>
      <t xml:space="preserve">-Type-II patients from Jena (n = 38) and the TCGA (n = 149) by TRIB2 mRNA expression consistently revealed a significantly decreased PFS for patients with low TRIB2 levels (log-rank p &lt; 0.05). Tumors from </t>
    </r>
    <r>
      <rPr>
        <b/>
        <sz val="11"/>
        <color theme="1"/>
        <rFont val="Calibri"/>
        <family val="2"/>
        <scheme val="minor"/>
      </rPr>
      <t>resistant</t>
    </r>
    <r>
      <rPr>
        <sz val="11"/>
        <color theme="1"/>
        <rFont val="Calibri"/>
        <family val="2"/>
        <scheme val="minor"/>
      </rPr>
      <t xml:space="preserve"> patients expressed the lowest levels of TRIB2. </t>
    </r>
  </si>
  <si>
    <r>
      <rPr>
        <b/>
        <sz val="11"/>
        <color theme="1"/>
        <rFont val="Calibri"/>
        <family val="2"/>
        <scheme val="minor"/>
      </rPr>
      <t xml:space="preserve">1) </t>
    </r>
    <r>
      <rPr>
        <sz val="11"/>
        <color theme="1"/>
        <rFont val="Calibri"/>
        <family val="2"/>
        <scheme val="minor"/>
      </rPr>
      <t xml:space="preserve">In </t>
    </r>
    <r>
      <rPr>
        <b/>
        <sz val="11"/>
        <color theme="1"/>
        <rFont val="Calibri"/>
        <family val="2"/>
        <scheme val="minor"/>
      </rPr>
      <t>ovarian</t>
    </r>
    <r>
      <rPr>
        <sz val="11"/>
        <color theme="1"/>
        <rFont val="Calibri"/>
        <family val="2"/>
        <scheme val="minor"/>
      </rPr>
      <t xml:space="preserve"> cancer cell line, RFP confers cancer cell resistance to anticancer drugs. </t>
    </r>
    <r>
      <rPr>
        <b/>
        <sz val="11"/>
        <color theme="1"/>
        <rFont val="Calibri"/>
        <family val="2"/>
        <scheme val="minor"/>
      </rPr>
      <t xml:space="preserve">2) </t>
    </r>
    <r>
      <rPr>
        <sz val="11"/>
        <color theme="1"/>
        <rFont val="Calibri"/>
        <family val="2"/>
        <scheme val="minor"/>
      </rPr>
      <t xml:space="preserve">RFP was expressed in 62% of ovarian cancer patients and its positivity significantly correlated with drug resistance. </t>
    </r>
    <r>
      <rPr>
        <b/>
        <sz val="11"/>
        <color theme="1"/>
        <rFont val="Calibri"/>
        <family val="2"/>
        <scheme val="minor"/>
      </rPr>
      <t>3)</t>
    </r>
    <r>
      <rPr>
        <sz val="11"/>
        <color theme="1"/>
        <rFont val="Calibri"/>
        <family val="2"/>
        <scheme val="minor"/>
      </rPr>
      <t xml:space="preserve"> siRNA depletion of RFP in ovarian cancer cell lines, SKOV3 and HEY, significantly increased </t>
    </r>
    <r>
      <rPr>
        <b/>
        <sz val="11"/>
        <color theme="1"/>
        <rFont val="Calibri"/>
        <family val="2"/>
        <scheme val="minor"/>
      </rPr>
      <t>carboplatin</t>
    </r>
    <r>
      <rPr>
        <sz val="11"/>
        <color theme="1"/>
        <rFont val="Calibri"/>
        <family val="2"/>
        <scheme val="minor"/>
      </rPr>
      <t xml:space="preserve">- or paclitaxel-induced apoptosis and resulted in reduced anticancer drug resistance. </t>
    </r>
    <r>
      <rPr>
        <b/>
        <sz val="11"/>
        <color theme="1"/>
        <rFont val="Calibri"/>
        <family val="2"/>
        <scheme val="minor"/>
      </rPr>
      <t>4)</t>
    </r>
    <r>
      <rPr>
        <sz val="11"/>
        <color theme="1"/>
        <rFont val="Calibri"/>
        <family val="2"/>
        <scheme val="minor"/>
      </rPr>
      <t xml:space="preserve"> In a nude mouse tumor xenograft model, inoculated RFP-knockdown ovarian cancer cells exhibited lower carboplatin resistance than control cells. </t>
    </r>
  </si>
  <si>
    <r>
      <rPr>
        <b/>
        <sz val="11"/>
        <color theme="1"/>
        <rFont val="Calibri"/>
        <family val="2"/>
        <scheme val="minor"/>
      </rPr>
      <t>1)</t>
    </r>
    <r>
      <rPr>
        <sz val="11"/>
        <color theme="1"/>
        <rFont val="Calibri"/>
        <family val="2"/>
        <scheme val="minor"/>
      </rPr>
      <t xml:space="preserve"> </t>
    </r>
    <r>
      <rPr>
        <b/>
        <sz val="11"/>
        <color theme="1"/>
        <rFont val="Calibri"/>
        <family val="2"/>
        <scheme val="minor"/>
      </rPr>
      <t>TRIM65</t>
    </r>
    <r>
      <rPr>
        <sz val="11"/>
        <color theme="1"/>
        <rFont val="Calibri"/>
        <family val="2"/>
        <scheme val="minor"/>
      </rPr>
      <t xml:space="preserve"> was significantly increased in </t>
    </r>
    <r>
      <rPr>
        <b/>
        <sz val="11"/>
        <color theme="1"/>
        <rFont val="Calibri"/>
        <family val="2"/>
        <scheme val="minor"/>
      </rPr>
      <t>NSCLC</t>
    </r>
    <r>
      <rPr>
        <sz val="11"/>
        <color theme="1"/>
        <rFont val="Calibri"/>
        <family val="2"/>
        <scheme val="minor"/>
      </rPr>
      <t xml:space="preserve"> A549/DDP cells as compared to A549 cells. </t>
    </r>
    <r>
      <rPr>
        <b/>
        <sz val="11"/>
        <color theme="1"/>
        <rFont val="Calibri"/>
        <family val="2"/>
        <scheme val="minor"/>
      </rPr>
      <t xml:space="preserve">2) </t>
    </r>
    <r>
      <rPr>
        <sz val="11"/>
        <color theme="1"/>
        <rFont val="Calibri"/>
        <family val="2"/>
        <scheme val="minor"/>
      </rPr>
      <t xml:space="preserve">Knockdown of TRIM65 can inhibit </t>
    </r>
    <r>
      <rPr>
        <b/>
        <sz val="11"/>
        <color theme="1"/>
        <rFont val="Calibri"/>
        <family val="2"/>
        <scheme val="minor"/>
      </rPr>
      <t>autophagy</t>
    </r>
    <r>
      <rPr>
        <sz val="11"/>
        <color theme="1"/>
        <rFont val="Calibri"/>
        <family val="2"/>
        <scheme val="minor"/>
      </rPr>
      <t xml:space="preserve"> and enhance cisplatin-induced apoptosis in A549/DDP cells. </t>
    </r>
    <r>
      <rPr>
        <b/>
        <sz val="11"/>
        <color theme="1"/>
        <rFont val="Calibri"/>
        <family val="2"/>
        <scheme val="minor"/>
      </rPr>
      <t>3)</t>
    </r>
    <r>
      <rPr>
        <sz val="11"/>
        <color theme="1"/>
        <rFont val="Calibri"/>
        <family val="2"/>
        <scheme val="minor"/>
      </rPr>
      <t xml:space="preserve"> knockdown of TRIM65 significantly decreased the expression of an important autophagy mediator,</t>
    </r>
    <r>
      <rPr>
        <b/>
        <sz val="11"/>
        <color theme="1"/>
        <rFont val="Calibri"/>
        <family val="2"/>
        <scheme val="minor"/>
      </rPr>
      <t xml:space="preserve"> ATG7</t>
    </r>
    <r>
      <rPr>
        <sz val="11"/>
        <color theme="1"/>
        <rFont val="Calibri"/>
        <family val="2"/>
        <scheme val="minor"/>
      </rPr>
      <t xml:space="preserve">, which was a potential target of miR-138-5p. </t>
    </r>
    <r>
      <rPr>
        <b/>
        <sz val="11"/>
        <color theme="1"/>
        <rFont val="Calibri"/>
        <family val="2"/>
        <scheme val="minor"/>
      </rPr>
      <t>4)</t>
    </r>
    <r>
      <rPr>
        <sz val="11"/>
        <color theme="1"/>
        <rFont val="Calibri"/>
        <family val="2"/>
        <scheme val="minor"/>
      </rPr>
      <t xml:space="preserve"> miR-138-5p inhibitor significantly abolished the effects of TRIM65 knockdown on autophagy and </t>
    </r>
    <r>
      <rPr>
        <b/>
        <sz val="11"/>
        <color theme="1"/>
        <rFont val="Calibri"/>
        <family val="2"/>
        <scheme val="minor"/>
      </rPr>
      <t>cisplatin</t>
    </r>
    <r>
      <rPr>
        <sz val="11"/>
        <color theme="1"/>
        <rFont val="Calibri"/>
        <family val="2"/>
        <scheme val="minor"/>
      </rPr>
      <t xml:space="preserve">-induced apoptosis. </t>
    </r>
    <r>
      <rPr>
        <b/>
        <sz val="11"/>
        <color theme="1"/>
        <rFont val="Calibri"/>
        <family val="2"/>
        <scheme val="minor"/>
      </rPr>
      <t xml:space="preserve">5) </t>
    </r>
    <r>
      <rPr>
        <sz val="11"/>
        <color theme="1"/>
        <rFont val="Calibri"/>
        <family val="2"/>
        <scheme val="minor"/>
      </rPr>
      <t xml:space="preserve">TRIM65 induced the ubiquitination and degradation of </t>
    </r>
    <r>
      <rPr>
        <b/>
        <sz val="11"/>
        <color theme="1"/>
        <rFont val="Calibri"/>
        <family val="2"/>
        <scheme val="minor"/>
      </rPr>
      <t>TNRC6A</t>
    </r>
    <r>
      <rPr>
        <sz val="11"/>
        <color theme="1"/>
        <rFont val="Calibri"/>
        <family val="2"/>
        <scheme val="minor"/>
      </rPr>
      <t xml:space="preserve">, resulting in the suppressed expression of miR-138-5p. </t>
    </r>
    <r>
      <rPr>
        <b/>
        <sz val="11"/>
        <color theme="1"/>
        <rFont val="Calibri"/>
        <family val="2"/>
        <scheme val="minor"/>
      </rPr>
      <t xml:space="preserve">6) </t>
    </r>
    <r>
      <rPr>
        <sz val="11"/>
        <color theme="1"/>
        <rFont val="Calibri"/>
        <family val="2"/>
        <scheme val="minor"/>
      </rPr>
      <t xml:space="preserve">TRIM65 knockdown inhibited the growth of tumors derived from A549/DDP cells. </t>
    </r>
    <r>
      <rPr>
        <b/>
        <sz val="11"/>
        <color theme="1"/>
        <rFont val="Calibri"/>
        <family val="2"/>
        <scheme val="minor"/>
      </rPr>
      <t xml:space="preserve">7) </t>
    </r>
    <r>
      <rPr>
        <sz val="11"/>
        <color theme="1"/>
        <rFont val="Calibri"/>
        <family val="2"/>
        <scheme val="minor"/>
      </rPr>
      <t xml:space="preserve">cisplatin-resistant NSCLC tissues displayed higher expression of TRIM65 mRNA and lower expression of miR-138-5p as compared to cisplatin non-resistant ones. </t>
    </r>
    <r>
      <rPr>
        <b/>
        <sz val="11"/>
        <color theme="1"/>
        <rFont val="Calibri"/>
        <family val="2"/>
        <scheme val="minor"/>
      </rPr>
      <t>8)</t>
    </r>
    <r>
      <rPr>
        <sz val="11"/>
        <color theme="1"/>
        <rFont val="Calibri"/>
        <family val="2"/>
        <scheme val="minor"/>
      </rPr>
      <t xml:space="preserve"> miR-138-5p expression was negatively correlated with TRIM65 mRNA in NSCLC tissues. </t>
    </r>
  </si>
  <si>
    <r>
      <rPr>
        <b/>
        <sz val="11"/>
        <color theme="1"/>
        <rFont val="Calibri"/>
        <family val="2"/>
        <scheme val="minor"/>
      </rPr>
      <t xml:space="preserve">1) </t>
    </r>
    <r>
      <rPr>
        <sz val="11"/>
        <color theme="1"/>
        <rFont val="Calibri"/>
        <family val="2"/>
        <scheme val="minor"/>
      </rPr>
      <t xml:space="preserve">p31comet and </t>
    </r>
    <r>
      <rPr>
        <b/>
        <sz val="11"/>
        <color theme="1"/>
        <rFont val="Calibri"/>
        <family val="2"/>
        <scheme val="minor"/>
      </rPr>
      <t>TRIP13</t>
    </r>
    <r>
      <rPr>
        <sz val="11"/>
        <color theme="1"/>
        <rFont val="Calibri"/>
        <family val="2"/>
        <scheme val="minor"/>
      </rPr>
      <t xml:space="preserve"> participate in the active opening of </t>
    </r>
    <r>
      <rPr>
        <b/>
        <sz val="11"/>
        <color theme="1"/>
        <rFont val="Calibri"/>
        <family val="2"/>
        <scheme val="minor"/>
      </rPr>
      <t>Rev7</t>
    </r>
    <r>
      <rPr>
        <sz val="11"/>
        <color theme="1"/>
        <rFont val="Calibri"/>
        <family val="2"/>
        <scheme val="minor"/>
      </rPr>
      <t xml:space="preserve"> and its dissociation from </t>
    </r>
    <r>
      <rPr>
        <b/>
        <sz val="11"/>
        <color theme="1"/>
        <rFont val="Calibri"/>
        <family val="2"/>
        <scheme val="minor"/>
      </rPr>
      <t>Rev3</t>
    </r>
    <r>
      <rPr>
        <sz val="11"/>
        <color theme="1"/>
        <rFont val="Calibri"/>
        <family val="2"/>
        <scheme val="minor"/>
      </rPr>
      <t xml:space="preserve">. </t>
    </r>
    <r>
      <rPr>
        <b/>
        <sz val="11"/>
        <color theme="1"/>
        <rFont val="Calibri"/>
        <family val="2"/>
        <scheme val="minor"/>
      </rPr>
      <t xml:space="preserve">2) </t>
    </r>
    <r>
      <rPr>
        <sz val="11"/>
        <color theme="1"/>
        <rFont val="Calibri"/>
        <family val="2"/>
        <scheme val="minor"/>
      </rPr>
      <t xml:space="preserve">the </t>
    </r>
    <r>
      <rPr>
        <b/>
        <sz val="11"/>
        <color theme="1"/>
        <rFont val="Calibri"/>
        <family val="2"/>
        <scheme val="minor"/>
      </rPr>
      <t>Rev7</t>
    </r>
    <r>
      <rPr>
        <sz val="11"/>
        <color theme="1"/>
        <rFont val="Calibri"/>
        <family val="2"/>
        <scheme val="minor"/>
      </rPr>
      <t xml:space="preserve"> dimerization interface is required for cell viability after treatment with </t>
    </r>
    <r>
      <rPr>
        <b/>
        <sz val="11"/>
        <color theme="1"/>
        <rFont val="Calibri"/>
        <family val="2"/>
        <scheme val="minor"/>
      </rPr>
      <t>cisplatin</t>
    </r>
    <r>
      <rPr>
        <sz val="11"/>
        <color theme="1"/>
        <rFont val="Calibri"/>
        <family val="2"/>
        <scheme val="minor"/>
      </rPr>
      <t>.</t>
    </r>
    <r>
      <rPr>
        <b/>
        <sz val="11"/>
        <color theme="1"/>
        <rFont val="Calibri"/>
        <family val="2"/>
        <scheme val="minor"/>
      </rPr>
      <t xml:space="preserve"> 3) </t>
    </r>
    <r>
      <rPr>
        <sz val="11"/>
        <color theme="1"/>
        <rFont val="Calibri"/>
        <family val="2"/>
        <scheme val="minor"/>
      </rPr>
      <t xml:space="preserve">The </t>
    </r>
    <r>
      <rPr>
        <b/>
        <sz val="11"/>
        <color theme="1"/>
        <rFont val="Calibri"/>
        <family val="2"/>
        <scheme val="minor"/>
      </rPr>
      <t>Rev7</t>
    </r>
    <r>
      <rPr>
        <sz val="11"/>
        <color theme="1"/>
        <rFont val="Calibri"/>
        <family val="2"/>
        <scheme val="minor"/>
      </rPr>
      <t xml:space="preserve"> dimerization mutant Is unable to restore </t>
    </r>
    <r>
      <rPr>
        <b/>
        <sz val="11"/>
        <color theme="1"/>
        <rFont val="Calibri"/>
        <family val="2"/>
        <scheme val="minor"/>
      </rPr>
      <t>cisplatin</t>
    </r>
    <r>
      <rPr>
        <sz val="11"/>
        <color theme="1"/>
        <rFont val="Calibri"/>
        <family val="2"/>
        <scheme val="minor"/>
      </rPr>
      <t xml:space="preserve"> resistance of Rev7−/− Cells. </t>
    </r>
    <r>
      <rPr>
        <b/>
        <sz val="11"/>
        <color theme="1"/>
        <rFont val="Calibri"/>
        <family val="2"/>
        <scheme val="minor"/>
      </rPr>
      <t>4)</t>
    </r>
    <r>
      <rPr>
        <sz val="11"/>
        <color theme="1"/>
        <rFont val="Calibri"/>
        <family val="2"/>
        <scheme val="minor"/>
      </rPr>
      <t xml:space="preserve"> Cells treated with siTRIP13+</t>
    </r>
    <r>
      <rPr>
        <b/>
        <sz val="11"/>
        <color theme="1"/>
        <rFont val="Calibri"/>
        <family val="2"/>
        <scheme val="minor"/>
      </rPr>
      <t>CDDP</t>
    </r>
    <r>
      <rPr>
        <sz val="11"/>
        <color theme="1"/>
        <rFont val="Calibri"/>
        <family val="2"/>
        <scheme val="minor"/>
      </rPr>
      <t xml:space="preserve"> grew significantly slower than control siNT+CDDP, suggesting a role for TRIP13 in chemoresistance. </t>
    </r>
    <r>
      <rPr>
        <b/>
        <sz val="11"/>
        <color theme="1"/>
        <rFont val="Calibri"/>
        <family val="2"/>
        <scheme val="minor"/>
      </rPr>
      <t xml:space="preserve">5) </t>
    </r>
    <r>
      <rPr>
        <sz val="11"/>
        <color theme="1"/>
        <rFont val="Calibri"/>
        <family val="2"/>
        <scheme val="minor"/>
      </rPr>
      <t xml:space="preserve">High expression of TRIP13 in </t>
    </r>
    <r>
      <rPr>
        <b/>
        <sz val="11"/>
        <color theme="1"/>
        <rFont val="Calibri"/>
        <family val="2"/>
        <scheme val="minor"/>
      </rPr>
      <t>SCCHN</t>
    </r>
    <r>
      <rPr>
        <sz val="11"/>
        <color theme="1"/>
        <rFont val="Calibri"/>
        <family val="2"/>
        <scheme val="minor"/>
      </rPr>
      <t xml:space="preserve"> leads to aggressive, treatment-resistant tumors and enhanced repair of DNA damage. </t>
    </r>
    <r>
      <rPr>
        <b/>
        <sz val="11"/>
        <color theme="1"/>
        <rFont val="Calibri"/>
        <family val="2"/>
        <scheme val="minor"/>
      </rPr>
      <t xml:space="preserve">6) </t>
    </r>
    <r>
      <rPr>
        <sz val="11"/>
        <color theme="1"/>
        <rFont val="Calibri"/>
        <family val="2"/>
        <scheme val="minor"/>
      </rPr>
      <t xml:space="preserve">high TRIP13 expression levels were positively correlated with progression, disease relapse, and poor prognosis in </t>
    </r>
    <r>
      <rPr>
        <b/>
        <sz val="11"/>
        <color theme="1"/>
        <rFont val="Calibri"/>
        <family val="2"/>
        <scheme val="minor"/>
      </rPr>
      <t>multiple myeloma</t>
    </r>
    <r>
      <rPr>
        <sz val="11"/>
        <color theme="1"/>
        <rFont val="Calibri"/>
        <family val="2"/>
        <scheme val="minor"/>
      </rPr>
      <t xml:space="preserve"> (MM) patients. Overexpressing human TRIP13 in myeloma cells prompted cell growth and drug resistance, </t>
    </r>
  </si>
  <si>
    <r>
      <rPr>
        <b/>
        <sz val="11"/>
        <color theme="1"/>
        <rFont val="Calibri"/>
        <family val="2"/>
        <scheme val="minor"/>
      </rPr>
      <t xml:space="preserve">1) </t>
    </r>
    <r>
      <rPr>
        <sz val="11"/>
        <color theme="1"/>
        <rFont val="Calibri"/>
        <family val="2"/>
        <scheme val="minor"/>
      </rPr>
      <t xml:space="preserve">cDNA microarray analysis revealed TROPHONIN was among the genes most downregulated by RAS induction. </t>
    </r>
    <r>
      <rPr>
        <b/>
        <sz val="11"/>
        <color theme="1"/>
        <rFont val="Calibri"/>
        <family val="2"/>
        <scheme val="minor"/>
      </rPr>
      <t xml:space="preserve">2) </t>
    </r>
    <r>
      <rPr>
        <sz val="11"/>
        <color theme="1"/>
        <rFont val="Calibri"/>
        <family val="2"/>
        <scheme val="minor"/>
      </rPr>
      <t xml:space="preserve">TRO expression is higher in </t>
    </r>
    <r>
      <rPr>
        <b/>
        <sz val="11"/>
        <color theme="1"/>
        <rFont val="Calibri"/>
        <family val="2"/>
        <scheme val="minor"/>
      </rPr>
      <t>cisplatin</t>
    </r>
    <r>
      <rPr>
        <sz val="11"/>
        <color theme="1"/>
        <rFont val="Calibri"/>
        <family val="2"/>
        <scheme val="minor"/>
      </rPr>
      <t xml:space="preserve">-sensitive cancer cell lines and </t>
    </r>
    <r>
      <rPr>
        <b/>
        <sz val="11"/>
        <color theme="1"/>
        <rFont val="Calibri"/>
        <family val="2"/>
        <scheme val="minor"/>
      </rPr>
      <t>3)</t>
    </r>
    <r>
      <rPr>
        <sz val="11"/>
        <color theme="1"/>
        <rFont val="Calibri"/>
        <family val="2"/>
        <scheme val="minor"/>
      </rPr>
      <t xml:space="preserve"> positively correlates with prognoses in ovarian cancers. </t>
    </r>
    <r>
      <rPr>
        <b/>
        <sz val="11"/>
        <color theme="1"/>
        <rFont val="Calibri"/>
        <family val="2"/>
        <scheme val="minor"/>
      </rPr>
      <t xml:space="preserve">4) </t>
    </r>
    <r>
      <rPr>
        <sz val="11"/>
        <color theme="1"/>
        <rFont val="Calibri"/>
        <family val="2"/>
        <scheme val="minor"/>
      </rPr>
      <t xml:space="preserve">TRO knockdown by RNA interference conferred </t>
    </r>
    <r>
      <rPr>
        <b/>
        <sz val="11"/>
        <color theme="1"/>
        <rFont val="Calibri"/>
        <family val="2"/>
        <scheme val="minor"/>
      </rPr>
      <t>cisplatin</t>
    </r>
    <r>
      <rPr>
        <sz val="11"/>
        <color theme="1"/>
        <rFont val="Calibri"/>
        <family val="2"/>
        <scheme val="minor"/>
      </rPr>
      <t xml:space="preserve"> resistance and led to increased invasiveness of cultured ovarian cancer cells. </t>
    </r>
  </si>
  <si>
    <r>
      <rPr>
        <b/>
        <sz val="11"/>
        <color theme="1"/>
        <rFont val="Calibri"/>
        <family val="2"/>
        <scheme val="minor"/>
      </rPr>
      <t>1)</t>
    </r>
    <r>
      <rPr>
        <sz val="11"/>
        <color theme="1"/>
        <rFont val="Calibri"/>
        <family val="2"/>
        <scheme val="minor"/>
      </rPr>
      <t xml:space="preserve"> of 30 patients with stage II to III</t>
    </r>
    <r>
      <rPr>
        <b/>
        <sz val="11"/>
        <color theme="1"/>
        <rFont val="Calibri"/>
        <family val="2"/>
        <scheme val="minor"/>
      </rPr>
      <t xml:space="preserve"> esophageal</t>
    </r>
    <r>
      <rPr>
        <sz val="11"/>
        <color theme="1"/>
        <rFont val="Calibri"/>
        <family val="2"/>
        <scheme val="minor"/>
      </rPr>
      <t xml:space="preserve"> squamous cell carcinoma, 30 successfully completed </t>
    </r>
    <r>
      <rPr>
        <b/>
        <sz val="11"/>
        <color theme="1"/>
        <rFont val="Calibri"/>
        <family val="2"/>
        <scheme val="minor"/>
      </rPr>
      <t>neoadjuvant</t>
    </r>
    <r>
      <rPr>
        <sz val="11"/>
        <color theme="1"/>
        <rFont val="Calibri"/>
        <family val="2"/>
        <scheme val="minor"/>
      </rPr>
      <t xml:space="preserve"> chemotherapy and underwent R0 resection, the median DFS and OS in </t>
    </r>
    <r>
      <rPr>
        <b/>
        <sz val="11"/>
        <color theme="1"/>
        <rFont val="Calibri"/>
        <family val="2"/>
        <scheme val="minor"/>
      </rPr>
      <t>TUBB3</t>
    </r>
    <r>
      <rPr>
        <sz val="11"/>
        <color theme="1"/>
        <rFont val="Calibri"/>
        <family val="2"/>
        <scheme val="minor"/>
      </rPr>
      <t xml:space="preserve"> negative patients was better than those in </t>
    </r>
    <r>
      <rPr>
        <b/>
        <sz val="11"/>
        <color theme="1"/>
        <rFont val="Calibri"/>
        <family val="2"/>
        <scheme val="minor"/>
      </rPr>
      <t>TUBB3</t>
    </r>
    <r>
      <rPr>
        <sz val="11"/>
        <color theme="1"/>
        <rFont val="Calibri"/>
        <family val="2"/>
        <scheme val="minor"/>
      </rPr>
      <t xml:space="preserve"> positive patients. </t>
    </r>
    <r>
      <rPr>
        <b/>
        <sz val="11"/>
        <color theme="1"/>
        <rFont val="Calibri"/>
        <family val="2"/>
        <scheme val="minor"/>
      </rPr>
      <t>2) TUBB3</t>
    </r>
    <r>
      <rPr>
        <sz val="11"/>
        <color theme="1"/>
        <rFont val="Calibri"/>
        <family val="2"/>
        <scheme val="minor"/>
      </rPr>
      <t xml:space="preserve"> prior treatment and pCR were independent prognostic factors in </t>
    </r>
    <r>
      <rPr>
        <b/>
        <sz val="11"/>
        <color theme="1"/>
        <rFont val="Calibri"/>
        <family val="2"/>
        <scheme val="minor"/>
      </rPr>
      <t>ESCC</t>
    </r>
    <r>
      <rPr>
        <sz val="11"/>
        <color theme="1"/>
        <rFont val="Calibri"/>
        <family val="2"/>
        <scheme val="minor"/>
      </rPr>
      <t xml:space="preserve"> patients undergoing sequential surgery after preoperative chemotherapy. </t>
    </r>
    <r>
      <rPr>
        <b/>
        <sz val="11"/>
        <color theme="1"/>
        <rFont val="Calibri"/>
        <family val="2"/>
        <scheme val="minor"/>
      </rPr>
      <t xml:space="preserve">3) </t>
    </r>
    <r>
      <rPr>
        <sz val="11"/>
        <color theme="1"/>
        <rFont val="Calibri"/>
        <family val="2"/>
        <scheme val="minor"/>
      </rPr>
      <t xml:space="preserve">advanced </t>
    </r>
    <r>
      <rPr>
        <b/>
        <sz val="11"/>
        <color theme="1"/>
        <rFont val="Calibri"/>
        <family val="2"/>
        <scheme val="minor"/>
      </rPr>
      <t xml:space="preserve">NSCLC </t>
    </r>
    <r>
      <rPr>
        <sz val="11"/>
        <color theme="1"/>
        <rFont val="Calibri"/>
        <family val="2"/>
        <scheme val="minor"/>
      </rPr>
      <t xml:space="preserve">Patients with negative expression of APE1, ERCC1 or </t>
    </r>
    <r>
      <rPr>
        <b/>
        <sz val="11"/>
        <color theme="1"/>
        <rFont val="Calibri"/>
        <family val="2"/>
        <scheme val="minor"/>
      </rPr>
      <t>TUBB3</t>
    </r>
    <r>
      <rPr>
        <sz val="11"/>
        <color theme="1"/>
        <rFont val="Calibri"/>
        <family val="2"/>
        <scheme val="minor"/>
      </rPr>
      <t xml:space="preserve"> benefited from platinum plus paclitaxel regimen chemotherapy. </t>
    </r>
  </si>
  <si>
    <r>
      <rPr>
        <b/>
        <sz val="11"/>
        <color theme="1"/>
        <rFont val="Calibri"/>
        <family val="2"/>
        <scheme val="minor"/>
      </rPr>
      <t xml:space="preserve">1) TWIST1 </t>
    </r>
    <r>
      <rPr>
        <sz val="11"/>
        <color theme="1"/>
        <rFont val="Calibri"/>
        <family val="2"/>
        <scheme val="minor"/>
      </rPr>
      <t xml:space="preserve">expression led to increased tumour engraftment in mice, as well as </t>
    </r>
    <r>
      <rPr>
        <b/>
        <sz val="11"/>
        <color theme="1"/>
        <rFont val="Calibri"/>
        <family val="2"/>
        <scheme val="minor"/>
      </rPr>
      <t>cisplatin</t>
    </r>
    <r>
      <rPr>
        <sz val="11"/>
        <color theme="1"/>
        <rFont val="Calibri"/>
        <family val="2"/>
        <scheme val="minor"/>
      </rPr>
      <t xml:space="preserve"> resistance in vitro. </t>
    </r>
    <r>
      <rPr>
        <b/>
        <sz val="11"/>
        <color theme="1"/>
        <rFont val="Calibri"/>
        <family val="2"/>
        <scheme val="minor"/>
      </rPr>
      <t>2)</t>
    </r>
    <r>
      <rPr>
        <sz val="11"/>
        <color theme="1"/>
        <rFont val="Calibri"/>
        <family val="2"/>
        <scheme val="minor"/>
      </rPr>
      <t xml:space="preserve"> </t>
    </r>
    <r>
      <rPr>
        <b/>
        <sz val="11"/>
        <color theme="1"/>
        <rFont val="Calibri"/>
        <family val="2"/>
        <scheme val="minor"/>
      </rPr>
      <t>TWIST1</t>
    </r>
    <r>
      <rPr>
        <sz val="11"/>
        <color theme="1"/>
        <rFont val="Calibri"/>
        <family val="2"/>
        <scheme val="minor"/>
      </rPr>
      <t xml:space="preserve">, in part via </t>
    </r>
    <r>
      <rPr>
        <b/>
        <sz val="11"/>
        <color theme="1"/>
        <rFont val="Calibri"/>
        <family val="2"/>
        <scheme val="minor"/>
      </rPr>
      <t>GAS6</t>
    </r>
    <r>
      <rPr>
        <sz val="11"/>
        <color theme="1"/>
        <rFont val="Calibri"/>
        <family val="2"/>
        <scheme val="minor"/>
      </rPr>
      <t xml:space="preserve"> and </t>
    </r>
    <r>
      <rPr>
        <b/>
        <sz val="11"/>
        <color theme="1"/>
        <rFont val="Calibri"/>
        <family val="2"/>
        <scheme val="minor"/>
      </rPr>
      <t>L1CAM</t>
    </r>
    <r>
      <rPr>
        <sz val="11"/>
        <color theme="1"/>
        <rFont val="Calibri"/>
        <family val="2"/>
        <scheme val="minor"/>
      </rPr>
      <t xml:space="preserve">, led to higher expression and activation of </t>
    </r>
    <r>
      <rPr>
        <b/>
        <sz val="11"/>
        <color theme="1"/>
        <rFont val="Calibri"/>
        <family val="2"/>
        <scheme val="minor"/>
      </rPr>
      <t>Akt</t>
    </r>
    <r>
      <rPr>
        <sz val="11"/>
        <color theme="1"/>
        <rFont val="Calibri"/>
        <family val="2"/>
        <scheme val="minor"/>
      </rPr>
      <t xml:space="preserve"> upon </t>
    </r>
    <r>
      <rPr>
        <b/>
        <sz val="11"/>
        <color theme="1"/>
        <rFont val="Calibri"/>
        <family val="2"/>
        <scheme val="minor"/>
      </rPr>
      <t>cisplatin</t>
    </r>
    <r>
      <rPr>
        <sz val="11"/>
        <color theme="1"/>
        <rFont val="Calibri"/>
        <family val="2"/>
        <scheme val="minor"/>
      </rPr>
      <t xml:space="preserve"> treatment, and inhibition of Akt activation sensitized cells to </t>
    </r>
    <r>
      <rPr>
        <b/>
        <sz val="11"/>
        <color theme="1"/>
        <rFont val="Calibri"/>
        <family val="2"/>
        <scheme val="minor"/>
      </rPr>
      <t>cisplatin</t>
    </r>
    <r>
      <rPr>
        <sz val="11"/>
        <color theme="1"/>
        <rFont val="Calibri"/>
        <family val="2"/>
        <scheme val="minor"/>
      </rPr>
      <t xml:space="preserve">. </t>
    </r>
    <r>
      <rPr>
        <b/>
        <sz val="11"/>
        <color theme="1"/>
        <rFont val="Calibri"/>
        <family val="2"/>
        <scheme val="minor"/>
      </rPr>
      <t>3)</t>
    </r>
    <r>
      <rPr>
        <sz val="11"/>
        <color theme="1"/>
        <rFont val="Calibri"/>
        <family val="2"/>
        <scheme val="minor"/>
      </rPr>
      <t xml:space="preserve"> the EMT phenotype was detected in </t>
    </r>
    <r>
      <rPr>
        <b/>
        <sz val="11"/>
        <color theme="1"/>
        <rFont val="Calibri"/>
        <family val="2"/>
        <scheme val="minor"/>
      </rPr>
      <t>cisplatin</t>
    </r>
    <r>
      <rPr>
        <sz val="11"/>
        <color theme="1"/>
        <rFont val="Calibri"/>
        <family val="2"/>
        <scheme val="minor"/>
      </rPr>
      <t>-resistant</t>
    </r>
    <r>
      <rPr>
        <b/>
        <sz val="11"/>
        <color theme="1"/>
        <rFont val="Calibri"/>
        <family val="2"/>
        <scheme val="minor"/>
      </rPr>
      <t xml:space="preserve"> ovarian</t>
    </r>
    <r>
      <rPr>
        <sz val="11"/>
        <color theme="1"/>
        <rFont val="Calibri"/>
        <family val="2"/>
        <scheme val="minor"/>
      </rPr>
      <t xml:space="preserve"> cancer tissues and cell lines, and correlated with decreased miR-186 expression, increased Twist1 expression, chemoresistance and poor prognosis in epithelial ovarian cancer (EOC) patients. </t>
    </r>
    <r>
      <rPr>
        <b/>
        <sz val="11"/>
        <color theme="1"/>
        <rFont val="Calibri"/>
        <family val="2"/>
        <scheme val="minor"/>
      </rPr>
      <t>4) TWIST</t>
    </r>
    <r>
      <rPr>
        <sz val="11"/>
        <color theme="1"/>
        <rFont val="Calibri"/>
        <family val="2"/>
        <scheme val="minor"/>
      </rPr>
      <t xml:space="preserve"> protein expression was elevated in liver cancer, and was positively correlated with multidrug resistance protein 1 (</t>
    </r>
    <r>
      <rPr>
        <b/>
        <sz val="11"/>
        <color theme="1"/>
        <rFont val="Calibri"/>
        <family val="2"/>
        <scheme val="minor"/>
      </rPr>
      <t>MDR1</t>
    </r>
    <r>
      <rPr>
        <sz val="11"/>
        <color theme="1"/>
        <rFont val="Calibri"/>
        <family val="2"/>
        <scheme val="minor"/>
      </rPr>
      <t xml:space="preserve">) expression. </t>
    </r>
  </si>
  <si>
    <r>
      <t xml:space="preserve">reconstituting </t>
    </r>
    <r>
      <rPr>
        <b/>
        <sz val="11"/>
        <color theme="1"/>
        <rFont val="Calibri"/>
        <family val="2"/>
        <scheme val="minor"/>
      </rPr>
      <t>TRX1</t>
    </r>
    <r>
      <rPr>
        <sz val="11"/>
        <color theme="1"/>
        <rFont val="Calibri"/>
        <family val="2"/>
        <scheme val="minor"/>
      </rPr>
      <t xml:space="preserve"> protein in </t>
    </r>
    <r>
      <rPr>
        <b/>
        <sz val="11"/>
        <color theme="1"/>
        <rFont val="Calibri"/>
        <family val="2"/>
        <scheme val="minor"/>
      </rPr>
      <t>cisplatin</t>
    </r>
    <r>
      <rPr>
        <sz val="11"/>
        <color theme="1"/>
        <rFont val="Calibri"/>
        <family val="2"/>
        <scheme val="minor"/>
      </rPr>
      <t>-resistant cells, we increased sensitivity to </t>
    </r>
    <r>
      <rPr>
        <b/>
        <sz val="11"/>
        <color theme="1"/>
        <rFont val="Calibri"/>
        <family val="2"/>
        <scheme val="minor"/>
      </rPr>
      <t>cisplatin</t>
    </r>
    <r>
      <rPr>
        <sz val="11"/>
        <color theme="1"/>
        <rFont val="Calibri"/>
        <family val="2"/>
        <scheme val="minor"/>
      </rPr>
      <t xml:space="preserve">. </t>
    </r>
    <r>
      <rPr>
        <b/>
        <sz val="11"/>
        <color theme="1"/>
        <rFont val="Calibri"/>
        <family val="2"/>
        <scheme val="minor"/>
      </rPr>
      <t xml:space="preserve">1) </t>
    </r>
    <r>
      <rPr>
        <sz val="11"/>
        <color theme="1"/>
        <rFont val="Calibri"/>
        <family val="2"/>
        <scheme val="minor"/>
      </rPr>
      <t xml:space="preserve">Patients with high </t>
    </r>
    <r>
      <rPr>
        <b/>
        <sz val="11"/>
        <color theme="1"/>
        <rFont val="Calibri"/>
        <family val="2"/>
        <scheme val="minor"/>
      </rPr>
      <t>TXN</t>
    </r>
    <r>
      <rPr>
        <sz val="11"/>
        <color theme="1"/>
        <rFont val="Calibri"/>
        <family val="2"/>
        <scheme val="minor"/>
      </rPr>
      <t xml:space="preserve"> and </t>
    </r>
    <r>
      <rPr>
        <b/>
        <sz val="11"/>
        <color theme="1"/>
        <rFont val="Calibri"/>
        <family val="2"/>
        <scheme val="minor"/>
      </rPr>
      <t>THBS1</t>
    </r>
    <r>
      <rPr>
        <sz val="11"/>
        <color theme="1"/>
        <rFont val="Calibri"/>
        <family val="2"/>
        <scheme val="minor"/>
      </rPr>
      <t xml:space="preserve"> expression presented longer PFS and OS. </t>
    </r>
    <r>
      <rPr>
        <b/>
        <sz val="11"/>
        <color theme="1"/>
        <rFont val="Calibri"/>
        <family val="2"/>
        <scheme val="minor"/>
      </rPr>
      <t>2)</t>
    </r>
    <r>
      <rPr>
        <sz val="11"/>
        <color theme="1"/>
        <rFont val="Calibri"/>
        <family val="2"/>
        <scheme val="minor"/>
      </rPr>
      <t xml:space="preserve"> High </t>
    </r>
    <r>
      <rPr>
        <b/>
        <sz val="11"/>
        <color theme="1"/>
        <rFont val="Calibri"/>
        <family val="2"/>
        <scheme val="minor"/>
      </rPr>
      <t>TXR1</t>
    </r>
    <r>
      <rPr>
        <sz val="11"/>
        <color theme="1"/>
        <rFont val="Calibri"/>
        <family val="2"/>
        <scheme val="minor"/>
      </rPr>
      <t xml:space="preserve"> expression was associated with decreased PFS and OS.  low TXN expression was correlated with decreased PFS and OS.  </t>
    </r>
    <r>
      <rPr>
        <b/>
        <sz val="11"/>
        <color theme="1"/>
        <rFont val="Calibri"/>
        <family val="2"/>
        <scheme val="minor"/>
      </rPr>
      <t>3) TRX</t>
    </r>
    <r>
      <rPr>
        <sz val="11"/>
        <color theme="1"/>
        <rFont val="Calibri"/>
        <family val="2"/>
        <scheme val="minor"/>
      </rPr>
      <t xml:space="preserve"> is downstream of </t>
    </r>
    <r>
      <rPr>
        <b/>
        <sz val="11"/>
        <color theme="1"/>
        <rFont val="Calibri"/>
        <family val="2"/>
        <scheme val="minor"/>
      </rPr>
      <t>Smad7</t>
    </r>
    <r>
      <rPr>
        <sz val="11"/>
        <color theme="1"/>
        <rFont val="Calibri"/>
        <family val="2"/>
        <scheme val="minor"/>
      </rPr>
      <t xml:space="preserve"> in a pathway that confers a growth advantage to pancreatic cancer cells and that increases their resistance to </t>
    </r>
    <r>
      <rPr>
        <b/>
        <sz val="11"/>
        <color theme="1"/>
        <rFont val="Calibri"/>
        <family val="2"/>
        <scheme val="minor"/>
      </rPr>
      <t>CDDP</t>
    </r>
    <r>
      <rPr>
        <sz val="11"/>
        <color theme="1"/>
        <rFont val="Calibri"/>
        <family val="2"/>
        <scheme val="minor"/>
      </rPr>
      <t xml:space="preserve">-mediated apoptosis, implying novel regulatory functions for Smad7. </t>
    </r>
    <r>
      <rPr>
        <b/>
        <sz val="11"/>
        <color theme="1"/>
        <rFont val="Calibri"/>
        <family val="2"/>
        <scheme val="minor"/>
      </rPr>
      <t xml:space="preserve">4) </t>
    </r>
    <r>
      <rPr>
        <sz val="11"/>
        <color theme="1"/>
        <rFont val="Calibri"/>
        <family val="2"/>
        <scheme val="minor"/>
      </rPr>
      <t xml:space="preserve">Intranuclear </t>
    </r>
    <r>
      <rPr>
        <b/>
        <sz val="11"/>
        <color theme="1"/>
        <rFont val="Calibri"/>
        <family val="2"/>
        <scheme val="minor"/>
      </rPr>
      <t>Trx-1</t>
    </r>
    <r>
      <rPr>
        <sz val="11"/>
        <color theme="1"/>
        <rFont val="Calibri"/>
        <family val="2"/>
        <scheme val="minor"/>
      </rPr>
      <t xml:space="preserve"> enhances the DNA-binding activity of </t>
    </r>
    <r>
      <rPr>
        <b/>
        <sz val="11"/>
        <color theme="1"/>
        <rFont val="Calibri"/>
        <family val="2"/>
        <scheme val="minor"/>
      </rPr>
      <t>HIF-1α</t>
    </r>
    <r>
      <rPr>
        <sz val="11"/>
        <color theme="1"/>
        <rFont val="Calibri"/>
        <family val="2"/>
        <scheme val="minor"/>
      </rPr>
      <t xml:space="preserve"> via its interaction with and reducing action on </t>
    </r>
    <r>
      <rPr>
        <b/>
        <sz val="11"/>
        <color theme="1"/>
        <rFont val="Calibri"/>
        <family val="2"/>
        <scheme val="minor"/>
      </rPr>
      <t>Ref-1</t>
    </r>
    <r>
      <rPr>
        <sz val="11"/>
        <color theme="1"/>
        <rFont val="Calibri"/>
        <family val="2"/>
        <scheme val="minor"/>
      </rPr>
      <t xml:space="preserve">, resulting in increased expression of glycolysis-related proteins (PDHK1, HKII, and LDHA), glucose uptake, and lactate generation under hypoxia, and </t>
    </r>
    <r>
      <rPr>
        <b/>
        <sz val="11"/>
        <color theme="1"/>
        <rFont val="Calibri"/>
        <family val="2"/>
        <scheme val="minor"/>
      </rPr>
      <t>cisplatin</t>
    </r>
    <r>
      <rPr>
        <sz val="11"/>
        <color theme="1"/>
        <rFont val="Calibri"/>
        <family val="2"/>
        <scheme val="minor"/>
      </rPr>
      <t xml:space="preserve"> resistance. </t>
    </r>
  </si>
  <si>
    <r>
      <rPr>
        <b/>
        <sz val="11"/>
        <color theme="1"/>
        <rFont val="Calibri"/>
        <family val="2"/>
        <scheme val="minor"/>
      </rPr>
      <t xml:space="preserve">1) </t>
    </r>
    <r>
      <rPr>
        <sz val="11"/>
        <color theme="1"/>
        <rFont val="Calibri"/>
        <family val="2"/>
        <scheme val="minor"/>
      </rPr>
      <t xml:space="preserve">Exposure to </t>
    </r>
    <r>
      <rPr>
        <b/>
        <sz val="11"/>
        <color theme="1"/>
        <rFont val="Calibri"/>
        <family val="2"/>
        <scheme val="minor"/>
      </rPr>
      <t>cisplatin</t>
    </r>
    <r>
      <rPr>
        <sz val="11"/>
        <color theme="1"/>
        <rFont val="Calibri"/>
        <family val="2"/>
        <scheme val="minor"/>
      </rPr>
      <t xml:space="preserve"> induced an upregulation in the expression of thioredoxin‑related protein of 14 kDa (</t>
    </r>
    <r>
      <rPr>
        <b/>
        <sz val="11"/>
        <color theme="1"/>
        <rFont val="Calibri"/>
        <family val="2"/>
        <scheme val="minor"/>
      </rPr>
      <t>TRP14</t>
    </r>
    <r>
      <rPr>
        <sz val="11"/>
        <color theme="1"/>
        <rFont val="Calibri"/>
        <family val="2"/>
        <scheme val="minor"/>
      </rPr>
      <t xml:space="preserve">). </t>
    </r>
    <r>
      <rPr>
        <b/>
        <sz val="11"/>
        <color theme="1"/>
        <rFont val="Calibri"/>
        <family val="2"/>
        <scheme val="minor"/>
      </rPr>
      <t xml:space="preserve">2) </t>
    </r>
    <r>
      <rPr>
        <sz val="11"/>
        <color theme="1"/>
        <rFont val="Calibri"/>
        <family val="2"/>
        <scheme val="minor"/>
      </rPr>
      <t xml:space="preserve">TRP14 knockdown or overexpression decreased or increased the </t>
    </r>
    <r>
      <rPr>
        <b/>
        <sz val="11"/>
        <color theme="1"/>
        <rFont val="Calibri"/>
        <family val="2"/>
        <scheme val="minor"/>
      </rPr>
      <t>autophagy</t>
    </r>
    <r>
      <rPr>
        <sz val="11"/>
        <color theme="1"/>
        <rFont val="Calibri"/>
        <family val="2"/>
        <scheme val="minor"/>
      </rPr>
      <t xml:space="preserve"> response and cisplatin resistance, and this effect was reversed by treatment with Rapa or ATG5 knockdown. </t>
    </r>
    <r>
      <rPr>
        <b/>
        <sz val="11"/>
        <color theme="1"/>
        <rFont val="Calibri"/>
        <family val="2"/>
        <scheme val="minor"/>
      </rPr>
      <t xml:space="preserve">3) </t>
    </r>
    <r>
      <rPr>
        <sz val="11"/>
        <color theme="1"/>
        <rFont val="Calibri"/>
        <family val="2"/>
        <scheme val="minor"/>
      </rPr>
      <t>TRP14 induced autophagy and chemoresistance via the 5'AMP‑activated protein kinase (</t>
    </r>
    <r>
      <rPr>
        <b/>
        <sz val="11"/>
        <color theme="1"/>
        <rFont val="Calibri"/>
        <family val="2"/>
        <scheme val="minor"/>
      </rPr>
      <t>AMPK</t>
    </r>
    <r>
      <rPr>
        <sz val="11"/>
        <color theme="1"/>
        <rFont val="Calibri"/>
        <family val="2"/>
        <scheme val="minor"/>
      </rPr>
      <t>)/mammalian target of rapamycin (</t>
    </r>
    <r>
      <rPr>
        <b/>
        <sz val="11"/>
        <color theme="1"/>
        <rFont val="Calibri"/>
        <family val="2"/>
        <scheme val="minor"/>
      </rPr>
      <t>mTOR</t>
    </r>
    <r>
      <rPr>
        <sz val="11"/>
        <color theme="1"/>
        <rFont val="Calibri"/>
        <family val="2"/>
        <scheme val="minor"/>
      </rPr>
      <t>)/</t>
    </r>
    <r>
      <rPr>
        <b/>
        <sz val="11"/>
        <color theme="1"/>
        <rFont val="Calibri"/>
        <family val="2"/>
        <scheme val="minor"/>
      </rPr>
      <t>p70S6K</t>
    </r>
    <r>
      <rPr>
        <sz val="11"/>
        <color theme="1"/>
        <rFont val="Calibri"/>
        <family val="2"/>
        <scheme val="minor"/>
      </rPr>
      <t xml:space="preserve"> signaling pathway. </t>
    </r>
    <r>
      <rPr>
        <b/>
        <sz val="11"/>
        <color theme="1"/>
        <rFont val="Calibri"/>
        <family val="2"/>
        <scheme val="minor"/>
      </rPr>
      <t xml:space="preserve">4) </t>
    </r>
    <r>
      <rPr>
        <sz val="11"/>
        <color theme="1"/>
        <rFont val="Calibri"/>
        <family val="2"/>
        <scheme val="minor"/>
      </rPr>
      <t xml:space="preserve">a positive association between </t>
    </r>
    <r>
      <rPr>
        <b/>
        <sz val="11"/>
        <color theme="1"/>
        <rFont val="Calibri"/>
        <family val="2"/>
        <scheme val="minor"/>
      </rPr>
      <t>TRP14</t>
    </r>
    <r>
      <rPr>
        <sz val="11"/>
        <color theme="1"/>
        <rFont val="Calibri"/>
        <family val="2"/>
        <scheme val="minor"/>
      </rPr>
      <t xml:space="preserve"> and </t>
    </r>
    <r>
      <rPr>
        <b/>
        <sz val="11"/>
        <color theme="1"/>
        <rFont val="Calibri"/>
        <family val="2"/>
        <scheme val="minor"/>
      </rPr>
      <t>Beclin1</t>
    </r>
    <r>
      <rPr>
        <sz val="11"/>
        <color theme="1"/>
        <rFont val="Calibri"/>
        <family val="2"/>
        <scheme val="minor"/>
      </rPr>
      <t xml:space="preserve"> in human ovarian cancer and marginal tissues. </t>
    </r>
    <r>
      <rPr>
        <b/>
        <sz val="11"/>
        <color theme="1"/>
        <rFont val="Calibri"/>
        <family val="2"/>
        <scheme val="minor"/>
      </rPr>
      <t>5) TRP14</t>
    </r>
    <r>
      <rPr>
        <sz val="11"/>
        <color theme="1"/>
        <rFont val="Calibri"/>
        <family val="2"/>
        <scheme val="minor"/>
      </rPr>
      <t xml:space="preserve"> induces autophagy and consequently cisplatin resistance in </t>
    </r>
    <r>
      <rPr>
        <b/>
        <sz val="11"/>
        <color theme="1"/>
        <rFont val="Calibri"/>
        <family val="2"/>
        <scheme val="minor"/>
      </rPr>
      <t>ovarian</t>
    </r>
    <r>
      <rPr>
        <sz val="11"/>
        <color theme="1"/>
        <rFont val="Calibri"/>
        <family val="2"/>
        <scheme val="minor"/>
      </rPr>
      <t xml:space="preserve"> cancer cells via the AMPK/mTOR/p70S6K signaling pathway. </t>
    </r>
  </si>
  <si>
    <r>
      <rPr>
        <b/>
        <sz val="11"/>
        <color theme="1"/>
        <rFont val="Calibri"/>
        <family val="2"/>
        <scheme val="minor"/>
      </rPr>
      <t>1)</t>
    </r>
    <r>
      <rPr>
        <sz val="11"/>
        <color theme="1"/>
        <rFont val="Calibri"/>
        <family val="2"/>
        <scheme val="minor"/>
      </rPr>
      <t xml:space="preserve"> </t>
    </r>
    <r>
      <rPr>
        <b/>
        <sz val="11"/>
        <color theme="1"/>
        <rFont val="Calibri"/>
        <family val="2"/>
        <scheme val="minor"/>
      </rPr>
      <t xml:space="preserve">cisplatin </t>
    </r>
    <r>
      <rPr>
        <sz val="11"/>
        <color theme="1"/>
        <rFont val="Calibri"/>
        <family val="2"/>
        <scheme val="minor"/>
      </rPr>
      <t xml:space="preserve">resistance developed in the </t>
    </r>
    <r>
      <rPr>
        <b/>
        <sz val="11"/>
        <color theme="1"/>
        <rFont val="Calibri"/>
        <family val="2"/>
        <scheme val="minor"/>
      </rPr>
      <t>gastric</t>
    </r>
    <r>
      <rPr>
        <sz val="11"/>
        <color theme="1"/>
        <rFont val="Calibri"/>
        <family val="2"/>
        <scheme val="minor"/>
      </rPr>
      <t xml:space="preserve"> cancer cells is at least in part because of the </t>
    </r>
    <r>
      <rPr>
        <b/>
        <sz val="11"/>
        <color theme="1"/>
        <rFont val="Calibri"/>
        <family val="2"/>
        <scheme val="minor"/>
      </rPr>
      <t>XRCC1</t>
    </r>
    <r>
      <rPr>
        <sz val="11"/>
        <color theme="1"/>
        <rFont val="Calibri"/>
        <family val="2"/>
        <scheme val="minor"/>
      </rPr>
      <t xml:space="preserve"> overexpression as a result of inhibition of </t>
    </r>
    <r>
      <rPr>
        <b/>
        <sz val="11"/>
        <color theme="1"/>
        <rFont val="Calibri"/>
        <family val="2"/>
        <scheme val="minor"/>
      </rPr>
      <t>TXNL1</t>
    </r>
    <r>
      <rPr>
        <sz val="11"/>
        <color theme="1"/>
        <rFont val="Calibri"/>
        <family val="2"/>
        <scheme val="minor"/>
      </rPr>
      <t xml:space="preserve">, presumably leading to a super strong capacity of DNA repair. </t>
    </r>
    <r>
      <rPr>
        <b/>
        <sz val="11"/>
        <color theme="1"/>
        <rFont val="Calibri"/>
        <family val="2"/>
        <scheme val="minor"/>
      </rPr>
      <t>2)</t>
    </r>
    <r>
      <rPr>
        <sz val="11"/>
        <color theme="1"/>
        <rFont val="Calibri"/>
        <family val="2"/>
        <scheme val="minor"/>
      </rPr>
      <t xml:space="preserve"> irinotecan has a role in inducing TXNL1 expression to further trigger ubiquitin (Ub)-proteasome-mediated XRCC1 degradation in cisplatin-resistant gastric cancer cells</t>
    </r>
  </si>
  <si>
    <r>
      <rPr>
        <b/>
        <sz val="11"/>
        <color theme="1"/>
        <rFont val="Calibri"/>
        <family val="2"/>
        <scheme val="minor"/>
      </rPr>
      <t>1)</t>
    </r>
    <r>
      <rPr>
        <sz val="11"/>
        <color theme="1"/>
        <rFont val="Calibri"/>
        <family val="2"/>
        <scheme val="minor"/>
      </rPr>
      <t xml:space="preserve"> HeLa, a human cervical carcinoma cell line, cultured with </t>
    </r>
    <r>
      <rPr>
        <b/>
        <sz val="11"/>
        <color theme="1"/>
        <rFont val="Calibri"/>
        <family val="2"/>
        <scheme val="minor"/>
      </rPr>
      <t>CDDP</t>
    </r>
    <r>
      <rPr>
        <sz val="11"/>
        <color theme="1"/>
        <rFont val="Calibri"/>
        <family val="2"/>
        <scheme val="minor"/>
      </rPr>
      <t xml:space="preserve"> showed a time- and dose-dependent reduction of intracellular </t>
    </r>
    <r>
      <rPr>
        <b/>
        <sz val="11"/>
        <color theme="1"/>
        <rFont val="Calibri"/>
        <family val="2"/>
        <scheme val="minor"/>
      </rPr>
      <t>TRXR</t>
    </r>
    <r>
      <rPr>
        <sz val="11"/>
        <color theme="1"/>
        <rFont val="Calibri"/>
        <family val="2"/>
        <scheme val="minor"/>
      </rPr>
      <t xml:space="preserve"> activity, which was well correlated with the decrease in cell viability after exposure to CDDP. </t>
    </r>
    <r>
      <rPr>
        <b/>
        <sz val="11"/>
        <color theme="1"/>
        <rFont val="Calibri"/>
        <family val="2"/>
        <scheme val="minor"/>
      </rPr>
      <t>2)</t>
    </r>
    <r>
      <rPr>
        <sz val="11"/>
        <color theme="1"/>
        <rFont val="Calibri"/>
        <family val="2"/>
        <scheme val="minor"/>
      </rPr>
      <t xml:space="preserve"> In a cell-free system, CDDP was found to directly inactivate the reduced form of purified human TRXR. </t>
    </r>
    <r>
      <rPr>
        <b/>
        <sz val="11"/>
        <color theme="1"/>
        <rFont val="Calibri"/>
        <family val="2"/>
        <scheme val="minor"/>
      </rPr>
      <t xml:space="preserve">3) </t>
    </r>
    <r>
      <rPr>
        <sz val="11"/>
        <color theme="1"/>
        <rFont val="Calibri"/>
        <family val="2"/>
        <scheme val="minor"/>
      </rPr>
      <t xml:space="preserve">The CDDP-resistant variants of HeLa cells, established by continuous exposure to CDDP, exhibited an increased expression and activity of TRXR as well as TRX compared with the parental cells. </t>
    </r>
    <r>
      <rPr>
        <b/>
        <sz val="11"/>
        <color theme="1"/>
        <rFont val="Calibri"/>
        <family val="2"/>
        <scheme val="minor"/>
      </rPr>
      <t>4)</t>
    </r>
    <r>
      <rPr>
        <sz val="11"/>
        <color theme="1"/>
        <rFont val="Calibri"/>
        <family val="2"/>
        <scheme val="minor"/>
      </rPr>
      <t xml:space="preserve"> sodium selenate, an inhibitor of TRXR, was found to increase the susceptibility to CDDP in the CDDP-resistant cells. </t>
    </r>
    <r>
      <rPr>
        <b/>
        <sz val="11"/>
        <color theme="1"/>
        <rFont val="Calibri"/>
        <family val="2"/>
        <scheme val="minor"/>
      </rPr>
      <t xml:space="preserve">5) </t>
    </r>
    <r>
      <rPr>
        <sz val="11"/>
        <color theme="1"/>
        <rFont val="Calibri"/>
        <family val="2"/>
        <scheme val="minor"/>
      </rPr>
      <t>the HeLa cells transfected with an antisense TRXR RNA expression vector to reduce the intracellular enzyme activity displayed an enhanced sensitivity to CDDP. </t>
    </r>
  </si>
  <si>
    <r>
      <rPr>
        <b/>
        <sz val="11"/>
        <color theme="1"/>
        <rFont val="Calibri"/>
        <family val="2"/>
        <scheme val="minor"/>
      </rPr>
      <t>1) UCP</t>
    </r>
    <r>
      <rPr>
        <sz val="11"/>
        <color theme="1"/>
        <rFont val="Calibri"/>
        <family val="2"/>
        <scheme val="minor"/>
      </rPr>
      <t xml:space="preserve"> was the only factor significantly associated with the extent of tumor burden in </t>
    </r>
    <r>
      <rPr>
        <b/>
        <sz val="11"/>
        <color theme="1"/>
        <rFont val="Calibri"/>
        <family val="2"/>
        <scheme val="minor"/>
      </rPr>
      <t>esophageal</t>
    </r>
    <r>
      <rPr>
        <sz val="11"/>
        <color theme="1"/>
        <rFont val="Calibri"/>
        <family val="2"/>
        <scheme val="minor"/>
      </rPr>
      <t xml:space="preserve"> cancer patients. </t>
    </r>
    <r>
      <rPr>
        <b/>
        <sz val="11"/>
        <color theme="1"/>
        <rFont val="Calibri"/>
        <family val="2"/>
        <scheme val="minor"/>
      </rPr>
      <t>2)</t>
    </r>
    <r>
      <rPr>
        <sz val="11"/>
        <color theme="1"/>
        <rFont val="Calibri"/>
        <family val="2"/>
        <scheme val="minor"/>
      </rPr>
      <t xml:space="preserve"> </t>
    </r>
    <r>
      <rPr>
        <b/>
        <sz val="11"/>
        <color theme="1"/>
        <rFont val="Calibri"/>
        <family val="2"/>
        <scheme val="minor"/>
      </rPr>
      <t>UCP</t>
    </r>
    <r>
      <rPr>
        <sz val="11"/>
        <color theme="1"/>
        <rFont val="Calibri"/>
        <family val="2"/>
        <scheme val="minor"/>
      </rPr>
      <t xml:space="preserve"> positivity was linked to poor response to </t>
    </r>
    <r>
      <rPr>
        <b/>
        <sz val="11"/>
        <color theme="1"/>
        <rFont val="Calibri"/>
        <family val="2"/>
        <scheme val="minor"/>
      </rPr>
      <t>neoadjuvant</t>
    </r>
    <r>
      <rPr>
        <sz val="11"/>
        <color theme="1"/>
        <rFont val="Calibri"/>
        <family val="2"/>
        <scheme val="minor"/>
      </rPr>
      <t xml:space="preserve"> therapy and worse survival. </t>
    </r>
    <r>
      <rPr>
        <b/>
        <sz val="11"/>
        <color theme="1"/>
        <rFont val="Calibri"/>
        <family val="2"/>
        <scheme val="minor"/>
      </rPr>
      <t>3)</t>
    </r>
    <r>
      <rPr>
        <sz val="11"/>
        <color theme="1"/>
        <rFont val="Calibri"/>
        <family val="2"/>
        <scheme val="minor"/>
      </rPr>
      <t xml:space="preserve"> Inhibited UCP significantly decrease tumor growth and the capacity for metastasis. </t>
    </r>
    <r>
      <rPr>
        <b/>
        <sz val="11"/>
        <color theme="1"/>
        <rFont val="Calibri"/>
        <family val="2"/>
        <scheme val="minor"/>
      </rPr>
      <t>4) EMT</t>
    </r>
    <r>
      <rPr>
        <sz val="11"/>
        <color theme="1"/>
        <rFont val="Calibri"/>
        <family val="2"/>
        <scheme val="minor"/>
      </rPr>
      <t xml:space="preserve"> induced by </t>
    </r>
    <r>
      <rPr>
        <b/>
        <sz val="11"/>
        <color theme="1"/>
        <rFont val="Calibri"/>
        <family val="2"/>
        <scheme val="minor"/>
      </rPr>
      <t>VHL/HIF-1alpha-TGF-beta1</t>
    </r>
    <r>
      <rPr>
        <sz val="11"/>
        <color theme="1"/>
        <rFont val="Calibri"/>
        <family val="2"/>
        <scheme val="minor"/>
      </rPr>
      <t xml:space="preserve"> pathway might be the underlying mechanism responsible to the more aggressive tumor growth in UCP-positive esophageal cancer. </t>
    </r>
    <r>
      <rPr>
        <b/>
        <sz val="11"/>
        <color theme="1"/>
        <rFont val="Calibri"/>
        <family val="2"/>
        <scheme val="minor"/>
      </rPr>
      <t xml:space="preserve">5) </t>
    </r>
    <r>
      <rPr>
        <sz val="11"/>
        <color theme="1"/>
        <rFont val="Calibri"/>
        <family val="2"/>
        <scheme val="minor"/>
      </rPr>
      <t>UCP was significantly associated with poor prognosis of esophageal cancer</t>
    </r>
  </si>
  <si>
    <r>
      <rPr>
        <b/>
        <sz val="11"/>
        <color theme="1"/>
        <rFont val="Calibri"/>
        <family val="2"/>
        <scheme val="minor"/>
      </rPr>
      <t>1)</t>
    </r>
    <r>
      <rPr>
        <sz val="11"/>
        <color theme="1"/>
        <rFont val="Calibri"/>
        <family val="2"/>
        <scheme val="minor"/>
      </rPr>
      <t xml:space="preserve"> Overexpression of UBE2T rescued cellular hypersensitivity to crosslinking agents MMC, DEB and </t>
    </r>
    <r>
      <rPr>
        <b/>
        <sz val="11"/>
        <color theme="1"/>
        <rFont val="Calibri"/>
        <family val="2"/>
        <scheme val="minor"/>
      </rPr>
      <t>cisplatin</t>
    </r>
    <r>
      <rPr>
        <sz val="11"/>
        <color theme="1"/>
        <rFont val="Calibri"/>
        <family val="2"/>
        <scheme val="minor"/>
      </rPr>
      <t xml:space="preserve">. </t>
    </r>
    <r>
      <rPr>
        <b/>
        <sz val="11"/>
        <color theme="1"/>
        <rFont val="Calibri"/>
        <family val="2"/>
        <scheme val="minor"/>
      </rPr>
      <t>2)</t>
    </r>
    <r>
      <rPr>
        <sz val="11"/>
        <color theme="1"/>
        <rFont val="Calibri"/>
        <family val="2"/>
        <scheme val="minor"/>
      </rPr>
      <t xml:space="preserve"> Two independently derived ΔUBE2T cell lines show hypersensitivity to </t>
    </r>
    <r>
      <rPr>
        <b/>
        <sz val="11"/>
        <color theme="1"/>
        <rFont val="Calibri"/>
        <family val="2"/>
        <scheme val="minor"/>
      </rPr>
      <t>cisplatin</t>
    </r>
    <r>
      <rPr>
        <sz val="11"/>
        <color theme="1"/>
        <rFont val="Calibri"/>
        <family val="2"/>
        <scheme val="minor"/>
      </rPr>
      <t xml:space="preserve"> and are defective in the monoubiquitination of FANCD2. 3) UBE2T Is the </t>
    </r>
    <r>
      <rPr>
        <b/>
        <sz val="11"/>
        <color theme="1"/>
        <rFont val="Calibri"/>
        <family val="2"/>
        <scheme val="minor"/>
      </rPr>
      <t>E2</t>
    </r>
    <r>
      <rPr>
        <sz val="11"/>
        <color theme="1"/>
        <rFont val="Calibri"/>
        <family val="2"/>
        <scheme val="minor"/>
      </rPr>
      <t xml:space="preserve"> in the Fanconi Anemia Pathway and Undergoes Negative Autoregulation.  </t>
    </r>
  </si>
  <si>
    <r>
      <rPr>
        <b/>
        <sz val="11"/>
        <color theme="1"/>
        <rFont val="Calibri"/>
        <family val="2"/>
        <scheme val="minor"/>
      </rPr>
      <t>1) UBR5</t>
    </r>
    <r>
      <rPr>
        <sz val="11"/>
        <color theme="1"/>
        <rFont val="Calibri"/>
        <family val="2"/>
        <scheme val="minor"/>
      </rPr>
      <t xml:space="preserve"> interacts physically with </t>
    </r>
    <r>
      <rPr>
        <b/>
        <sz val="11"/>
        <color theme="1"/>
        <rFont val="Calibri"/>
        <family val="2"/>
        <scheme val="minor"/>
      </rPr>
      <t>MOAP-1</t>
    </r>
    <r>
      <rPr>
        <sz val="11"/>
        <color theme="1"/>
        <rFont val="Calibri"/>
        <family val="2"/>
        <scheme val="minor"/>
      </rPr>
      <t xml:space="preserve">, ubiquitylates </t>
    </r>
    <r>
      <rPr>
        <b/>
        <sz val="11"/>
        <color theme="1"/>
        <rFont val="Calibri"/>
        <family val="2"/>
        <scheme val="minor"/>
      </rPr>
      <t>MOAP-1</t>
    </r>
    <r>
      <rPr>
        <sz val="11"/>
        <color theme="1"/>
        <rFont val="Calibri"/>
        <family val="2"/>
        <scheme val="minor"/>
      </rPr>
      <t xml:space="preserve"> in vitro and inhibits </t>
    </r>
    <r>
      <rPr>
        <b/>
        <sz val="11"/>
        <color theme="1"/>
        <rFont val="Calibri"/>
        <family val="2"/>
        <scheme val="minor"/>
      </rPr>
      <t>MOAP-1</t>
    </r>
    <r>
      <rPr>
        <sz val="11"/>
        <color theme="1"/>
        <rFont val="Calibri"/>
        <family val="2"/>
        <scheme val="minor"/>
      </rPr>
      <t xml:space="preserve"> stability in cultured cells. </t>
    </r>
    <r>
      <rPr>
        <b/>
        <sz val="11"/>
        <color theme="1"/>
        <rFont val="Calibri"/>
        <family val="2"/>
        <scheme val="minor"/>
      </rPr>
      <t xml:space="preserve">2) </t>
    </r>
    <r>
      <rPr>
        <sz val="11"/>
        <color theme="1"/>
        <rFont val="Calibri"/>
        <family val="2"/>
        <scheme val="minor"/>
      </rPr>
      <t xml:space="preserve">UBR5 knockdown increased </t>
    </r>
    <r>
      <rPr>
        <b/>
        <sz val="11"/>
        <color theme="1"/>
        <rFont val="Calibri"/>
        <family val="2"/>
        <scheme val="minor"/>
      </rPr>
      <t>MOAP-1</t>
    </r>
    <r>
      <rPr>
        <sz val="11"/>
        <color theme="1"/>
        <rFont val="Calibri"/>
        <family val="2"/>
        <scheme val="minor"/>
      </rPr>
      <t xml:space="preserve"> expression, enhanced Bax activation and sensitized otherwise resistant cells to cisplatin-induced apoptosis. </t>
    </r>
    <r>
      <rPr>
        <b/>
        <sz val="11"/>
        <color theme="1"/>
        <rFont val="Calibri"/>
        <family val="2"/>
        <scheme val="minor"/>
      </rPr>
      <t>3)</t>
    </r>
    <r>
      <rPr>
        <sz val="11"/>
        <color theme="1"/>
        <rFont val="Calibri"/>
        <family val="2"/>
        <scheme val="minor"/>
      </rPr>
      <t xml:space="preserve"> UBR5 expression was higher in ovarian cancers from cisplatin-resistant patients than from cisplatin-responsive patient. </t>
    </r>
  </si>
  <si>
    <r>
      <rPr>
        <b/>
        <sz val="11"/>
        <color theme="1"/>
        <rFont val="Calibri"/>
        <family val="2"/>
        <scheme val="minor"/>
      </rPr>
      <t xml:space="preserve">1) </t>
    </r>
    <r>
      <rPr>
        <sz val="11"/>
        <color theme="1"/>
        <rFont val="Calibri"/>
        <family val="2"/>
        <scheme val="minor"/>
      </rPr>
      <t xml:space="preserve">in 7 </t>
    </r>
    <r>
      <rPr>
        <b/>
        <sz val="11"/>
        <color theme="1"/>
        <rFont val="Calibri"/>
        <family val="2"/>
        <scheme val="minor"/>
      </rPr>
      <t>ovarian</t>
    </r>
    <r>
      <rPr>
        <sz val="11"/>
        <color theme="1"/>
        <rFont val="Calibri"/>
        <family val="2"/>
        <scheme val="minor"/>
      </rPr>
      <t xml:space="preserve"> cancer cell lines. 4 of them with UCHL1 silencing showed heavy promoter methylation while the other 3 with relative high UCHL1 expression showed little promoter methylation. </t>
    </r>
    <r>
      <rPr>
        <b/>
        <sz val="11"/>
        <color theme="1"/>
        <rFont val="Calibri"/>
        <family val="2"/>
        <scheme val="minor"/>
      </rPr>
      <t>2)</t>
    </r>
    <r>
      <rPr>
        <sz val="11"/>
        <color theme="1"/>
        <rFont val="Calibri"/>
        <family val="2"/>
        <scheme val="minor"/>
      </rPr>
      <t xml:space="preserve"> inhibition of UCHL1 promoted cell proliferation also increased </t>
    </r>
    <r>
      <rPr>
        <b/>
        <sz val="11"/>
        <color theme="1"/>
        <rFont val="Calibri"/>
        <family val="2"/>
        <scheme val="minor"/>
      </rPr>
      <t>cisplatin</t>
    </r>
    <r>
      <rPr>
        <sz val="11"/>
        <color theme="1"/>
        <rFont val="Calibri"/>
        <family val="2"/>
        <scheme val="minor"/>
      </rPr>
      <t xml:space="preserve"> resistance. </t>
    </r>
    <r>
      <rPr>
        <b/>
        <sz val="11"/>
        <color theme="1"/>
        <rFont val="Calibri"/>
        <family val="2"/>
        <scheme val="minor"/>
      </rPr>
      <t xml:space="preserve">3) </t>
    </r>
    <r>
      <rPr>
        <sz val="11"/>
        <color theme="1"/>
        <rFont val="Calibri"/>
        <family val="2"/>
        <scheme val="minor"/>
      </rPr>
      <t xml:space="preserve">the expression level of UCHL1 in several ovarian cancer cell lines correlated negatively with their cisplatin resistance levels. </t>
    </r>
    <r>
      <rPr>
        <b/>
        <sz val="11"/>
        <color theme="1"/>
        <rFont val="Calibri"/>
        <family val="2"/>
        <scheme val="minor"/>
      </rPr>
      <t>4)</t>
    </r>
    <r>
      <rPr>
        <sz val="11"/>
        <color theme="1"/>
        <rFont val="Calibri"/>
        <family val="2"/>
        <scheme val="minor"/>
      </rPr>
      <t xml:space="preserve"> Several apoptosis related genes were increased after UCHL1 knockdown, including apoptosis regulator BCL2, BCL11A, AEN and XIAP. </t>
    </r>
    <r>
      <rPr>
        <b/>
        <sz val="11"/>
        <color theme="1"/>
        <rFont val="Calibri"/>
        <family val="2"/>
        <scheme val="minor"/>
      </rPr>
      <t xml:space="preserve">5) </t>
    </r>
    <r>
      <rPr>
        <sz val="11"/>
        <color theme="1"/>
        <rFont val="Calibri"/>
        <family val="2"/>
        <scheme val="minor"/>
      </rPr>
      <t xml:space="preserve">up-regulation of Bcl-2 and </t>
    </r>
    <r>
      <rPr>
        <b/>
        <sz val="11"/>
        <color theme="1"/>
        <rFont val="Calibri"/>
        <family val="2"/>
        <scheme val="minor"/>
      </rPr>
      <t>pAKT</t>
    </r>
    <r>
      <rPr>
        <sz val="11"/>
        <color theme="1"/>
        <rFont val="Calibri"/>
        <family val="2"/>
        <scheme val="minor"/>
      </rPr>
      <t xml:space="preserve"> as well as down-regulation of Bax in UCHL1 knockdown cells, while no significant alteration of p53 and AKT1 was found. </t>
    </r>
  </si>
  <si>
    <r>
      <rPr>
        <b/>
        <sz val="11"/>
        <color theme="1"/>
        <rFont val="Calibri"/>
        <family val="2"/>
        <scheme val="minor"/>
      </rPr>
      <t>1)</t>
    </r>
    <r>
      <rPr>
        <sz val="11"/>
        <color theme="1"/>
        <rFont val="Calibri"/>
        <family val="2"/>
        <scheme val="minor"/>
      </rPr>
      <t xml:space="preserve"> Downregulation of UCP2 significantly causes increased cell death following chemotherapy.</t>
    </r>
    <r>
      <rPr>
        <b/>
        <sz val="11"/>
        <color theme="1"/>
        <rFont val="Calibri"/>
        <family val="2"/>
        <scheme val="minor"/>
      </rPr>
      <t xml:space="preserve"> 2)</t>
    </r>
    <r>
      <rPr>
        <sz val="11"/>
        <color theme="1"/>
        <rFont val="Calibri"/>
        <family val="2"/>
        <scheme val="minor"/>
      </rPr>
      <t xml:space="preserve"> The UCP2 weighted score was lower in the </t>
    </r>
    <r>
      <rPr>
        <b/>
        <sz val="11"/>
        <color theme="1"/>
        <rFont val="Calibri"/>
        <family val="2"/>
        <scheme val="minor"/>
      </rPr>
      <t>platinum</t>
    </r>
    <r>
      <rPr>
        <sz val="11"/>
        <color theme="1"/>
        <rFont val="Calibri"/>
        <family val="2"/>
        <scheme val="minor"/>
      </rPr>
      <t xml:space="preserve">-sensitive group than in the platinum resistant-group (P=0.005). </t>
    </r>
    <r>
      <rPr>
        <b/>
        <sz val="11"/>
        <color theme="1"/>
        <rFont val="Calibri"/>
        <family val="2"/>
        <scheme val="minor"/>
      </rPr>
      <t xml:space="preserve">3) </t>
    </r>
    <r>
      <rPr>
        <sz val="11"/>
        <color theme="1"/>
        <rFont val="Calibri"/>
        <family val="2"/>
        <scheme val="minor"/>
      </rPr>
      <t xml:space="preserve">patients in the low UCP2 expression group were more sensitive to platinum-based chemotherapy than those in the high UCP2 expression group (P=0.001). </t>
    </r>
    <r>
      <rPr>
        <b/>
        <sz val="11"/>
        <color theme="1"/>
        <rFont val="Calibri"/>
        <family val="2"/>
        <scheme val="minor"/>
      </rPr>
      <t xml:space="preserve">4) </t>
    </r>
    <r>
      <rPr>
        <sz val="11"/>
        <color theme="1"/>
        <rFont val="Calibri"/>
        <family val="2"/>
        <scheme val="minor"/>
      </rPr>
      <t xml:space="preserve">Sensitivity to carboplatin was significantly increased when UCP2 was inhibited in human </t>
    </r>
    <r>
      <rPr>
        <b/>
        <sz val="11"/>
        <color theme="1"/>
        <rFont val="Calibri"/>
        <family val="2"/>
        <scheme val="minor"/>
      </rPr>
      <t>ovarian</t>
    </r>
    <r>
      <rPr>
        <sz val="11"/>
        <color theme="1"/>
        <rFont val="Calibri"/>
        <family val="2"/>
        <scheme val="minor"/>
      </rPr>
      <t xml:space="preserve"> serous carcinoma cells in vitro. </t>
    </r>
  </si>
  <si>
    <r>
      <rPr>
        <b/>
        <sz val="11"/>
        <color theme="1"/>
        <rFont val="Calibri"/>
        <family val="2"/>
        <scheme val="minor"/>
      </rPr>
      <t>1)</t>
    </r>
    <r>
      <rPr>
        <sz val="11"/>
        <color theme="1"/>
        <rFont val="Calibri"/>
        <family val="2"/>
        <scheme val="minor"/>
      </rPr>
      <t xml:space="preserve"> There was a statistically negative correlation between </t>
    </r>
    <r>
      <rPr>
        <b/>
        <sz val="11"/>
        <color theme="1"/>
        <rFont val="Calibri"/>
        <family val="2"/>
        <scheme val="minor"/>
      </rPr>
      <t>GCS</t>
    </r>
    <r>
      <rPr>
        <sz val="11"/>
        <color theme="1"/>
        <rFont val="Calibri"/>
        <family val="2"/>
        <scheme val="minor"/>
      </rPr>
      <t xml:space="preserve"> CpG islands methylation and GCSphenotype in patients with </t>
    </r>
    <r>
      <rPr>
        <b/>
        <sz val="11"/>
        <color theme="1"/>
        <rFont val="Calibri"/>
        <family val="2"/>
        <scheme val="minor"/>
      </rPr>
      <t>breast</t>
    </r>
    <r>
      <rPr>
        <sz val="11"/>
        <color theme="1"/>
        <rFont val="Calibri"/>
        <family val="2"/>
        <scheme val="minor"/>
      </rPr>
      <t xml:space="preserve"> cancer. </t>
    </r>
    <r>
      <rPr>
        <b/>
        <sz val="11"/>
        <color theme="1"/>
        <rFont val="Calibri"/>
        <family val="2"/>
        <scheme val="minor"/>
      </rPr>
      <t xml:space="preserve">2) </t>
    </r>
    <r>
      <rPr>
        <sz val="11"/>
        <color theme="1"/>
        <rFont val="Calibri"/>
        <family val="2"/>
        <scheme val="minor"/>
      </rPr>
      <t xml:space="preserve">GCS CpG islands methylation was negatively associated with high ER, meanwhile positively with high </t>
    </r>
    <r>
      <rPr>
        <b/>
        <sz val="11"/>
        <color theme="1"/>
        <rFont val="Calibri"/>
        <family val="2"/>
        <scheme val="minor"/>
      </rPr>
      <t>HER-2</t>
    </r>
    <r>
      <rPr>
        <sz val="11"/>
        <color theme="1"/>
        <rFont val="Calibri"/>
        <family val="2"/>
        <scheme val="minor"/>
      </rPr>
      <t xml:space="preserve"> status. </t>
    </r>
    <r>
      <rPr>
        <b/>
        <sz val="11"/>
        <color theme="1"/>
        <rFont val="Calibri"/>
        <family val="2"/>
        <scheme val="minor"/>
      </rPr>
      <t xml:space="preserve">3) </t>
    </r>
    <r>
      <rPr>
        <sz val="11"/>
        <color theme="1"/>
        <rFont val="Calibri"/>
        <family val="2"/>
        <scheme val="minor"/>
      </rPr>
      <t xml:space="preserve">Similar results were obtained from the analysis of breast cancer cell lines. Treatment with the demethylating agent 5-aza-2'-deoxycytidine (5-Aza-dc) changed the GCS promoter methylation pattern in three sensitive cells and also caused increased </t>
    </r>
    <r>
      <rPr>
        <b/>
        <sz val="11"/>
        <color theme="1"/>
        <rFont val="Calibri"/>
        <family val="2"/>
        <scheme val="minor"/>
      </rPr>
      <t>drug resistance</t>
    </r>
    <r>
      <rPr>
        <sz val="11"/>
        <color theme="1"/>
        <rFont val="Calibri"/>
        <family val="2"/>
        <scheme val="minor"/>
      </rPr>
      <t xml:space="preserve"> of them. </t>
    </r>
    <r>
      <rPr>
        <b/>
        <sz val="11"/>
        <color theme="1"/>
        <rFont val="Calibri"/>
        <family val="2"/>
        <scheme val="minor"/>
      </rPr>
      <t>4)</t>
    </r>
    <r>
      <rPr>
        <sz val="11"/>
        <color theme="1"/>
        <rFont val="Calibri"/>
        <family val="2"/>
        <scheme val="minor"/>
      </rPr>
      <t xml:space="preserve"> Inhibition of the </t>
    </r>
    <r>
      <rPr>
        <b/>
        <sz val="11"/>
        <color theme="1"/>
        <rFont val="Calibri"/>
        <family val="2"/>
        <scheme val="minor"/>
      </rPr>
      <t>UGCG</t>
    </r>
    <r>
      <rPr>
        <sz val="11"/>
        <color theme="1"/>
        <rFont val="Calibri"/>
        <family val="2"/>
        <scheme val="minor"/>
      </rPr>
      <t xml:space="preserve"> leads to high ceramide levels in</t>
    </r>
    <r>
      <rPr>
        <b/>
        <sz val="11"/>
        <color theme="1"/>
        <rFont val="Calibri"/>
        <family val="2"/>
        <scheme val="minor"/>
      </rPr>
      <t xml:space="preserve"> breast</t>
    </r>
    <r>
      <rPr>
        <sz val="11"/>
        <color theme="1"/>
        <rFont val="Calibri"/>
        <family val="2"/>
        <scheme val="minor"/>
      </rPr>
      <t xml:space="preserve"> cancer cells and results in caspase-3 activation and subsequently </t>
    </r>
    <r>
      <rPr>
        <b/>
        <sz val="11"/>
        <color theme="1"/>
        <rFont val="Calibri"/>
        <family val="2"/>
        <scheme val="minor"/>
      </rPr>
      <t>cell death. 5)</t>
    </r>
    <r>
      <rPr>
        <sz val="11"/>
        <color theme="1"/>
        <rFont val="Calibri"/>
        <family val="2"/>
        <scheme val="minor"/>
      </rPr>
      <t xml:space="preserve"> in a mice xenograft model treatment with shRNA against the UGCG leads to decreased tumor growth and</t>
    </r>
    <r>
      <rPr>
        <b/>
        <sz val="11"/>
        <color theme="1"/>
        <rFont val="Calibri"/>
        <family val="2"/>
        <scheme val="minor"/>
      </rPr>
      <t xml:space="preserve"> 6)</t>
    </r>
    <r>
      <rPr>
        <sz val="11"/>
        <color theme="1"/>
        <rFont val="Calibri"/>
        <family val="2"/>
        <scheme val="minor"/>
      </rPr>
      <t xml:space="preserve"> the MDR1 gene expression and subsequently P-gp protein is inhibited in vivo. </t>
    </r>
  </si>
  <si>
    <r>
      <rPr>
        <b/>
        <sz val="11"/>
        <color theme="1"/>
        <rFont val="Calibri"/>
        <family val="2"/>
        <scheme val="minor"/>
      </rPr>
      <t xml:space="preserve">1) </t>
    </r>
    <r>
      <rPr>
        <sz val="11"/>
        <color theme="1"/>
        <rFont val="Calibri"/>
        <family val="2"/>
        <scheme val="minor"/>
      </rPr>
      <t xml:space="preserve">Inhibition of RAP80 expression can induce apoptosis in breast cancer MCF7 cells and improve chemosensitivity to </t>
    </r>
    <r>
      <rPr>
        <b/>
        <sz val="11"/>
        <color theme="1"/>
        <rFont val="Calibri"/>
        <family val="2"/>
        <scheme val="minor"/>
      </rPr>
      <t>cisplatin</t>
    </r>
    <r>
      <rPr>
        <sz val="11"/>
        <color theme="1"/>
        <rFont val="Calibri"/>
        <family val="2"/>
        <scheme val="minor"/>
      </rPr>
      <t xml:space="preserve">. </t>
    </r>
    <r>
      <rPr>
        <b/>
        <sz val="11"/>
        <color theme="1"/>
        <rFont val="Calibri"/>
        <family val="2"/>
        <scheme val="minor"/>
      </rPr>
      <t xml:space="preserve">2) </t>
    </r>
    <r>
      <rPr>
        <sz val="11"/>
        <color theme="1"/>
        <rFont val="Calibri"/>
        <family val="2"/>
        <scheme val="minor"/>
      </rPr>
      <t xml:space="preserve">the RAP80 mRNA level was validated to be an independent prognosis biomarker for the </t>
    </r>
    <r>
      <rPr>
        <b/>
        <sz val="11"/>
        <color theme="1"/>
        <rFont val="Calibri"/>
        <family val="2"/>
        <scheme val="minor"/>
      </rPr>
      <t>overall survival time</t>
    </r>
    <r>
      <rPr>
        <sz val="11"/>
        <color theme="1"/>
        <rFont val="Calibri"/>
        <family val="2"/>
        <scheme val="minor"/>
      </rPr>
      <t xml:space="preserve"> of ESCC patients. </t>
    </r>
    <r>
      <rPr>
        <b/>
        <sz val="11"/>
        <color theme="1"/>
        <rFont val="Calibri"/>
        <family val="2"/>
        <scheme val="minor"/>
      </rPr>
      <t>3)</t>
    </r>
    <r>
      <rPr>
        <sz val="11"/>
        <color theme="1"/>
        <rFont val="Calibri"/>
        <family val="2"/>
        <scheme val="minor"/>
      </rPr>
      <t xml:space="preserve"> RAP80, a component of the BRCA1-A complex, influenced outcome in patients with low BRCA1 expression treated with </t>
    </r>
    <r>
      <rPr>
        <b/>
        <sz val="11"/>
        <color theme="1"/>
        <rFont val="Calibri"/>
        <family val="2"/>
        <scheme val="minor"/>
      </rPr>
      <t>cisplatin</t>
    </r>
    <r>
      <rPr>
        <sz val="11"/>
        <color theme="1"/>
        <rFont val="Calibri"/>
        <family val="2"/>
        <scheme val="minor"/>
      </rPr>
      <t xml:space="preserve">/gemcitabine, and in patients with intermediate/high BRCA1 levels receiving </t>
    </r>
    <r>
      <rPr>
        <b/>
        <sz val="11"/>
        <color theme="1"/>
        <rFont val="Calibri"/>
        <family val="2"/>
        <scheme val="minor"/>
      </rPr>
      <t>cisplatin</t>
    </r>
    <r>
      <rPr>
        <sz val="11"/>
        <color theme="1"/>
        <rFont val="Calibri"/>
        <family val="2"/>
        <scheme val="minor"/>
      </rPr>
      <t xml:space="preserve">/docetaxel or docetaxel alone.  </t>
    </r>
    <r>
      <rPr>
        <b/>
        <sz val="11"/>
        <color theme="1"/>
        <rFont val="Calibri"/>
        <family val="2"/>
        <scheme val="minor"/>
      </rPr>
      <t xml:space="preserve">4) </t>
    </r>
    <r>
      <rPr>
        <sz val="11"/>
        <color theme="1"/>
        <rFont val="Calibri"/>
        <family val="2"/>
        <scheme val="minor"/>
      </rPr>
      <t xml:space="preserve">participated in G2/M checkpoint regulation. </t>
    </r>
    <r>
      <rPr>
        <b/>
        <sz val="11"/>
        <color theme="1"/>
        <rFont val="Calibri"/>
        <family val="2"/>
        <scheme val="minor"/>
      </rPr>
      <t xml:space="preserve">5) </t>
    </r>
    <r>
      <rPr>
        <sz val="11"/>
        <color theme="1"/>
        <rFont val="Calibri"/>
        <family val="2"/>
        <scheme val="minor"/>
      </rPr>
      <t xml:space="preserve">ATM phosphorylates RAP80 at different serine sites upon DNA damage. </t>
    </r>
    <r>
      <rPr>
        <b/>
        <sz val="11"/>
        <color theme="1"/>
        <rFont val="Calibri"/>
        <family val="2"/>
        <scheme val="minor"/>
      </rPr>
      <t xml:space="preserve">6) </t>
    </r>
    <r>
      <rPr>
        <sz val="11"/>
        <color theme="1"/>
        <rFont val="Calibri"/>
        <family val="2"/>
        <scheme val="minor"/>
      </rPr>
      <t xml:space="preserve">RAP80 positively regulated the ATM activity via proteasome–ubiquitination pathway to promote the transition of G2/M phase in cell cycle. </t>
    </r>
    <r>
      <rPr>
        <b/>
        <sz val="11"/>
        <color theme="1"/>
        <rFont val="Calibri"/>
        <family val="2"/>
        <scheme val="minor"/>
      </rPr>
      <t xml:space="preserve">7) </t>
    </r>
    <r>
      <rPr>
        <sz val="11"/>
        <color theme="1"/>
        <rFont val="Calibri"/>
        <family val="2"/>
        <scheme val="minor"/>
      </rPr>
      <t xml:space="preserve">RAP80 positively regulated the stability of </t>
    </r>
    <r>
      <rPr>
        <b/>
        <sz val="11"/>
        <color theme="1"/>
        <rFont val="Calibri"/>
        <family val="2"/>
        <scheme val="minor"/>
      </rPr>
      <t xml:space="preserve">USP13 </t>
    </r>
    <r>
      <rPr>
        <sz val="11"/>
        <color theme="1"/>
        <rFont val="Calibri"/>
        <family val="2"/>
        <scheme val="minor"/>
      </rPr>
      <t xml:space="preserve">to promote cell proliferation of EC cells. </t>
    </r>
    <r>
      <rPr>
        <b/>
        <sz val="11"/>
        <color theme="1"/>
        <rFont val="Calibri"/>
        <family val="2"/>
        <scheme val="minor"/>
      </rPr>
      <t xml:space="preserve">8) </t>
    </r>
    <r>
      <rPr>
        <sz val="11"/>
        <color theme="1"/>
        <rFont val="Calibri"/>
        <family val="2"/>
        <scheme val="minor"/>
      </rPr>
      <t xml:space="preserve">Preclinical data and retrospective analyses showed that BRCA1 is able to induce resistance to cisplatin and sensitivity to antimicrotubule agents. In addition, the mRNA levels of expression of RAP80, encoding for a protein cooperating with BRCA1 in homologous recombination (HR), have demonstrated to further sub-classify low BRCA1 NSCLC tumors, improving the predictive model. </t>
    </r>
  </si>
  <si>
    <r>
      <rPr>
        <b/>
        <sz val="11"/>
        <color theme="1"/>
        <rFont val="Calibri"/>
        <family val="2"/>
        <scheme val="minor"/>
      </rPr>
      <t>1) B</t>
    </r>
    <r>
      <rPr>
        <sz val="11"/>
        <color theme="1"/>
        <rFont val="Calibri"/>
        <family val="2"/>
        <scheme val="minor"/>
      </rPr>
      <t xml:space="preserve">locking BER with MX as well as deficiency of Polβ and UNG conferred resistance to </t>
    </r>
    <r>
      <rPr>
        <b/>
        <sz val="11"/>
        <color theme="1"/>
        <rFont val="Calibri"/>
        <family val="2"/>
        <scheme val="minor"/>
      </rPr>
      <t>cisplatin</t>
    </r>
    <r>
      <rPr>
        <sz val="11"/>
        <color theme="1"/>
        <rFont val="Calibri"/>
        <family val="2"/>
        <scheme val="minor"/>
      </rPr>
      <t xml:space="preserve"> treatment. </t>
    </r>
    <r>
      <rPr>
        <b/>
        <sz val="11"/>
        <color theme="1"/>
        <rFont val="Calibri"/>
        <family val="2"/>
        <scheme val="minor"/>
      </rPr>
      <t>2)</t>
    </r>
    <r>
      <rPr>
        <sz val="11"/>
        <color theme="1"/>
        <rFont val="Calibri"/>
        <family val="2"/>
        <scheme val="minor"/>
      </rPr>
      <t xml:space="preserve"> Uracil DNA glycosylase (UNG) is the primary glycosylase responsible for the removal of uracils adjacent to </t>
    </r>
    <r>
      <rPr>
        <b/>
        <sz val="11"/>
        <color theme="1"/>
        <rFont val="Calibri"/>
        <family val="2"/>
        <scheme val="minor"/>
      </rPr>
      <t>cisplatin</t>
    </r>
    <r>
      <rPr>
        <sz val="11"/>
        <color theme="1"/>
        <rFont val="Calibri"/>
        <family val="2"/>
        <scheme val="minor"/>
      </rPr>
      <t xml:space="preserve"> ICLs, whereas other uracil glycosylases can process uracils in the context of undamaged DNA. </t>
    </r>
  </si>
  <si>
    <r>
      <rPr>
        <b/>
        <sz val="11"/>
        <color theme="1"/>
        <rFont val="Calibri"/>
        <family val="2"/>
        <scheme val="minor"/>
      </rPr>
      <t xml:space="preserve">1) </t>
    </r>
    <r>
      <rPr>
        <sz val="11"/>
        <color theme="1"/>
        <rFont val="Calibri"/>
        <family val="2"/>
        <scheme val="minor"/>
      </rPr>
      <t xml:space="preserve">By constitutively detaining PP1γ in inactive complexes, URI sustains S6K1 survival signaling under growth factor–limiting conditions and mediates resistance of cells to </t>
    </r>
    <r>
      <rPr>
        <b/>
        <sz val="11"/>
        <color theme="1"/>
        <rFont val="Calibri"/>
        <family val="2"/>
        <scheme val="minor"/>
      </rPr>
      <t>cisplatin</t>
    </r>
    <r>
      <rPr>
        <sz val="11"/>
        <color theme="1"/>
        <rFont val="Calibri"/>
        <family val="2"/>
        <scheme val="minor"/>
      </rPr>
      <t xml:space="preserve">. </t>
    </r>
    <r>
      <rPr>
        <b/>
        <sz val="11"/>
        <color theme="1"/>
        <rFont val="Calibri"/>
        <family val="2"/>
        <scheme val="minor"/>
      </rPr>
      <t>2)</t>
    </r>
    <r>
      <rPr>
        <sz val="11"/>
        <color theme="1"/>
        <rFont val="Calibri"/>
        <family val="2"/>
        <scheme val="minor"/>
      </rPr>
      <t xml:space="preserve"> the 19q12 amplicon has been shown in a genomewide screen to correlate with resistance against platinum-based chemotherapy in </t>
    </r>
    <r>
      <rPr>
        <b/>
        <sz val="11"/>
        <color theme="1"/>
        <rFont val="Calibri"/>
        <family val="2"/>
        <scheme val="minor"/>
      </rPr>
      <t>ovarian</t>
    </r>
    <r>
      <rPr>
        <sz val="11"/>
        <color theme="1"/>
        <rFont val="Calibri"/>
        <family val="2"/>
        <scheme val="minor"/>
      </rPr>
      <t xml:space="preserve"> cancer. </t>
    </r>
    <r>
      <rPr>
        <b/>
        <sz val="11"/>
        <color theme="1"/>
        <rFont val="Calibri"/>
        <family val="2"/>
        <scheme val="minor"/>
      </rPr>
      <t>3)</t>
    </r>
    <r>
      <rPr>
        <sz val="11"/>
        <color theme="1"/>
        <rFont val="Calibri"/>
        <family val="2"/>
        <scheme val="minor"/>
      </rPr>
      <t xml:space="preserve"> URI depletion selectively reduced colony formation of platinum-resistant OVCAR-3 and FU-OV-1 cells. This effect was considerably less pronounced or absent in platinum-sensitive SKOV-3 or TOV-21G cells, respectively. </t>
    </r>
    <r>
      <rPr>
        <b/>
        <sz val="11"/>
        <color theme="1"/>
        <rFont val="Calibri"/>
        <family val="2"/>
        <scheme val="minor"/>
      </rPr>
      <t>4)</t>
    </r>
    <r>
      <rPr>
        <sz val="11"/>
        <color theme="1"/>
        <rFont val="Calibri"/>
        <family val="2"/>
        <scheme val="minor"/>
      </rPr>
      <t xml:space="preserve"> URI knockdown in URI-amplified OVCAR-3 cells abolished their ability to form tumors in immunodeficient mice. </t>
    </r>
    <r>
      <rPr>
        <b/>
        <sz val="11"/>
        <color theme="1"/>
        <rFont val="Calibri"/>
        <family val="2"/>
        <scheme val="minor"/>
      </rPr>
      <t>5)</t>
    </r>
    <r>
      <rPr>
        <sz val="11"/>
        <color theme="1"/>
        <rFont val="Calibri"/>
        <family val="2"/>
        <scheme val="minor"/>
      </rPr>
      <t xml:space="preserve"> URI amplification correlates with the failure of ovarian cancer cells to respond to platin-based chemotherapy</t>
    </r>
  </si>
  <si>
    <r>
      <rPr>
        <b/>
        <sz val="11"/>
        <color theme="1"/>
        <rFont val="Calibri"/>
        <family val="2"/>
        <scheme val="minor"/>
      </rPr>
      <t xml:space="preserve">1) </t>
    </r>
    <r>
      <rPr>
        <sz val="11"/>
        <color theme="1"/>
        <rFont val="Calibri"/>
        <family val="2"/>
        <scheme val="minor"/>
      </rPr>
      <t xml:space="preserve">The translation of the mRNA encoding </t>
    </r>
    <r>
      <rPr>
        <b/>
        <sz val="11"/>
        <color theme="1"/>
        <rFont val="Calibri"/>
        <family val="2"/>
        <scheme val="minor"/>
      </rPr>
      <t>USP1</t>
    </r>
    <r>
      <rPr>
        <sz val="11"/>
        <color theme="1"/>
        <rFont val="Calibri"/>
        <family val="2"/>
        <scheme val="minor"/>
      </rPr>
      <t xml:space="preserve">, a Ubiquitin peptidase with important function in multiple DNA repair pathways, is inhibited by </t>
    </r>
    <r>
      <rPr>
        <b/>
        <sz val="11"/>
        <color theme="1"/>
        <rFont val="Calibri"/>
        <family val="2"/>
        <scheme val="minor"/>
      </rPr>
      <t>CDDP</t>
    </r>
    <r>
      <rPr>
        <sz val="11"/>
        <color theme="1"/>
        <rFont val="Calibri"/>
        <family val="2"/>
        <scheme val="minor"/>
      </rPr>
      <t xml:space="preserve"> exposure in the sensitive cells, but not in the resistant cells. </t>
    </r>
    <r>
      <rPr>
        <b/>
        <sz val="11"/>
        <color theme="1"/>
        <rFont val="Calibri"/>
        <family val="2"/>
        <scheme val="minor"/>
      </rPr>
      <t xml:space="preserve">2) </t>
    </r>
    <r>
      <rPr>
        <sz val="11"/>
        <color theme="1"/>
        <rFont val="Calibri"/>
        <family val="2"/>
        <scheme val="minor"/>
      </rPr>
      <t xml:space="preserve">This lack of down-regulation of USP1 expression at the translational level plays a primary role in CDDP resistance since inhibition of USP1 expression or activity by siRNA or the small molecule inhibitor ML323, respectively is sufficient to re-sensitize resistant cells to CDDP. </t>
    </r>
    <r>
      <rPr>
        <b/>
        <sz val="11"/>
        <color theme="1"/>
        <rFont val="Calibri"/>
        <family val="2"/>
        <scheme val="minor"/>
      </rPr>
      <t xml:space="preserve">3) </t>
    </r>
    <r>
      <rPr>
        <sz val="11"/>
        <color theme="1"/>
        <rFont val="Calibri"/>
        <family val="2"/>
        <scheme val="minor"/>
      </rPr>
      <t xml:space="preserve">We involved the USP1 mRNA translation as a major mechanism of CDDP resistance in </t>
    </r>
    <r>
      <rPr>
        <b/>
        <sz val="11"/>
        <color theme="1"/>
        <rFont val="Calibri"/>
        <family val="2"/>
        <scheme val="minor"/>
      </rPr>
      <t>NSCLC</t>
    </r>
    <r>
      <rPr>
        <sz val="11"/>
        <color theme="1"/>
        <rFont val="Calibri"/>
        <family val="2"/>
        <scheme val="minor"/>
      </rPr>
      <t xml:space="preserve"> cells and suggest that USP1 could be evaluated as a candidate predictive marker and as a therapeutic target to overcome CDDP resistance. </t>
    </r>
  </si>
  <si>
    <r>
      <rPr>
        <b/>
        <sz val="11"/>
        <color theme="1"/>
        <rFont val="Calibri"/>
        <family val="2"/>
        <scheme val="minor"/>
      </rPr>
      <t xml:space="preserve">1) </t>
    </r>
    <r>
      <rPr>
        <sz val="11"/>
        <color theme="1"/>
        <rFont val="Calibri"/>
        <family val="2"/>
        <scheme val="minor"/>
      </rPr>
      <t>USP13 is phosphorylated by ATM following DNA damage which, in turn, facilitates its DSB localization.</t>
    </r>
    <r>
      <rPr>
        <b/>
        <sz val="11"/>
        <color theme="1"/>
        <rFont val="Calibri"/>
        <family val="2"/>
        <scheme val="minor"/>
      </rPr>
      <t xml:space="preserve"> 2)</t>
    </r>
    <r>
      <rPr>
        <sz val="11"/>
        <color theme="1"/>
        <rFont val="Calibri"/>
        <family val="2"/>
        <scheme val="minor"/>
      </rPr>
      <t xml:space="preserve"> USP13, in turn, deubiquitinates </t>
    </r>
    <r>
      <rPr>
        <b/>
        <sz val="11"/>
        <color theme="1"/>
        <rFont val="Calibri"/>
        <family val="2"/>
        <scheme val="minor"/>
      </rPr>
      <t>RAP80</t>
    </r>
    <r>
      <rPr>
        <sz val="11"/>
        <color theme="1"/>
        <rFont val="Calibri"/>
        <family val="2"/>
        <scheme val="minor"/>
      </rPr>
      <t xml:space="preserve"> and promotes RAP80 recruitment and proper DDR. </t>
    </r>
    <r>
      <rPr>
        <b/>
        <sz val="11"/>
        <color theme="1"/>
        <rFont val="Calibri"/>
        <family val="2"/>
        <scheme val="minor"/>
      </rPr>
      <t>3)</t>
    </r>
    <r>
      <rPr>
        <sz val="11"/>
        <color theme="1"/>
        <rFont val="Calibri"/>
        <family val="2"/>
        <scheme val="minor"/>
      </rPr>
      <t xml:space="preserve"> Depleting or inhibiting USP13 sensitizes </t>
    </r>
    <r>
      <rPr>
        <b/>
        <sz val="11"/>
        <color theme="1"/>
        <rFont val="Calibri"/>
        <family val="2"/>
        <scheme val="minor"/>
      </rPr>
      <t>ovarian</t>
    </r>
    <r>
      <rPr>
        <sz val="11"/>
        <color theme="1"/>
        <rFont val="Calibri"/>
        <family val="2"/>
        <scheme val="minor"/>
      </rPr>
      <t xml:space="preserve"> cancer cells to </t>
    </r>
    <r>
      <rPr>
        <b/>
        <sz val="11"/>
        <color theme="1"/>
        <rFont val="Calibri"/>
        <family val="2"/>
        <scheme val="minor"/>
      </rPr>
      <t>cisplatin</t>
    </r>
    <r>
      <rPr>
        <sz val="11"/>
        <color theme="1"/>
        <rFont val="Calibri"/>
        <family val="2"/>
        <scheme val="minor"/>
      </rPr>
      <t xml:space="preserve"> and PARP inhibitor (olaparib) </t>
    </r>
    <r>
      <rPr>
        <b/>
        <sz val="11"/>
        <color theme="1"/>
        <rFont val="Calibri"/>
        <family val="2"/>
        <scheme val="minor"/>
      </rPr>
      <t>4)</t>
    </r>
    <r>
      <rPr>
        <sz val="11"/>
        <color theme="1"/>
        <rFont val="Calibri"/>
        <family val="2"/>
        <scheme val="minor"/>
      </rPr>
      <t xml:space="preserve"> overexpression of USP13 renders ovarian cancer cells resistant to chemotherapy. </t>
    </r>
  </si>
  <si>
    <r>
      <rPr>
        <b/>
        <sz val="11"/>
        <color theme="1"/>
        <rFont val="Calibri"/>
        <family val="2"/>
        <scheme val="minor"/>
      </rPr>
      <t xml:space="preserve">1) </t>
    </r>
    <r>
      <rPr>
        <sz val="11"/>
        <color theme="1"/>
        <rFont val="Calibri"/>
        <family val="2"/>
        <scheme val="minor"/>
      </rPr>
      <t xml:space="preserve">Overexpression of </t>
    </r>
    <r>
      <rPr>
        <b/>
        <sz val="11"/>
        <color theme="1"/>
        <rFont val="Calibri"/>
        <family val="2"/>
        <scheme val="minor"/>
      </rPr>
      <t>USP22</t>
    </r>
    <r>
      <rPr>
        <sz val="11"/>
        <color theme="1"/>
        <rFont val="Calibri"/>
        <family val="2"/>
        <scheme val="minor"/>
      </rPr>
      <t xml:space="preserve"> was observed in 49.0% (99/202) of </t>
    </r>
    <r>
      <rPr>
        <b/>
        <sz val="11"/>
        <color theme="1"/>
        <rFont val="Calibri"/>
        <family val="2"/>
        <scheme val="minor"/>
      </rPr>
      <t>NSCLC</t>
    </r>
    <r>
      <rPr>
        <sz val="11"/>
        <color theme="1"/>
        <rFont val="Calibri"/>
        <family val="2"/>
        <scheme val="minor"/>
      </rPr>
      <t xml:space="preserve"> tissues; higher USP22 immunostaining was found to be associated with enhanced angiogenesis and </t>
    </r>
    <r>
      <rPr>
        <b/>
        <sz val="11"/>
        <color theme="1"/>
        <rFont val="Calibri"/>
        <family val="2"/>
        <scheme val="minor"/>
      </rPr>
      <t>recurrence</t>
    </r>
    <r>
      <rPr>
        <sz val="11"/>
        <color theme="1"/>
        <rFont val="Calibri"/>
        <family val="2"/>
        <scheme val="minor"/>
      </rPr>
      <t xml:space="preserve"> of NSCLC. </t>
    </r>
    <r>
      <rPr>
        <b/>
        <sz val="11"/>
        <color theme="1"/>
        <rFont val="Calibri"/>
        <family val="2"/>
        <scheme val="minor"/>
      </rPr>
      <t xml:space="preserve">2) </t>
    </r>
    <r>
      <rPr>
        <sz val="11"/>
        <color theme="1"/>
        <rFont val="Calibri"/>
        <family val="2"/>
        <scheme val="minor"/>
      </rPr>
      <t xml:space="preserve">USP22 knockout dramatically suppressed in vitro proliferation, colony formation; and angiogenesis, growth, metastasis of A549 and H1299 in mouse xenograft model, and significantly prolonged survival of metastatic cancer-bearing mice. </t>
    </r>
    <r>
      <rPr>
        <b/>
        <sz val="11"/>
        <color theme="1"/>
        <rFont val="Calibri"/>
        <family val="2"/>
        <scheme val="minor"/>
      </rPr>
      <t xml:space="preserve">3) </t>
    </r>
    <r>
      <rPr>
        <sz val="11"/>
        <color theme="1"/>
        <rFont val="Calibri"/>
        <family val="2"/>
        <scheme val="minor"/>
      </rPr>
      <t xml:space="preserve">USP22 knockout significantly impaired </t>
    </r>
    <r>
      <rPr>
        <b/>
        <sz val="11"/>
        <color theme="1"/>
        <rFont val="Calibri"/>
        <family val="2"/>
        <scheme val="minor"/>
      </rPr>
      <t>non-homologous DNA damage repair capacity</t>
    </r>
    <r>
      <rPr>
        <sz val="11"/>
        <color theme="1"/>
        <rFont val="Calibri"/>
        <family val="2"/>
        <scheme val="minor"/>
      </rPr>
      <t xml:space="preserve">, enhanced </t>
    </r>
    <r>
      <rPr>
        <b/>
        <sz val="11"/>
        <color theme="1"/>
        <rFont val="Calibri"/>
        <family val="2"/>
        <scheme val="minor"/>
      </rPr>
      <t>cisplatin</t>
    </r>
    <r>
      <rPr>
        <sz val="11"/>
        <color theme="1"/>
        <rFont val="Calibri"/>
        <family val="2"/>
        <scheme val="minor"/>
      </rPr>
      <t xml:space="preserve"> and irradiation-induced apoptosis in these cells. </t>
    </r>
    <r>
      <rPr>
        <b/>
        <sz val="11"/>
        <color theme="1"/>
        <rFont val="Calibri"/>
        <family val="2"/>
        <scheme val="minor"/>
      </rPr>
      <t xml:space="preserve">4) </t>
    </r>
    <r>
      <rPr>
        <sz val="11"/>
        <color theme="1"/>
        <rFont val="Calibri"/>
        <family val="2"/>
        <scheme val="minor"/>
      </rPr>
      <t xml:space="preserve">USP22 knockout significantly suppressed angiogenesis, proliferation, EMT, RAS, c-Myc pathways, concurrently enhanced oxidative phosphorylation and tight junction pathways in A549 and H1299 NSCLC cells; upregulated E-cadherin, p16; reduced ALDH1A3, Cyclin E1, c-Myc, and attenuated activation of AKT and ERK.  </t>
    </r>
  </si>
  <si>
    <r>
      <rPr>
        <b/>
        <sz val="11"/>
        <color theme="1"/>
        <rFont val="Calibri"/>
        <family val="2"/>
        <scheme val="minor"/>
      </rPr>
      <t>1) USP35</t>
    </r>
    <r>
      <rPr>
        <sz val="11"/>
        <color theme="1"/>
        <rFont val="Calibri"/>
        <family val="2"/>
        <scheme val="minor"/>
      </rPr>
      <t xml:space="preserve"> can directly deubiquitinate and inactivate </t>
    </r>
    <r>
      <rPr>
        <b/>
        <sz val="11"/>
        <color theme="1"/>
        <rFont val="Calibri"/>
        <family val="2"/>
        <scheme val="minor"/>
      </rPr>
      <t>STING. 2)</t>
    </r>
    <r>
      <rPr>
        <sz val="11"/>
        <color theme="1"/>
        <rFont val="Calibri"/>
        <family val="2"/>
        <scheme val="minor"/>
      </rPr>
      <t xml:space="preserve"> activation of STING promotes its binding to USP35 in a STING phosphorylation-dependent manner. </t>
    </r>
    <r>
      <rPr>
        <b/>
        <sz val="11"/>
        <color theme="1"/>
        <rFont val="Calibri"/>
        <family val="2"/>
        <scheme val="minor"/>
      </rPr>
      <t xml:space="preserve">3) </t>
    </r>
    <r>
      <rPr>
        <sz val="11"/>
        <color theme="1"/>
        <rFont val="Calibri"/>
        <family val="2"/>
        <scheme val="minor"/>
      </rPr>
      <t xml:space="preserve">knockdown of </t>
    </r>
    <r>
      <rPr>
        <b/>
        <sz val="11"/>
        <color theme="1"/>
        <rFont val="Calibri"/>
        <family val="2"/>
        <scheme val="minor"/>
      </rPr>
      <t>USP35</t>
    </r>
    <r>
      <rPr>
        <sz val="11"/>
        <color theme="1"/>
        <rFont val="Calibri"/>
        <family val="2"/>
        <scheme val="minor"/>
      </rPr>
      <t xml:space="preserve"> sensitizes </t>
    </r>
    <r>
      <rPr>
        <b/>
        <sz val="11"/>
        <color theme="1"/>
        <rFont val="Calibri"/>
        <family val="2"/>
        <scheme val="minor"/>
      </rPr>
      <t>ovarian</t>
    </r>
    <r>
      <rPr>
        <sz val="11"/>
        <color theme="1"/>
        <rFont val="Calibri"/>
        <family val="2"/>
        <scheme val="minor"/>
      </rPr>
      <t xml:space="preserve"> cancer cells to the DNA-damage chemotherapeutic drug </t>
    </r>
    <r>
      <rPr>
        <b/>
        <sz val="11"/>
        <color theme="1"/>
        <rFont val="Calibri"/>
        <family val="2"/>
        <scheme val="minor"/>
      </rPr>
      <t>cisplatin</t>
    </r>
    <r>
      <rPr>
        <sz val="11"/>
        <color theme="1"/>
        <rFont val="Calibri"/>
        <family val="2"/>
        <scheme val="minor"/>
      </rPr>
      <t>. </t>
    </r>
    <r>
      <rPr>
        <b/>
        <sz val="11"/>
        <color theme="1"/>
        <rFont val="Calibri"/>
        <family val="2"/>
        <scheme val="minor"/>
      </rPr>
      <t xml:space="preserve">4) </t>
    </r>
    <r>
      <rPr>
        <sz val="11"/>
        <color theme="1"/>
        <rFont val="Calibri"/>
        <family val="2"/>
        <scheme val="minor"/>
      </rPr>
      <t xml:space="preserve">High level of </t>
    </r>
    <r>
      <rPr>
        <b/>
        <sz val="11"/>
        <color theme="1"/>
        <rFont val="Calibri"/>
        <family val="2"/>
        <scheme val="minor"/>
      </rPr>
      <t>USP35</t>
    </r>
    <r>
      <rPr>
        <sz val="11"/>
        <color theme="1"/>
        <rFont val="Calibri"/>
        <family val="2"/>
        <scheme val="minor"/>
      </rPr>
      <t xml:space="preserve"> was correlated with diminished CD8+ T cell infiltration and poor prognosis in </t>
    </r>
    <r>
      <rPr>
        <b/>
        <sz val="11"/>
        <color theme="1"/>
        <rFont val="Calibri"/>
        <family val="2"/>
        <scheme val="minor"/>
      </rPr>
      <t>ovarian</t>
    </r>
    <r>
      <rPr>
        <sz val="11"/>
        <color theme="1"/>
        <rFont val="Calibri"/>
        <family val="2"/>
        <scheme val="minor"/>
      </rPr>
      <t xml:space="preserve"> cancer patients. </t>
    </r>
  </si>
  <si>
    <r>
      <rPr>
        <b/>
        <sz val="11"/>
        <color theme="1"/>
        <rFont val="Calibri"/>
        <family val="2"/>
        <scheme val="minor"/>
      </rPr>
      <t>1)</t>
    </r>
    <r>
      <rPr>
        <sz val="11"/>
        <color theme="1"/>
        <rFont val="Calibri"/>
        <family val="2"/>
        <scheme val="minor"/>
      </rPr>
      <t xml:space="preserve"> USP37 gene was elevated in breast cancer tissues and its overexpression was strongly correlated with the increased mortality rate. </t>
    </r>
    <r>
      <rPr>
        <b/>
        <sz val="11"/>
        <color theme="1"/>
        <rFont val="Calibri"/>
        <family val="2"/>
        <scheme val="minor"/>
      </rPr>
      <t xml:space="preserve">2) </t>
    </r>
    <r>
      <rPr>
        <sz val="11"/>
        <color theme="1"/>
        <rFont val="Calibri"/>
        <family val="2"/>
        <scheme val="minor"/>
      </rPr>
      <t xml:space="preserve">GSEA analysis showed that USP37 expression was positively associated with cell growth and metastasis while negatively related to cell apoptosis in the TCGA breast cancer samples. </t>
    </r>
    <r>
      <rPr>
        <b/>
        <sz val="11"/>
        <color theme="1"/>
        <rFont val="Calibri"/>
        <family val="2"/>
        <scheme val="minor"/>
      </rPr>
      <t>3)</t>
    </r>
    <r>
      <rPr>
        <sz val="11"/>
        <color theme="1"/>
        <rFont val="Calibri"/>
        <family val="2"/>
        <scheme val="minor"/>
      </rPr>
      <t xml:space="preserve"> USP37 knockdown inhibited tumorigenicity and increased anticancer effect of </t>
    </r>
    <r>
      <rPr>
        <b/>
        <sz val="11"/>
        <color theme="1"/>
        <rFont val="Calibri"/>
        <family val="2"/>
        <scheme val="minor"/>
      </rPr>
      <t>cisplatin</t>
    </r>
    <r>
      <rPr>
        <sz val="11"/>
        <color theme="1"/>
        <rFont val="Calibri"/>
        <family val="2"/>
        <scheme val="minor"/>
      </rPr>
      <t xml:space="preserve"> in vivo. </t>
    </r>
    <r>
      <rPr>
        <b/>
        <sz val="11"/>
        <color theme="1"/>
        <rFont val="Calibri"/>
        <family val="2"/>
        <scheme val="minor"/>
      </rPr>
      <t xml:space="preserve">4) </t>
    </r>
    <r>
      <rPr>
        <sz val="11"/>
        <color theme="1"/>
        <rFont val="Calibri"/>
        <family val="2"/>
        <scheme val="minor"/>
      </rPr>
      <t xml:space="preserve">Knockdown of USP37 significantly decreased hedgehog (Hh) pathway components Smo and Gli-1. </t>
    </r>
    <r>
      <rPr>
        <b/>
        <sz val="11"/>
        <color theme="1"/>
        <rFont val="Calibri"/>
        <family val="2"/>
        <scheme val="minor"/>
      </rPr>
      <t>Gli-1</t>
    </r>
    <r>
      <rPr>
        <sz val="11"/>
        <color theme="1"/>
        <rFont val="Calibri"/>
        <family val="2"/>
        <scheme val="minor"/>
      </rPr>
      <t xml:space="preserve"> was stabilized by USP37 and they interacted with each other.</t>
    </r>
  </si>
  <si>
    <r>
      <rPr>
        <b/>
        <sz val="11"/>
        <color theme="1"/>
        <rFont val="Calibri"/>
        <family val="2"/>
        <scheme val="minor"/>
      </rPr>
      <t xml:space="preserve">1) </t>
    </r>
    <r>
      <rPr>
        <sz val="11"/>
        <color theme="1"/>
        <rFont val="Calibri"/>
        <family val="2"/>
        <scheme val="minor"/>
      </rPr>
      <t xml:space="preserve">Following genetic and metabolic stress (e.g., doxorubicin, </t>
    </r>
    <r>
      <rPr>
        <b/>
        <sz val="11"/>
        <color theme="1"/>
        <rFont val="Calibri"/>
        <family val="2"/>
        <scheme val="minor"/>
      </rPr>
      <t>cisplatin</t>
    </r>
    <r>
      <rPr>
        <sz val="11"/>
        <color theme="1"/>
        <rFont val="Calibri"/>
        <family val="2"/>
        <scheme val="minor"/>
      </rPr>
      <t xml:space="preserve"> and UV radiation), an upregulation of </t>
    </r>
    <r>
      <rPr>
        <b/>
        <sz val="11"/>
        <color theme="1"/>
        <rFont val="Calibri"/>
        <family val="2"/>
        <scheme val="minor"/>
      </rPr>
      <t>UVRAG</t>
    </r>
    <r>
      <rPr>
        <sz val="11"/>
        <color theme="1"/>
        <rFont val="Calibri"/>
        <family val="2"/>
        <scheme val="minor"/>
      </rPr>
      <t xml:space="preserve"> mRNA and protein levels was observed. </t>
    </r>
    <r>
      <rPr>
        <b/>
        <sz val="11"/>
        <color theme="1"/>
        <rFont val="Calibri"/>
        <family val="2"/>
        <scheme val="minor"/>
      </rPr>
      <t xml:space="preserve">2) </t>
    </r>
    <r>
      <rPr>
        <sz val="11"/>
        <color theme="1"/>
        <rFont val="Calibri"/>
        <family val="2"/>
        <scheme val="minor"/>
      </rPr>
      <t xml:space="preserve">knockdown of UVRAG in human tumor cells (e.g., HL60 leukemia cells, HCT116 clone cancer cells and HeLa cervical cancer cells) significantly increases the population of apoptotic annexin V+ cells following doxorubicin, </t>
    </r>
    <r>
      <rPr>
        <b/>
        <sz val="11"/>
        <color theme="1"/>
        <rFont val="Calibri"/>
        <family val="2"/>
        <scheme val="minor"/>
      </rPr>
      <t>cisplatin</t>
    </r>
    <r>
      <rPr>
        <sz val="11"/>
        <color theme="1"/>
        <rFont val="Calibri"/>
        <family val="2"/>
        <scheme val="minor"/>
      </rPr>
      <t xml:space="preserve"> and UV radiation treatment. </t>
    </r>
  </si>
  <si>
    <r>
      <rPr>
        <b/>
        <sz val="11"/>
        <color theme="1"/>
        <rFont val="Calibri"/>
        <family val="2"/>
        <scheme val="minor"/>
      </rPr>
      <t>1)</t>
    </r>
    <r>
      <rPr>
        <sz val="11"/>
        <color theme="1"/>
        <rFont val="Calibri"/>
        <family val="2"/>
        <scheme val="minor"/>
      </rPr>
      <t xml:space="preserve"> </t>
    </r>
    <r>
      <rPr>
        <b/>
        <sz val="11"/>
        <color theme="1"/>
        <rFont val="Calibri"/>
        <family val="2"/>
        <scheme val="minor"/>
      </rPr>
      <t>VCAM-1</t>
    </r>
    <r>
      <rPr>
        <sz val="11"/>
        <color theme="1"/>
        <rFont val="Calibri"/>
        <family val="2"/>
        <scheme val="minor"/>
      </rPr>
      <t xml:space="preserve"> expression correlated with tumor stage. All specimens from stage I patients were negative, whereas 29% of stage II patients and 73% of stage III/IV patients were positive. </t>
    </r>
    <r>
      <rPr>
        <b/>
        <sz val="11"/>
        <color theme="1"/>
        <rFont val="Calibri"/>
        <family val="2"/>
        <scheme val="minor"/>
      </rPr>
      <t>2) VCAM-1</t>
    </r>
    <r>
      <rPr>
        <sz val="11"/>
        <color theme="1"/>
        <rFont val="Calibri"/>
        <family val="2"/>
        <scheme val="minor"/>
      </rPr>
      <t xml:space="preserve"> expression was reduced among women who received neoadjuvant chemotherapy - chemotherapy in regulating </t>
    </r>
    <r>
      <rPr>
        <b/>
        <sz val="11"/>
        <color theme="1"/>
        <rFont val="Calibri"/>
        <family val="2"/>
        <scheme val="minor"/>
      </rPr>
      <t>VCAM-1</t>
    </r>
    <r>
      <rPr>
        <sz val="11"/>
        <color theme="1"/>
        <rFont val="Calibri"/>
        <family val="2"/>
        <scheme val="minor"/>
      </rPr>
      <t xml:space="preserve"> expression. </t>
    </r>
    <r>
      <rPr>
        <b/>
        <sz val="11"/>
        <color theme="1"/>
        <rFont val="Calibri"/>
        <family val="2"/>
        <scheme val="minor"/>
      </rPr>
      <t xml:space="preserve">3) </t>
    </r>
    <r>
      <rPr>
        <sz val="11"/>
        <color theme="1"/>
        <rFont val="Calibri"/>
        <family val="2"/>
        <scheme val="minor"/>
      </rPr>
      <t xml:space="preserve">Treatment of mesothelial cells in culture with </t>
    </r>
    <r>
      <rPr>
        <b/>
        <sz val="11"/>
        <color theme="1"/>
        <rFont val="Calibri"/>
        <family val="2"/>
        <scheme val="minor"/>
      </rPr>
      <t xml:space="preserve">carboplatin </t>
    </r>
    <r>
      <rPr>
        <sz val="11"/>
        <color theme="1"/>
        <rFont val="Calibri"/>
        <family val="2"/>
        <scheme val="minor"/>
      </rPr>
      <t xml:space="preserve">resulted in a transient decrease in </t>
    </r>
    <r>
      <rPr>
        <b/>
        <sz val="11"/>
        <color theme="1"/>
        <rFont val="Calibri"/>
        <family val="2"/>
        <scheme val="minor"/>
      </rPr>
      <t xml:space="preserve">VCAM-1 </t>
    </r>
    <r>
      <rPr>
        <sz val="11"/>
        <color theme="1"/>
        <rFont val="Calibri"/>
        <family val="2"/>
        <scheme val="minor"/>
      </rPr>
      <t xml:space="preserve">expression 4 h after treatment that returned to baseline within 16-24 h. </t>
    </r>
    <r>
      <rPr>
        <b/>
        <sz val="11"/>
        <color theme="1"/>
        <rFont val="Calibri"/>
        <family val="2"/>
        <scheme val="minor"/>
      </rPr>
      <t>4)</t>
    </r>
    <r>
      <rPr>
        <sz val="11"/>
        <color theme="1"/>
        <rFont val="Calibri"/>
        <family val="2"/>
        <scheme val="minor"/>
      </rPr>
      <t xml:space="preserve"> an acute decrease in </t>
    </r>
    <r>
      <rPr>
        <b/>
        <sz val="11"/>
        <color theme="1"/>
        <rFont val="Calibri"/>
        <family val="2"/>
        <scheme val="minor"/>
      </rPr>
      <t>VCAM-1</t>
    </r>
    <r>
      <rPr>
        <sz val="11"/>
        <color theme="1"/>
        <rFont val="Calibri"/>
        <family val="2"/>
        <scheme val="minor"/>
      </rPr>
      <t xml:space="preserve"> expression 4 h after </t>
    </r>
    <r>
      <rPr>
        <b/>
        <sz val="11"/>
        <color theme="1"/>
        <rFont val="Calibri"/>
        <family val="2"/>
        <scheme val="minor"/>
      </rPr>
      <t>carboplatin</t>
    </r>
    <r>
      <rPr>
        <sz val="11"/>
        <color theme="1"/>
        <rFont val="Calibri"/>
        <family val="2"/>
        <scheme val="minor"/>
      </rPr>
      <t xml:space="preserve"> administration that recovered within 48 h in mice harboring platinum-resistant tumors. </t>
    </r>
    <r>
      <rPr>
        <b/>
        <sz val="11"/>
        <color theme="1"/>
        <rFont val="Calibri"/>
        <family val="2"/>
        <scheme val="minor"/>
      </rPr>
      <t>5)</t>
    </r>
    <r>
      <rPr>
        <sz val="11"/>
        <color theme="1"/>
        <rFont val="Calibri"/>
        <family val="2"/>
        <scheme val="minor"/>
      </rPr>
      <t xml:space="preserve"> carboplatin treatment of mice with platinum-sensitive tumors showed reduced VCAM-1 expression, which correlated with reduced tumor burden; </t>
    </r>
    <r>
      <rPr>
        <b/>
        <sz val="11"/>
        <color theme="1"/>
        <rFont val="Calibri"/>
        <family val="2"/>
        <scheme val="minor"/>
      </rPr>
      <t xml:space="preserve">6) </t>
    </r>
    <r>
      <rPr>
        <sz val="11"/>
        <color theme="1"/>
        <rFont val="Calibri"/>
        <family val="2"/>
        <scheme val="minor"/>
      </rPr>
      <t xml:space="preserve">mice with platinum-resistant tumors retained elevated VCAM-1 expression and tumor burden after treatment.  </t>
    </r>
    <r>
      <rPr>
        <b/>
        <sz val="11"/>
        <color theme="1"/>
        <rFont val="Calibri"/>
        <family val="2"/>
        <scheme val="minor"/>
      </rPr>
      <t>7)</t>
    </r>
    <r>
      <rPr>
        <sz val="11"/>
        <color theme="1"/>
        <rFont val="Calibri"/>
        <family val="2"/>
        <scheme val="minor"/>
      </rPr>
      <t xml:space="preserve"> the combined treatment of anti-</t>
    </r>
    <r>
      <rPr>
        <b/>
        <sz val="11"/>
        <color theme="1"/>
        <rFont val="Calibri"/>
        <family val="2"/>
        <scheme val="minor"/>
      </rPr>
      <t xml:space="preserve">α4β1 integrin </t>
    </r>
    <r>
      <rPr>
        <sz val="11"/>
        <color theme="1"/>
        <rFont val="Calibri"/>
        <family val="2"/>
        <scheme val="minor"/>
      </rPr>
      <t>or anti-</t>
    </r>
    <r>
      <rPr>
        <b/>
        <sz val="11"/>
        <color theme="1"/>
        <rFont val="Calibri"/>
        <family val="2"/>
        <scheme val="minor"/>
      </rPr>
      <t>VCAM-1</t>
    </r>
    <r>
      <rPr>
        <sz val="11"/>
        <color theme="1"/>
        <rFont val="Calibri"/>
        <family val="2"/>
        <scheme val="minor"/>
      </rPr>
      <t xml:space="preserve"> with </t>
    </r>
    <r>
      <rPr>
        <b/>
        <sz val="11"/>
        <color theme="1"/>
        <rFont val="Calibri"/>
        <family val="2"/>
        <scheme val="minor"/>
      </rPr>
      <t>carboplatin</t>
    </r>
    <r>
      <rPr>
        <sz val="11"/>
        <color theme="1"/>
        <rFont val="Calibri"/>
        <family val="2"/>
        <scheme val="minor"/>
      </rPr>
      <t xml:space="preserve"> significantly reduced tumor burden. </t>
    </r>
    <r>
      <rPr>
        <b/>
        <sz val="11"/>
        <color theme="1"/>
        <rFont val="Calibri"/>
        <family val="2"/>
        <scheme val="minor"/>
      </rPr>
      <t>8)</t>
    </r>
    <r>
      <rPr>
        <sz val="11"/>
        <color theme="1"/>
        <rFont val="Calibri"/>
        <family val="2"/>
        <scheme val="minor"/>
      </rPr>
      <t xml:space="preserve"> In vitro, the combination of carboplatin and anti-α4β1 integrin antibodies resulted in increased cell death and doubling time</t>
    </r>
  </si>
  <si>
    <r>
      <rPr>
        <b/>
        <sz val="11"/>
        <color theme="1"/>
        <rFont val="Calibri"/>
        <family val="2"/>
        <scheme val="minor"/>
      </rPr>
      <t>1)</t>
    </r>
    <r>
      <rPr>
        <sz val="11"/>
        <color theme="1"/>
        <rFont val="Calibri"/>
        <family val="2"/>
        <scheme val="minor"/>
      </rPr>
      <t xml:space="preserve"> Knockdown of </t>
    </r>
    <r>
      <rPr>
        <b/>
        <sz val="11"/>
        <color theme="1"/>
        <rFont val="Calibri"/>
        <family val="2"/>
        <scheme val="minor"/>
      </rPr>
      <t>VDAC1</t>
    </r>
    <r>
      <rPr>
        <sz val="11"/>
        <color theme="1"/>
        <rFont val="Calibri"/>
        <family val="2"/>
        <scheme val="minor"/>
      </rPr>
      <t xml:space="preserve"> was particularly efficient in preventing cell death induced by </t>
    </r>
    <r>
      <rPr>
        <b/>
        <sz val="11"/>
        <color theme="1"/>
        <rFont val="Calibri"/>
        <family val="2"/>
        <scheme val="minor"/>
      </rPr>
      <t>cisplatin</t>
    </r>
    <r>
      <rPr>
        <sz val="11"/>
        <color theme="1"/>
        <rFont val="Calibri"/>
        <family val="2"/>
        <scheme val="minor"/>
      </rPr>
      <t xml:space="preserve"> in non-small cell </t>
    </r>
    <r>
      <rPr>
        <b/>
        <sz val="11"/>
        <color theme="1"/>
        <rFont val="Calibri"/>
        <family val="2"/>
        <scheme val="minor"/>
      </rPr>
      <t>lung</t>
    </r>
    <r>
      <rPr>
        <sz val="11"/>
        <color theme="1"/>
        <rFont val="Calibri"/>
        <family val="2"/>
        <scheme val="minor"/>
      </rPr>
      <t xml:space="preserve"> cancer cells. </t>
    </r>
    <r>
      <rPr>
        <b/>
        <sz val="11"/>
        <color theme="1"/>
        <rFont val="Calibri"/>
        <family val="2"/>
        <scheme val="minor"/>
      </rPr>
      <t>2)</t>
    </r>
    <r>
      <rPr>
        <sz val="11"/>
        <color theme="1"/>
        <rFont val="Calibri"/>
        <family val="2"/>
        <scheme val="minor"/>
      </rPr>
      <t xml:space="preserve"> Hexokinase II Detachment from the Mitochondria potentiates </t>
    </r>
    <r>
      <rPr>
        <b/>
        <sz val="11"/>
        <color theme="1"/>
        <rFont val="Calibri"/>
        <family val="2"/>
        <scheme val="minor"/>
      </rPr>
      <t>cisplatin</t>
    </r>
    <r>
      <rPr>
        <sz val="11"/>
        <color theme="1"/>
        <rFont val="Calibri"/>
        <family val="2"/>
        <scheme val="minor"/>
      </rPr>
      <t xml:space="preserve"> Induced cytotoxicity through a caspase-2 dependent Mechanism. </t>
    </r>
    <r>
      <rPr>
        <b/>
        <sz val="11"/>
        <color theme="1"/>
        <rFont val="Calibri"/>
        <family val="2"/>
        <scheme val="minor"/>
      </rPr>
      <t>3)</t>
    </r>
    <r>
      <rPr>
        <sz val="11"/>
        <color theme="1"/>
        <rFont val="Calibri"/>
        <family val="2"/>
        <scheme val="minor"/>
      </rPr>
      <t xml:space="preserve"> Resistance could be correlated with upregulation of </t>
    </r>
    <r>
      <rPr>
        <b/>
        <sz val="11"/>
        <color theme="1"/>
        <rFont val="Calibri"/>
        <family val="2"/>
        <scheme val="minor"/>
      </rPr>
      <t>hexokinase-II</t>
    </r>
    <r>
      <rPr>
        <sz val="11"/>
        <color theme="1"/>
        <rFont val="Calibri"/>
        <family val="2"/>
        <scheme val="minor"/>
      </rPr>
      <t xml:space="preserve"> and </t>
    </r>
    <r>
      <rPr>
        <b/>
        <sz val="11"/>
        <color theme="1"/>
        <rFont val="Calibri"/>
        <family val="2"/>
        <scheme val="minor"/>
      </rPr>
      <t>VDAC</t>
    </r>
    <r>
      <rPr>
        <sz val="11"/>
        <color theme="1"/>
        <rFont val="Calibri"/>
        <family val="2"/>
        <scheme val="minor"/>
      </rPr>
      <t xml:space="preserve">, which are known to form a </t>
    </r>
    <r>
      <rPr>
        <b/>
        <sz val="11"/>
        <color theme="1"/>
        <rFont val="Calibri"/>
        <family val="2"/>
        <scheme val="minor"/>
      </rPr>
      <t>survival-promoting mitochondrial complex</t>
    </r>
    <r>
      <rPr>
        <sz val="11"/>
        <color theme="1"/>
        <rFont val="Calibri"/>
        <family val="2"/>
        <scheme val="minor"/>
      </rPr>
      <t xml:space="preserve">. </t>
    </r>
    <r>
      <rPr>
        <b/>
        <sz val="11"/>
        <color theme="1"/>
        <rFont val="Calibri"/>
        <family val="2"/>
        <scheme val="minor"/>
      </rPr>
      <t xml:space="preserve">4) </t>
    </r>
    <r>
      <rPr>
        <sz val="11"/>
        <color theme="1"/>
        <rFont val="Calibri"/>
        <family val="2"/>
        <scheme val="minor"/>
      </rPr>
      <t xml:space="preserve">VDAC1 oligomerization in apoptosis and of the VDAC1 N-terminal domain in the release of apoptogenic proteins as well as into regulation of VDAC by anti-apoptotic proteins, such as HK and Bcl2. </t>
    </r>
    <r>
      <rPr>
        <b/>
        <sz val="11"/>
        <color theme="1"/>
        <rFont val="Calibri"/>
        <family val="2"/>
        <scheme val="minor"/>
      </rPr>
      <t xml:space="preserve">5) </t>
    </r>
    <r>
      <rPr>
        <sz val="11"/>
        <color theme="1"/>
        <rFont val="Calibri"/>
        <family val="2"/>
        <scheme val="minor"/>
      </rPr>
      <t xml:space="preserve">Increased expression of </t>
    </r>
    <r>
      <rPr>
        <b/>
        <sz val="11"/>
        <color theme="1"/>
        <rFont val="Calibri"/>
        <family val="2"/>
        <scheme val="minor"/>
      </rPr>
      <t>VDAC1</t>
    </r>
    <r>
      <rPr>
        <sz val="11"/>
        <color theme="1"/>
        <rFont val="Calibri"/>
        <family val="2"/>
        <scheme val="minor"/>
      </rPr>
      <t xml:space="preserve"> sensitizes carcinoma cells to apoptosis induced by </t>
    </r>
    <r>
      <rPr>
        <b/>
        <sz val="11"/>
        <color theme="1"/>
        <rFont val="Calibri"/>
        <family val="2"/>
        <scheme val="minor"/>
      </rPr>
      <t>cisplatin</t>
    </r>
    <r>
      <rPr>
        <sz val="11"/>
        <color theme="1"/>
        <rFont val="Calibri"/>
        <family val="2"/>
        <scheme val="minor"/>
      </rPr>
      <t xml:space="preserve">. </t>
    </r>
  </si>
  <si>
    <r>
      <rPr>
        <b/>
        <sz val="11"/>
        <color theme="1"/>
        <rFont val="Calibri"/>
        <family val="2"/>
        <scheme val="minor"/>
      </rPr>
      <t>1)</t>
    </r>
    <r>
      <rPr>
        <sz val="11"/>
        <color theme="1"/>
        <rFont val="Calibri"/>
        <family val="2"/>
        <scheme val="minor"/>
      </rPr>
      <t xml:space="preserve"> VEGF was strongly expressed both in early-stage and advanced-stage CCC of the ovary. </t>
    </r>
    <r>
      <rPr>
        <b/>
        <sz val="11"/>
        <color theme="1"/>
        <rFont val="Calibri"/>
        <family val="2"/>
        <scheme val="minor"/>
      </rPr>
      <t>2)</t>
    </r>
    <r>
      <rPr>
        <sz val="11"/>
        <color theme="1"/>
        <rFont val="Calibri"/>
        <family val="2"/>
        <scheme val="minor"/>
      </rPr>
      <t xml:space="preserve"> In early-stage CCCs, patients who had tumors with high levels of VEGF had significantly shorter survival than those with low levels of VEGF. </t>
    </r>
    <r>
      <rPr>
        <b/>
        <sz val="11"/>
        <color theme="1"/>
        <rFont val="Calibri"/>
        <family val="2"/>
        <scheme val="minor"/>
      </rPr>
      <t xml:space="preserve">3) </t>
    </r>
    <r>
      <rPr>
        <sz val="11"/>
        <color theme="1"/>
        <rFont val="Calibri"/>
        <family val="2"/>
        <scheme val="minor"/>
      </rPr>
      <t xml:space="preserve">VEGF expression was significantly higher in </t>
    </r>
    <r>
      <rPr>
        <b/>
        <sz val="11"/>
        <color theme="1"/>
        <rFont val="Calibri"/>
        <family val="2"/>
        <scheme val="minor"/>
      </rPr>
      <t>cisplatin-refractory</t>
    </r>
    <r>
      <rPr>
        <sz val="11"/>
        <color theme="1"/>
        <rFont val="Calibri"/>
        <family val="2"/>
        <scheme val="minor"/>
      </rPr>
      <t xml:space="preserve"> human CCC cells (RMG1-CR and KOC7C-CR), compared with the respective parental cells (RMG1 and KOC7C) in the presence of cisplatin.</t>
    </r>
    <r>
      <rPr>
        <b/>
        <sz val="11"/>
        <color theme="1"/>
        <rFont val="Calibri"/>
        <family val="2"/>
        <scheme val="minor"/>
      </rPr>
      <t xml:space="preserve"> 4) </t>
    </r>
    <r>
      <rPr>
        <sz val="11"/>
        <color theme="1"/>
        <rFont val="Calibri"/>
        <family val="2"/>
        <scheme val="minor"/>
      </rPr>
      <t>In vivo treatment with bevacizumab markedly inhibited the growth of both parental CCC cell-derived (RMG1 and KOC7C) and cisplatin-refractory CCC cell-derived (RMG1-CR and KOC7C-CR) tumors as a result of inhibition of tumor angiogenesis.</t>
    </r>
    <r>
      <rPr>
        <b/>
        <sz val="11"/>
        <color theme="1"/>
        <rFont val="Calibri"/>
        <family val="2"/>
        <scheme val="minor"/>
      </rPr>
      <t xml:space="preserve"> 5) </t>
    </r>
    <r>
      <rPr>
        <sz val="11"/>
        <color theme="1"/>
        <rFont val="Calibri"/>
        <family val="2"/>
        <scheme val="minor"/>
      </rPr>
      <t xml:space="preserve">Progressive decrease of LLC-9 and LLC-19 sensitivity to action of </t>
    </r>
    <r>
      <rPr>
        <b/>
        <sz val="11"/>
        <color theme="1"/>
        <rFont val="Calibri"/>
        <family val="2"/>
        <scheme val="minor"/>
      </rPr>
      <t>cis-DDP</t>
    </r>
    <r>
      <rPr>
        <sz val="11"/>
        <color theme="1"/>
        <rFont val="Calibri"/>
        <family val="2"/>
        <scheme val="minor"/>
      </rPr>
      <t xml:space="preserve"> evidenced </t>
    </r>
    <r>
      <rPr>
        <b/>
        <sz val="11"/>
        <color theme="1"/>
        <rFont val="Calibri"/>
        <family val="2"/>
        <scheme val="minor"/>
      </rPr>
      <t>in vitro</t>
    </r>
    <r>
      <rPr>
        <sz val="11"/>
        <color theme="1"/>
        <rFont val="Calibri"/>
        <family val="2"/>
        <scheme val="minor"/>
      </rPr>
      <t xml:space="preserve"> and </t>
    </r>
    <r>
      <rPr>
        <b/>
        <sz val="11"/>
        <color theme="1"/>
        <rFont val="Calibri"/>
        <family val="2"/>
        <scheme val="minor"/>
      </rPr>
      <t>in vivo</t>
    </r>
    <r>
      <rPr>
        <sz val="11"/>
        <color theme="1"/>
        <rFont val="Calibri"/>
        <family val="2"/>
        <scheme val="minor"/>
      </rPr>
      <t xml:space="preserve"> was accompanied by the significant changes of tumor </t>
    </r>
    <r>
      <rPr>
        <b/>
        <sz val="11"/>
        <color theme="1"/>
        <rFont val="Calibri"/>
        <family val="2"/>
        <scheme val="minor"/>
      </rPr>
      <t>angiogenic</t>
    </r>
    <r>
      <rPr>
        <sz val="11"/>
        <color theme="1"/>
        <rFont val="Calibri"/>
        <family val="2"/>
        <scheme val="minor"/>
      </rPr>
      <t xml:space="preserve"> potential. </t>
    </r>
    <r>
      <rPr>
        <b/>
        <sz val="11"/>
        <color theme="1"/>
        <rFont val="Calibri"/>
        <family val="2"/>
        <scheme val="minor"/>
      </rPr>
      <t xml:space="preserve">6) angiotensin II </t>
    </r>
    <r>
      <rPr>
        <sz val="11"/>
        <color theme="1"/>
        <rFont val="Calibri"/>
        <family val="2"/>
        <scheme val="minor"/>
      </rPr>
      <t xml:space="preserve">(Ang II) induced significantly VEGF production in cisplatin resistant bladder cancer T24PR and 5637PR cells than in their corresponding parent cells in vitro. </t>
    </r>
    <r>
      <rPr>
        <b/>
        <sz val="11"/>
        <color theme="1"/>
        <rFont val="Calibri"/>
        <family val="2"/>
        <scheme val="minor"/>
      </rPr>
      <t>7) Rad51</t>
    </r>
    <r>
      <rPr>
        <sz val="11"/>
        <color theme="1"/>
        <rFont val="Calibri"/>
        <family val="2"/>
        <scheme val="minor"/>
      </rPr>
      <t xml:space="preserve"> is a </t>
    </r>
    <r>
      <rPr>
        <b/>
        <sz val="11"/>
        <color theme="1"/>
        <rFont val="Calibri"/>
        <family val="2"/>
        <scheme val="minor"/>
      </rPr>
      <t>YAP/TAZ</t>
    </r>
    <r>
      <rPr>
        <sz val="11"/>
        <color theme="1"/>
        <rFont val="Calibri"/>
        <family val="2"/>
        <scheme val="minor"/>
      </rPr>
      <t xml:space="preserve"> target gene and that </t>
    </r>
    <r>
      <rPr>
        <b/>
        <sz val="11"/>
        <color theme="1"/>
        <rFont val="Calibri"/>
        <family val="2"/>
        <scheme val="minor"/>
      </rPr>
      <t>VEGF–neuropilin 2–YAP/TAZ</t>
    </r>
    <r>
      <rPr>
        <sz val="11"/>
        <color theme="1"/>
        <rFont val="Calibri"/>
        <family val="2"/>
        <scheme val="minor"/>
      </rPr>
      <t xml:space="preserve">–mediated </t>
    </r>
    <r>
      <rPr>
        <b/>
        <sz val="11"/>
        <color theme="1"/>
        <rFont val="Calibri"/>
        <family val="2"/>
        <scheme val="minor"/>
      </rPr>
      <t>cisplatin</t>
    </r>
    <r>
      <rPr>
        <sz val="11"/>
        <color theme="1"/>
        <rFont val="Calibri"/>
        <family val="2"/>
        <scheme val="minor"/>
      </rPr>
      <t xml:space="preserve"> resistance occurs through downstream Rad51 expression. </t>
    </r>
  </si>
  <si>
    <r>
      <rPr>
        <b/>
        <sz val="11"/>
        <color theme="1"/>
        <rFont val="Calibri"/>
        <family val="2"/>
        <scheme val="minor"/>
      </rPr>
      <t xml:space="preserve">1) </t>
    </r>
    <r>
      <rPr>
        <sz val="11"/>
        <color theme="1"/>
        <rFont val="Calibri"/>
        <family val="2"/>
        <scheme val="minor"/>
      </rPr>
      <t xml:space="preserve">The expression of vimentin was downregulated in drug-resistant ovarian cancer cell lines A2780-DR and HO-8910 as compared to their respective control cells. </t>
    </r>
    <r>
      <rPr>
        <b/>
        <sz val="11"/>
        <color theme="1"/>
        <rFont val="Calibri"/>
        <family val="2"/>
        <scheme val="minor"/>
      </rPr>
      <t xml:space="preserve">2) </t>
    </r>
    <r>
      <rPr>
        <sz val="11"/>
        <color theme="1"/>
        <rFont val="Calibri"/>
        <family val="2"/>
        <scheme val="minor"/>
      </rPr>
      <t xml:space="preserve">Overexpression of vimentin in A2780-DR cells markedly increased their sensitivity to cisplatin, whereas knockdown of vimentin in A2780, HO-8910-PM and HO-8910 cells increased the resistance to cisplatin. </t>
    </r>
    <r>
      <rPr>
        <b/>
        <sz val="11"/>
        <color theme="1"/>
        <rFont val="Calibri"/>
        <family val="2"/>
        <scheme val="minor"/>
      </rPr>
      <t xml:space="preserve">3) </t>
    </r>
    <r>
      <rPr>
        <sz val="11"/>
        <color theme="1"/>
        <rFont val="Calibri"/>
        <family val="2"/>
        <scheme val="minor"/>
      </rPr>
      <t xml:space="preserve">Quantitative proteomic analysis identified 95 differentially expressed proteins between the vimentin silenced A2780 cells (A2780-VIM-KN) and the control cells, in which downregulation of endocytic proteins and the upregulation of exocytotic proteins CHMP2B and PDZK1 were proposed to contribute the decreased cisplatin accumulation in vimentin knockdown cells. </t>
    </r>
    <r>
      <rPr>
        <b/>
        <sz val="11"/>
        <color theme="1"/>
        <rFont val="Calibri"/>
        <family val="2"/>
        <scheme val="minor"/>
      </rPr>
      <t>4)</t>
    </r>
    <r>
      <rPr>
        <sz val="11"/>
        <color theme="1"/>
        <rFont val="Calibri"/>
        <family val="2"/>
        <scheme val="minor"/>
      </rPr>
      <t xml:space="preserve"> Silencing of vimentin induced upregulation of cancer stem cell markers and both A2780-DR and A2780-VIM-KN cells were more facile to form spheroids than control cells under serum-free culture condition. </t>
    </r>
    <r>
      <rPr>
        <b/>
        <sz val="11"/>
        <color theme="1"/>
        <rFont val="Calibri"/>
        <family val="2"/>
        <scheme val="minor"/>
      </rPr>
      <t>5)</t>
    </r>
    <r>
      <rPr>
        <sz val="11"/>
        <color theme="1"/>
        <rFont val="Calibri"/>
        <family val="2"/>
        <scheme val="minor"/>
      </rPr>
      <t xml:space="preserve"> vimentin knockdown increased the 14-3-3 mediated retention of Cdc25C in the cytoplasm, leading to inactivation of Cdk1 and the prolonged G2 phase arrest that allowed the longer period of time for cells to repair cisplatin-damaged DNA. </t>
    </r>
  </si>
  <si>
    <r>
      <rPr>
        <b/>
        <sz val="11"/>
        <color theme="1"/>
        <rFont val="Calibri"/>
        <family val="2"/>
        <scheme val="minor"/>
      </rPr>
      <t xml:space="preserve">1) </t>
    </r>
    <r>
      <rPr>
        <sz val="11"/>
        <color theme="1"/>
        <rFont val="Calibri"/>
        <family val="2"/>
        <scheme val="minor"/>
      </rPr>
      <t xml:space="preserve">The top inhibitors, pimozide and </t>
    </r>
    <r>
      <rPr>
        <b/>
        <sz val="11"/>
        <color theme="1"/>
        <rFont val="Calibri"/>
        <family val="2"/>
        <scheme val="minor"/>
      </rPr>
      <t>GW7647</t>
    </r>
    <r>
      <rPr>
        <sz val="11"/>
        <color theme="1"/>
        <rFont val="Calibri"/>
        <family val="2"/>
        <scheme val="minor"/>
      </rPr>
      <t>, inhibited USP1/</t>
    </r>
    <r>
      <rPr>
        <b/>
        <sz val="11"/>
        <color theme="1"/>
        <rFont val="Calibri"/>
        <family val="2"/>
        <scheme val="minor"/>
      </rPr>
      <t>UAF1</t>
    </r>
    <r>
      <rPr>
        <sz val="11"/>
        <color theme="1"/>
        <rFont val="Calibri"/>
        <family val="2"/>
        <scheme val="minor"/>
      </rPr>
      <t xml:space="preserve"> noncompetitively with a K(i) of 0.5 and 0.7 μM, respectively, and displayed selectivity against a number of deubiquitinases, deSUMOylase, and cysteine proteases. </t>
    </r>
    <r>
      <rPr>
        <b/>
        <sz val="11"/>
        <color theme="1"/>
        <rFont val="Calibri"/>
        <family val="2"/>
        <scheme val="minor"/>
      </rPr>
      <t xml:space="preserve">2) </t>
    </r>
    <r>
      <rPr>
        <sz val="11"/>
        <color theme="1"/>
        <rFont val="Calibri"/>
        <family val="2"/>
        <scheme val="minor"/>
      </rPr>
      <t xml:space="preserve">The USP1/UAF1 inhibitors act synergistically with </t>
    </r>
    <r>
      <rPr>
        <b/>
        <sz val="11"/>
        <color theme="1"/>
        <rFont val="Calibri"/>
        <family val="2"/>
        <scheme val="minor"/>
      </rPr>
      <t>cisplatin</t>
    </r>
    <r>
      <rPr>
        <sz val="11"/>
        <color theme="1"/>
        <rFont val="Calibri"/>
        <family val="2"/>
        <scheme val="minor"/>
      </rPr>
      <t xml:space="preserve"> in inhibiting cisplatin-resistant non-small cell lung cancer (</t>
    </r>
    <r>
      <rPr>
        <b/>
        <sz val="11"/>
        <color theme="1"/>
        <rFont val="Calibri"/>
        <family val="2"/>
        <scheme val="minor"/>
      </rPr>
      <t>NSCLC</t>
    </r>
    <r>
      <rPr>
        <sz val="11"/>
        <color theme="1"/>
        <rFont val="Calibri"/>
        <family val="2"/>
        <scheme val="minor"/>
      </rPr>
      <t>) cell proliferation. </t>
    </r>
  </si>
  <si>
    <r>
      <rPr>
        <b/>
        <sz val="11"/>
        <color theme="1"/>
        <rFont val="Calibri"/>
        <family val="2"/>
        <scheme val="minor"/>
      </rPr>
      <t xml:space="preserve">1) </t>
    </r>
    <r>
      <rPr>
        <sz val="11"/>
        <color theme="1"/>
        <rFont val="Calibri"/>
        <family val="2"/>
        <scheme val="minor"/>
      </rPr>
      <t xml:space="preserve">elevated </t>
    </r>
    <r>
      <rPr>
        <b/>
        <sz val="11"/>
        <color theme="1"/>
        <rFont val="Calibri"/>
        <family val="2"/>
        <scheme val="minor"/>
      </rPr>
      <t>HE4 serum levels</t>
    </r>
    <r>
      <rPr>
        <sz val="11"/>
        <color theme="1"/>
        <rFont val="Calibri"/>
        <family val="2"/>
        <scheme val="minor"/>
      </rPr>
      <t xml:space="preserve"> correlate with chemoresistance and decreased survival rates in EOC patients. </t>
    </r>
    <r>
      <rPr>
        <b/>
        <sz val="11"/>
        <color theme="1"/>
        <rFont val="Calibri"/>
        <family val="2"/>
        <scheme val="minor"/>
      </rPr>
      <t>2)</t>
    </r>
    <r>
      <rPr>
        <sz val="11"/>
        <color theme="1"/>
        <rFont val="Calibri"/>
        <family val="2"/>
        <scheme val="minor"/>
      </rPr>
      <t xml:space="preserve"> HE4 overexpression promoted xenograft tumor growth and chemoresistance against</t>
    </r>
    <r>
      <rPr>
        <b/>
        <sz val="11"/>
        <color theme="1"/>
        <rFont val="Calibri"/>
        <family val="2"/>
        <scheme val="minor"/>
      </rPr>
      <t xml:space="preserve"> cisplatin</t>
    </r>
    <r>
      <rPr>
        <sz val="11"/>
        <color theme="1"/>
        <rFont val="Calibri"/>
        <family val="2"/>
        <scheme val="minor"/>
      </rPr>
      <t xml:space="preserve"> in an animal model resulting in reduced survival rates. </t>
    </r>
    <r>
      <rPr>
        <b/>
        <sz val="11"/>
        <color theme="1"/>
        <rFont val="Calibri"/>
        <family val="2"/>
        <scheme val="minor"/>
      </rPr>
      <t xml:space="preserve">3) </t>
    </r>
    <r>
      <rPr>
        <sz val="11"/>
        <color theme="1"/>
        <rFont val="Calibri"/>
        <family val="2"/>
        <scheme val="minor"/>
      </rPr>
      <t xml:space="preserve">HE4 displayed responses to tumor microenvironment constituents and presented increased expression as well as nuclear translocation upon EGF, VEGF and Insulin treatment and nucleolar localization with Insulin treatment. </t>
    </r>
    <r>
      <rPr>
        <b/>
        <sz val="11"/>
        <color theme="1"/>
        <rFont val="Calibri"/>
        <family val="2"/>
        <scheme val="minor"/>
      </rPr>
      <t xml:space="preserve">4) </t>
    </r>
    <r>
      <rPr>
        <sz val="11"/>
        <color theme="1"/>
        <rFont val="Calibri"/>
        <family val="2"/>
        <scheme val="minor"/>
      </rPr>
      <t xml:space="preserve">HE4 interacts with EGFR, IGF1R, and transcription factor HIF1α. </t>
    </r>
    <r>
      <rPr>
        <b/>
        <sz val="11"/>
        <color theme="1"/>
        <rFont val="Calibri"/>
        <family val="2"/>
        <scheme val="minor"/>
      </rPr>
      <t xml:space="preserve">5) </t>
    </r>
    <r>
      <rPr>
        <sz val="11"/>
        <color theme="1"/>
        <rFont val="Calibri"/>
        <family val="2"/>
        <scheme val="minor"/>
      </rPr>
      <t xml:space="preserve">Constructs of antisense phosphorothio-oligonucleotides targeting HE4 arrested tumor growth in nude mice. </t>
    </r>
    <r>
      <rPr>
        <b/>
        <sz val="11"/>
        <color theme="1"/>
        <rFont val="Calibri"/>
        <family val="2"/>
        <scheme val="minor"/>
      </rPr>
      <t xml:space="preserve">6) </t>
    </r>
    <r>
      <rPr>
        <sz val="11"/>
        <color theme="1"/>
        <rFont val="Calibri"/>
        <family val="2"/>
        <scheme val="minor"/>
      </rPr>
      <t xml:space="preserve">The </t>
    </r>
    <r>
      <rPr>
        <b/>
        <sz val="11"/>
        <color theme="1"/>
        <rFont val="Calibri"/>
        <family val="2"/>
        <scheme val="minor"/>
      </rPr>
      <t>exogenous</t>
    </r>
    <r>
      <rPr>
        <sz val="11"/>
        <color theme="1"/>
        <rFont val="Calibri"/>
        <family val="2"/>
        <scheme val="minor"/>
      </rPr>
      <t xml:space="preserve"> recombinant HE4 protein enhanced cell viability, promoted accumulation of cells in the G2/M phase and</t>
    </r>
    <r>
      <rPr>
        <b/>
        <sz val="11"/>
        <color theme="1"/>
        <rFont val="Calibri"/>
        <family val="2"/>
        <scheme val="minor"/>
      </rPr>
      <t xml:space="preserve"> 7)</t>
    </r>
    <r>
      <rPr>
        <sz val="11"/>
        <color theme="1"/>
        <rFont val="Calibri"/>
        <family val="2"/>
        <scheme val="minor"/>
      </rPr>
      <t xml:space="preserve"> attenuated</t>
    </r>
    <r>
      <rPr>
        <b/>
        <sz val="11"/>
        <color theme="1"/>
        <rFont val="Calibri"/>
        <family val="2"/>
        <scheme val="minor"/>
      </rPr>
      <t xml:space="preserve"> carboplatin-induced apoptosis</t>
    </r>
    <r>
      <rPr>
        <sz val="11"/>
        <color theme="1"/>
        <rFont val="Calibri"/>
        <family val="2"/>
        <scheme val="minor"/>
      </rPr>
      <t xml:space="preserve">. HE4 markedly decreased the Bax/Bcl-2 ratio. </t>
    </r>
    <r>
      <rPr>
        <b/>
        <sz val="11"/>
        <color theme="1"/>
        <rFont val="Calibri"/>
        <family val="2"/>
        <scheme val="minor"/>
      </rPr>
      <t xml:space="preserve">8) </t>
    </r>
    <r>
      <rPr>
        <sz val="11"/>
        <color theme="1"/>
        <rFont val="Calibri"/>
        <family val="2"/>
        <scheme val="minor"/>
      </rPr>
      <t>Based on the results of multivariate analysis, the risk of death was significantly higher in patients with an H-score &gt; 4.</t>
    </r>
  </si>
  <si>
    <r>
      <rPr>
        <b/>
        <sz val="11"/>
        <color theme="1"/>
        <rFont val="Calibri"/>
        <family val="2"/>
        <scheme val="minor"/>
      </rPr>
      <t>1)</t>
    </r>
    <r>
      <rPr>
        <sz val="11"/>
        <color theme="1"/>
        <rFont val="Calibri"/>
        <family val="2"/>
        <scheme val="minor"/>
      </rPr>
      <t xml:space="preserve"> </t>
    </r>
    <r>
      <rPr>
        <b/>
        <sz val="11"/>
        <color theme="1"/>
        <rFont val="Calibri"/>
        <family val="2"/>
        <scheme val="minor"/>
      </rPr>
      <t>WWOX</t>
    </r>
    <r>
      <rPr>
        <sz val="11"/>
        <color theme="1"/>
        <rFont val="Calibri"/>
        <family val="2"/>
        <scheme val="minor"/>
      </rPr>
      <t xml:space="preserve">-expressing cells were more sensitive to treatment with </t>
    </r>
    <r>
      <rPr>
        <b/>
        <sz val="11"/>
        <color theme="1"/>
        <rFont val="Calibri"/>
        <family val="2"/>
        <scheme val="minor"/>
      </rPr>
      <t>cisplatin</t>
    </r>
    <r>
      <rPr>
        <sz val="11"/>
        <color theme="1"/>
        <rFont val="Calibri"/>
        <family val="2"/>
        <scheme val="minor"/>
      </rPr>
      <t xml:space="preserve">, doxorubicin and mitoxantrone. </t>
    </r>
    <r>
      <rPr>
        <b/>
        <sz val="11"/>
        <color theme="1"/>
        <rFont val="Calibri"/>
        <family val="2"/>
        <scheme val="minor"/>
      </rPr>
      <t>2)</t>
    </r>
    <r>
      <rPr>
        <sz val="11"/>
        <color theme="1"/>
        <rFont val="Calibri"/>
        <family val="2"/>
        <scheme val="minor"/>
      </rPr>
      <t xml:space="preserve"> Compared with control cells, the expression levels of stem cell markers, including </t>
    </r>
    <r>
      <rPr>
        <b/>
        <sz val="11"/>
        <color theme="1"/>
        <rFont val="Calibri"/>
        <family val="2"/>
        <scheme val="minor"/>
      </rPr>
      <t>CD133, CD117</t>
    </r>
    <r>
      <rPr>
        <sz val="11"/>
        <color theme="1"/>
        <rFont val="Calibri"/>
        <family val="2"/>
        <scheme val="minor"/>
      </rPr>
      <t xml:space="preserve">, </t>
    </r>
    <r>
      <rPr>
        <b/>
        <sz val="11"/>
        <color theme="1"/>
        <rFont val="Calibri"/>
        <family val="2"/>
        <scheme val="minor"/>
      </rPr>
      <t>ABCG2</t>
    </r>
    <r>
      <rPr>
        <sz val="11"/>
        <color theme="1"/>
        <rFont val="Calibri"/>
        <family val="2"/>
        <scheme val="minor"/>
      </rPr>
      <t xml:space="preserve">, </t>
    </r>
    <r>
      <rPr>
        <b/>
        <sz val="11"/>
        <color theme="1"/>
        <rFont val="Calibri"/>
        <family val="2"/>
        <scheme val="minor"/>
      </rPr>
      <t>Nanog</t>
    </r>
    <r>
      <rPr>
        <sz val="11"/>
        <color theme="1"/>
        <rFont val="Calibri"/>
        <family val="2"/>
        <scheme val="minor"/>
      </rPr>
      <t xml:space="preserve">, </t>
    </r>
    <r>
      <rPr>
        <b/>
        <sz val="11"/>
        <color theme="1"/>
        <rFont val="Calibri"/>
        <family val="2"/>
        <scheme val="minor"/>
      </rPr>
      <t>OCT4</t>
    </r>
    <r>
      <rPr>
        <sz val="11"/>
        <color theme="1"/>
        <rFont val="Calibri"/>
        <family val="2"/>
        <scheme val="minor"/>
      </rPr>
      <t xml:space="preserve"> and breast cancer resistance protein, were significantly lower in WWOX-expressing cells, while the level of the differentiation marker E-cadherin was significantly higher in WWOX-expressing cells. </t>
    </r>
    <r>
      <rPr>
        <b/>
        <sz val="11"/>
        <color theme="1"/>
        <rFont val="Calibri"/>
        <family val="2"/>
        <scheme val="minor"/>
      </rPr>
      <t>3)</t>
    </r>
    <r>
      <rPr>
        <sz val="11"/>
        <color theme="1"/>
        <rFont val="Calibri"/>
        <family val="2"/>
        <scheme val="minor"/>
      </rPr>
      <t xml:space="preserve"> Wwox-deficient cells exhibit enhanced HR and decreased NHEJ. </t>
    </r>
    <r>
      <rPr>
        <b/>
        <sz val="11"/>
        <color theme="1"/>
        <rFont val="Calibri"/>
        <family val="2"/>
        <scheme val="minor"/>
      </rPr>
      <t xml:space="preserve">4) </t>
    </r>
    <r>
      <rPr>
        <sz val="11"/>
        <color theme="1"/>
        <rFont val="Calibri"/>
        <family val="2"/>
        <scheme val="minor"/>
      </rPr>
      <t xml:space="preserve">Wwox interact with Brca1: Brca1-Wwox interaction supports NHEJ as the dominant DSB repair pathway in Wwox-sufficient cells. </t>
    </r>
    <r>
      <rPr>
        <b/>
        <sz val="11"/>
        <color theme="1"/>
        <rFont val="Calibri"/>
        <family val="2"/>
        <scheme val="minor"/>
      </rPr>
      <t xml:space="preserve">5) </t>
    </r>
    <r>
      <rPr>
        <sz val="11"/>
        <color theme="1"/>
        <rFont val="Calibri"/>
        <family val="2"/>
        <scheme val="minor"/>
      </rPr>
      <t>Enhanced homology directed repair (HDR) in Wwox-deficient cells permits significantly increased resistance to</t>
    </r>
    <r>
      <rPr>
        <b/>
        <sz val="11"/>
        <color theme="1"/>
        <rFont val="Calibri"/>
        <family val="2"/>
        <scheme val="minor"/>
      </rPr>
      <t xml:space="preserve"> cisplatin</t>
    </r>
    <r>
      <rPr>
        <sz val="11"/>
        <color theme="1"/>
        <rFont val="Calibri"/>
        <family val="2"/>
        <scheme val="minor"/>
      </rPr>
      <t xml:space="preserve"> and radiation treatment-associated cell killing,</t>
    </r>
  </si>
  <si>
    <r>
      <rPr>
        <b/>
        <sz val="11"/>
        <color theme="1"/>
        <rFont val="Calibri"/>
        <family val="2"/>
        <scheme val="minor"/>
      </rPr>
      <t>1)</t>
    </r>
    <r>
      <rPr>
        <sz val="11"/>
        <color theme="1"/>
        <rFont val="Calibri"/>
        <family val="2"/>
        <scheme val="minor"/>
      </rPr>
      <t xml:space="preserve"> </t>
    </r>
    <r>
      <rPr>
        <b/>
        <sz val="11"/>
        <color theme="1"/>
        <rFont val="Calibri"/>
        <family val="2"/>
        <scheme val="minor"/>
      </rPr>
      <t xml:space="preserve">WWP2 </t>
    </r>
    <r>
      <rPr>
        <sz val="11"/>
        <color theme="1"/>
        <rFont val="Calibri"/>
        <family val="2"/>
        <scheme val="minor"/>
      </rPr>
      <t xml:space="preserve">interacted with N3-ICD but not with intracellular domains from other Notch receptors. </t>
    </r>
    <r>
      <rPr>
        <b/>
        <sz val="11"/>
        <color theme="1"/>
        <rFont val="Calibri"/>
        <family val="2"/>
        <scheme val="minor"/>
      </rPr>
      <t xml:space="preserve">2) </t>
    </r>
    <r>
      <rPr>
        <sz val="11"/>
        <color theme="1"/>
        <rFont val="Calibri"/>
        <family val="2"/>
        <scheme val="minor"/>
      </rPr>
      <t xml:space="preserve">Wild-type WWP2 but not ligase-deficient mutant WWP2 increases mono-ubiquitination of the membrane-tethered Notch3 fragment, therefore attenuating Notch3 pathway activity in cancer cells and leading to cell cycle arrest. </t>
    </r>
    <r>
      <rPr>
        <b/>
        <sz val="11"/>
        <color theme="1"/>
        <rFont val="Calibri"/>
        <family val="2"/>
        <scheme val="minor"/>
      </rPr>
      <t xml:space="preserve">3) </t>
    </r>
    <r>
      <rPr>
        <sz val="11"/>
        <color theme="1"/>
        <rFont val="Calibri"/>
        <family val="2"/>
        <scheme val="minor"/>
      </rPr>
      <t xml:space="preserve">the majority of ovarian carcinomas harbored homozygous or heterozygous deletions in </t>
    </r>
    <r>
      <rPr>
        <b/>
        <sz val="11"/>
        <color theme="1"/>
        <rFont val="Calibri"/>
        <family val="2"/>
        <scheme val="minor"/>
      </rPr>
      <t>WWP2</t>
    </r>
    <r>
      <rPr>
        <sz val="11"/>
        <color theme="1"/>
        <rFont val="Calibri"/>
        <family val="2"/>
        <scheme val="minor"/>
      </rPr>
      <t xml:space="preserve"> locus, and there was an inverse correlation in the expression levels between WWP2 and Notch3 in ovarian carcinomas. </t>
    </r>
    <r>
      <rPr>
        <b/>
        <sz val="11"/>
        <color theme="1"/>
        <rFont val="Calibri"/>
        <family val="2"/>
        <scheme val="minor"/>
      </rPr>
      <t xml:space="preserve">4) </t>
    </r>
    <r>
      <rPr>
        <sz val="11"/>
        <color theme="1"/>
        <rFont val="Calibri"/>
        <family val="2"/>
        <scheme val="minor"/>
      </rPr>
      <t>ectopic expression of WWP2 decreased tumor development in a mouse xenograft model and suppressed the Notch3-induced phenotypes including increase in cancer stem cell-like cell population and</t>
    </r>
    <r>
      <rPr>
        <b/>
        <sz val="11"/>
        <color theme="1"/>
        <rFont val="Calibri"/>
        <family val="2"/>
        <scheme val="minor"/>
      </rPr>
      <t xml:space="preserve"> platinum</t>
    </r>
    <r>
      <rPr>
        <sz val="11"/>
        <color theme="1"/>
        <rFont val="Calibri"/>
        <family val="2"/>
        <scheme val="minor"/>
      </rPr>
      <t xml:space="preserve"> resistance.</t>
    </r>
    <r>
      <rPr>
        <b/>
        <sz val="11"/>
        <color theme="1"/>
        <rFont val="Calibri"/>
        <family val="2"/>
        <scheme val="minor"/>
      </rPr>
      <t xml:space="preserve"> </t>
    </r>
  </si>
  <si>
    <r>
      <rPr>
        <b/>
        <sz val="11"/>
        <color theme="1"/>
        <rFont val="Calibri"/>
        <family val="2"/>
        <scheme val="minor"/>
      </rPr>
      <t xml:space="preserve">1) </t>
    </r>
    <r>
      <rPr>
        <sz val="11"/>
        <color theme="1"/>
        <rFont val="Calibri"/>
        <family val="2"/>
        <scheme val="minor"/>
      </rPr>
      <t xml:space="preserve">drug resistance cells displayed EMT characteristics. </t>
    </r>
    <r>
      <rPr>
        <b/>
        <sz val="11"/>
        <color theme="1"/>
        <rFont val="Calibri"/>
        <family val="2"/>
        <scheme val="minor"/>
      </rPr>
      <t>2)</t>
    </r>
    <r>
      <rPr>
        <sz val="11"/>
        <color theme="1"/>
        <rFont val="Calibri"/>
        <family val="2"/>
        <scheme val="minor"/>
      </rPr>
      <t xml:space="preserve"> </t>
    </r>
    <r>
      <rPr>
        <b/>
        <sz val="11"/>
        <color theme="1"/>
        <rFont val="Calibri"/>
        <family val="2"/>
        <scheme val="minor"/>
      </rPr>
      <t>DDP</t>
    </r>
    <r>
      <rPr>
        <sz val="11"/>
        <color theme="1"/>
        <rFont val="Calibri"/>
        <family val="2"/>
        <scheme val="minor"/>
      </rPr>
      <t xml:space="preserve">-resistant </t>
    </r>
    <r>
      <rPr>
        <b/>
        <sz val="11"/>
        <color theme="1"/>
        <rFont val="Calibri"/>
        <family val="2"/>
        <scheme val="minor"/>
      </rPr>
      <t>Nasopharyngeal</t>
    </r>
    <r>
      <rPr>
        <sz val="11"/>
        <color theme="1"/>
        <rFont val="Calibri"/>
        <family val="2"/>
        <scheme val="minor"/>
      </rPr>
      <t xml:space="preserve"> carcinoma (NPC) cells exhibited enhanced migration and invasion potential. </t>
    </r>
    <r>
      <rPr>
        <b/>
        <sz val="11"/>
        <color theme="1"/>
        <rFont val="Calibri"/>
        <family val="2"/>
        <scheme val="minor"/>
      </rPr>
      <t>3)</t>
    </r>
    <r>
      <rPr>
        <sz val="11"/>
        <color theme="1"/>
        <rFont val="Calibri"/>
        <family val="2"/>
        <scheme val="minor"/>
      </rPr>
      <t xml:space="preserve"> overexpression of TAZ is closely associated with the DDP resistance of NPC cells and its EMT properties. </t>
    </r>
    <r>
      <rPr>
        <b/>
        <sz val="11"/>
        <color theme="1"/>
        <rFont val="Calibri"/>
        <family val="2"/>
        <scheme val="minor"/>
      </rPr>
      <t xml:space="preserve">4) </t>
    </r>
    <r>
      <rPr>
        <sz val="11"/>
        <color theme="1"/>
        <rFont val="Calibri"/>
        <family val="2"/>
        <scheme val="minor"/>
      </rPr>
      <t>Depletion of TAZ in DDP-resistant cells reversed EMT phenotypes to MET characteristics and restored chemosensitivity of DDP-resistant cells to DDP treatment. </t>
    </r>
  </si>
  <si>
    <r>
      <rPr>
        <b/>
        <sz val="11"/>
        <color theme="1"/>
        <rFont val="Calibri"/>
        <family val="2"/>
        <scheme val="minor"/>
      </rPr>
      <t>1)</t>
    </r>
    <r>
      <rPr>
        <sz val="11"/>
        <color theme="1"/>
        <rFont val="Calibri"/>
        <family val="2"/>
        <scheme val="minor"/>
      </rPr>
      <t xml:space="preserve"> Tissues from 94 patients with advanced epithelial </t>
    </r>
    <r>
      <rPr>
        <b/>
        <sz val="11"/>
        <color theme="1"/>
        <rFont val="Calibri"/>
        <family val="2"/>
        <scheme val="minor"/>
      </rPr>
      <t>ovarian</t>
    </r>
    <r>
      <rPr>
        <sz val="11"/>
        <color theme="1"/>
        <rFont val="Calibri"/>
        <family val="2"/>
        <scheme val="minor"/>
      </rPr>
      <t xml:space="preserve"> cancer (EOC) and 30 ovarian cystadenomas were obtained. </t>
    </r>
    <r>
      <rPr>
        <b/>
        <sz val="11"/>
        <color theme="1"/>
        <rFont val="Calibri"/>
        <family val="2"/>
        <scheme val="minor"/>
      </rPr>
      <t xml:space="preserve">2) </t>
    </r>
    <r>
      <rPr>
        <sz val="11"/>
        <color theme="1"/>
        <rFont val="Calibri"/>
        <family val="2"/>
        <scheme val="minor"/>
      </rPr>
      <t xml:space="preserve">Low </t>
    </r>
    <r>
      <rPr>
        <b/>
        <sz val="11"/>
        <color theme="1"/>
        <rFont val="Calibri"/>
        <family val="2"/>
        <scheme val="minor"/>
      </rPr>
      <t>XAF1</t>
    </r>
    <r>
      <rPr>
        <sz val="11"/>
        <color theme="1"/>
        <rFont val="Calibri"/>
        <family val="2"/>
        <scheme val="minor"/>
      </rPr>
      <t xml:space="preserve"> expression was associated with high-grade tumors and poor overall survival for patients who received </t>
    </r>
    <r>
      <rPr>
        <b/>
        <sz val="11"/>
        <color theme="1"/>
        <rFont val="Calibri"/>
        <family val="2"/>
        <scheme val="minor"/>
      </rPr>
      <t>platin</t>
    </r>
    <r>
      <rPr>
        <sz val="11"/>
        <color theme="1"/>
        <rFont val="Calibri"/>
        <family val="2"/>
        <scheme val="minor"/>
      </rPr>
      <t xml:space="preserve">-based combination chemotherapy after surgery. </t>
    </r>
    <r>
      <rPr>
        <b/>
        <sz val="11"/>
        <color theme="1"/>
        <rFont val="Calibri"/>
        <family val="2"/>
        <scheme val="minor"/>
      </rPr>
      <t>3)</t>
    </r>
    <r>
      <rPr>
        <sz val="11"/>
        <color theme="1"/>
        <rFont val="Calibri"/>
        <family val="2"/>
        <scheme val="minor"/>
      </rPr>
      <t xml:space="preserve"> Overexpression of </t>
    </r>
    <r>
      <rPr>
        <b/>
        <sz val="11"/>
        <color theme="1"/>
        <rFont val="Calibri"/>
        <family val="2"/>
        <scheme val="minor"/>
      </rPr>
      <t>XAF1</t>
    </r>
    <r>
      <rPr>
        <sz val="11"/>
        <color theme="1"/>
        <rFont val="Calibri"/>
        <family val="2"/>
        <scheme val="minor"/>
      </rPr>
      <t xml:space="preserve"> suppressed cell proliferation and enhanced SKOV3 cells sensitivity to </t>
    </r>
    <r>
      <rPr>
        <b/>
        <sz val="11"/>
        <color theme="1"/>
        <rFont val="Calibri"/>
        <family val="2"/>
        <scheme val="minor"/>
      </rPr>
      <t>cisplatin</t>
    </r>
    <r>
      <rPr>
        <sz val="11"/>
        <color theme="1"/>
        <rFont val="Calibri"/>
        <family val="2"/>
        <scheme val="minor"/>
      </rPr>
      <t xml:space="preserve">, </t>
    </r>
    <r>
      <rPr>
        <b/>
        <sz val="11"/>
        <color theme="1"/>
        <rFont val="Calibri"/>
        <family val="2"/>
        <scheme val="minor"/>
      </rPr>
      <t xml:space="preserve">4) </t>
    </r>
    <r>
      <rPr>
        <sz val="11"/>
        <color theme="1"/>
        <rFont val="Calibri"/>
        <family val="2"/>
        <scheme val="minor"/>
      </rPr>
      <t>Overexpression of XAF1 induced XIAP inactivation, caspase-3 activation and cytosolic expression of cytochrome c.</t>
    </r>
    <r>
      <rPr>
        <b/>
        <sz val="11"/>
        <color theme="1"/>
        <rFont val="Calibri"/>
        <family val="2"/>
        <scheme val="minor"/>
      </rPr>
      <t xml:space="preserve"> 5) XAF1</t>
    </r>
    <r>
      <rPr>
        <sz val="11"/>
        <color theme="1"/>
        <rFont val="Calibri"/>
        <family val="2"/>
        <scheme val="minor"/>
      </rPr>
      <t xml:space="preserve"> as a novel predictive and prognostic factor in</t>
    </r>
    <r>
      <rPr>
        <b/>
        <sz val="11"/>
        <color theme="1"/>
        <rFont val="Calibri"/>
        <family val="2"/>
        <scheme val="minor"/>
      </rPr>
      <t xml:space="preserve"> bladder</t>
    </r>
    <r>
      <rPr>
        <sz val="11"/>
        <color theme="1"/>
        <rFont val="Calibri"/>
        <family val="2"/>
        <scheme val="minor"/>
      </rPr>
      <t xml:space="preserve"> cancer patients treated with </t>
    </r>
    <r>
      <rPr>
        <b/>
        <sz val="11"/>
        <color theme="1"/>
        <rFont val="Calibri"/>
        <family val="2"/>
        <scheme val="minor"/>
      </rPr>
      <t>neoadjuvant</t>
    </r>
    <r>
      <rPr>
        <sz val="11"/>
        <color theme="1"/>
        <rFont val="Calibri"/>
        <family val="2"/>
        <scheme val="minor"/>
      </rPr>
      <t xml:space="preserve"> chemotherapy. </t>
    </r>
  </si>
  <si>
    <r>
      <rPr>
        <b/>
        <sz val="11"/>
        <color theme="1"/>
        <rFont val="Calibri"/>
        <family val="2"/>
        <scheme val="minor"/>
      </rPr>
      <t xml:space="preserve">1) </t>
    </r>
    <r>
      <rPr>
        <sz val="11"/>
        <color theme="1"/>
        <rFont val="Calibri"/>
        <family val="2"/>
        <scheme val="minor"/>
      </rPr>
      <t xml:space="preserve">VST also inhibited the production of the UPR transcriptional activators XBP1 and ATF4 during glucose deprivation: VST alone and in combination with cisplatin statistically significantly (P =.004 and P&lt;.001 for comparisons with untreated control, respectively) inhibited tumor growth of MKN74 xenografts. </t>
    </r>
    <r>
      <rPr>
        <b/>
        <sz val="11"/>
        <color theme="1"/>
        <rFont val="Calibri"/>
        <family val="2"/>
        <scheme val="minor"/>
      </rPr>
      <t>2) XBP1u</t>
    </r>
    <r>
      <rPr>
        <sz val="11"/>
        <color theme="1"/>
        <rFont val="Calibri"/>
        <family val="2"/>
        <scheme val="minor"/>
      </rPr>
      <t xml:space="preserve"> is associated with longer survival of breast patients treated with tamoxifen, whereas </t>
    </r>
    <r>
      <rPr>
        <b/>
        <sz val="11"/>
        <color theme="1"/>
        <rFont val="Calibri"/>
        <family val="2"/>
        <scheme val="minor"/>
      </rPr>
      <t>XBP1s</t>
    </r>
    <r>
      <rPr>
        <sz val="11"/>
        <color theme="1"/>
        <rFont val="Calibri"/>
        <family val="2"/>
        <scheme val="minor"/>
      </rPr>
      <t xml:space="preserve"> is associated with shorter survival. </t>
    </r>
    <r>
      <rPr>
        <b/>
        <sz val="11"/>
        <color theme="1"/>
        <rFont val="Calibri"/>
        <family val="2"/>
        <scheme val="minor"/>
      </rPr>
      <t>3)</t>
    </r>
    <r>
      <rPr>
        <sz val="11"/>
        <color theme="1"/>
        <rFont val="Calibri"/>
        <family val="2"/>
        <scheme val="minor"/>
      </rPr>
      <t xml:space="preserve"> XBP1s-overexpressing MCF-7 cells displayed much higher basal levels of autophagy as demonstrated with increased basal LC3II levels and decreased p62 levels.123 Autophagy induced by XBP1s overexpression protects the cells against apoptosis.</t>
    </r>
  </si>
  <si>
    <r>
      <rPr>
        <b/>
        <sz val="11"/>
        <color theme="1"/>
        <rFont val="Calibri"/>
        <family val="2"/>
        <scheme val="minor"/>
      </rPr>
      <t>1)</t>
    </r>
    <r>
      <rPr>
        <sz val="11"/>
        <color theme="1"/>
        <rFont val="Calibri"/>
        <family val="2"/>
        <scheme val="minor"/>
      </rPr>
      <t xml:space="preserve"> </t>
    </r>
    <r>
      <rPr>
        <b/>
        <sz val="11"/>
        <color theme="1"/>
        <rFont val="Calibri"/>
        <family val="2"/>
        <scheme val="minor"/>
      </rPr>
      <t>XIAP</t>
    </r>
    <r>
      <rPr>
        <sz val="11"/>
        <color theme="1"/>
        <rFont val="Calibri"/>
        <family val="2"/>
        <scheme val="minor"/>
      </rPr>
      <t xml:space="preserve"> was expressed in 17 (20.83%) of the 60 advanced </t>
    </r>
    <r>
      <rPr>
        <b/>
        <sz val="11"/>
        <color theme="1"/>
        <rFont val="Calibri"/>
        <family val="2"/>
        <scheme val="minor"/>
      </rPr>
      <t>HNSCC</t>
    </r>
    <r>
      <rPr>
        <sz val="11"/>
        <color theme="1"/>
        <rFont val="Calibri"/>
        <family val="2"/>
        <scheme val="minor"/>
      </rPr>
      <t xml:space="preserve"> samples and the expression was significantly associated with </t>
    </r>
    <r>
      <rPr>
        <b/>
        <sz val="11"/>
        <color theme="1"/>
        <rFont val="Calibri"/>
        <family val="2"/>
        <scheme val="minor"/>
      </rPr>
      <t>cisplatin</t>
    </r>
    <r>
      <rPr>
        <sz val="11"/>
        <color theme="1"/>
        <rFont val="Calibri"/>
        <family val="2"/>
        <scheme val="minor"/>
      </rPr>
      <t xml:space="preserve"> resistance (P = 0.036) and poor clinical outcome (P = 0.025). </t>
    </r>
    <r>
      <rPr>
        <b/>
        <sz val="11"/>
        <color theme="1"/>
        <rFont val="Calibri"/>
        <family val="2"/>
        <scheme val="minor"/>
      </rPr>
      <t>2)</t>
    </r>
    <r>
      <rPr>
        <sz val="11"/>
        <color theme="1"/>
        <rFont val="Calibri"/>
        <family val="2"/>
        <scheme val="minor"/>
      </rPr>
      <t xml:space="preserve"> </t>
    </r>
    <r>
      <rPr>
        <b/>
        <sz val="11"/>
        <color theme="1"/>
        <rFont val="Calibri"/>
        <family val="2"/>
        <scheme val="minor"/>
      </rPr>
      <t>Cisplatin</t>
    </r>
    <r>
      <rPr>
        <sz val="11"/>
        <color theme="1"/>
        <rFont val="Calibri"/>
        <family val="2"/>
        <scheme val="minor"/>
      </rPr>
      <t>-based chemotherapy induced XIAP expression in those post-chemotherapy samples (P = 0.011), was further associated with poorer clinical outcome (P = 0.029). </t>
    </r>
    <r>
      <rPr>
        <b/>
        <sz val="11"/>
        <color theme="1"/>
        <rFont val="Calibri"/>
        <family val="2"/>
        <scheme val="minor"/>
      </rPr>
      <t>3)</t>
    </r>
    <r>
      <rPr>
        <sz val="11"/>
        <color theme="1"/>
        <rFont val="Calibri"/>
        <family val="2"/>
        <scheme val="minor"/>
      </rPr>
      <t xml:space="preserve"> Down-regulation of miR-377 was found in chemoresistant </t>
    </r>
    <r>
      <rPr>
        <b/>
        <sz val="11"/>
        <color theme="1"/>
        <rFont val="Calibri"/>
        <family val="2"/>
        <scheme val="minor"/>
      </rPr>
      <t>OS</t>
    </r>
    <r>
      <rPr>
        <sz val="11"/>
        <color theme="1"/>
        <rFont val="Calibri"/>
        <family val="2"/>
        <scheme val="minor"/>
      </rPr>
      <t xml:space="preserve"> tissues and</t>
    </r>
    <r>
      <rPr>
        <b/>
        <sz val="11"/>
        <color theme="1"/>
        <rFont val="Calibri"/>
        <family val="2"/>
        <scheme val="minor"/>
      </rPr>
      <t xml:space="preserve"> cisplatin</t>
    </r>
    <r>
      <rPr>
        <sz val="11"/>
        <color theme="1"/>
        <rFont val="Calibri"/>
        <family val="2"/>
        <scheme val="minor"/>
      </rPr>
      <t xml:space="preserve">-resistant OS cell lines. Overexpression of miR-377 re-sensitizes cisplatin resistant OS cells to cisplatin-induced caspase-3 dependent apoptosis. </t>
    </r>
    <r>
      <rPr>
        <b/>
        <sz val="11"/>
        <color theme="1"/>
        <rFont val="Calibri"/>
        <family val="2"/>
        <scheme val="minor"/>
      </rPr>
      <t>4)</t>
    </r>
    <r>
      <rPr>
        <sz val="11"/>
        <color theme="1"/>
        <rFont val="Calibri"/>
        <family val="2"/>
        <scheme val="minor"/>
      </rPr>
      <t xml:space="preserve"> MiR-377 directly represses </t>
    </r>
    <r>
      <rPr>
        <b/>
        <sz val="11"/>
        <color theme="1"/>
        <rFont val="Calibri"/>
        <family val="2"/>
        <scheme val="minor"/>
      </rPr>
      <t>XIAP</t>
    </r>
    <r>
      <rPr>
        <sz val="11"/>
        <color theme="1"/>
        <rFont val="Calibri"/>
        <family val="2"/>
        <scheme val="minor"/>
      </rPr>
      <t xml:space="preserve"> expression through binding to its 3' untranslated region (UTR) of mRNA. </t>
    </r>
    <r>
      <rPr>
        <b/>
        <sz val="11"/>
        <color theme="1"/>
        <rFont val="Calibri"/>
        <family val="2"/>
        <scheme val="minor"/>
      </rPr>
      <t>5)</t>
    </r>
    <r>
      <rPr>
        <sz val="11"/>
        <color theme="1"/>
        <rFont val="Calibri"/>
        <family val="2"/>
        <scheme val="minor"/>
      </rPr>
      <t xml:space="preserve"> Overexpression of XIAP partially cancelled the cisplatin-sensitizing effect of miR-377.</t>
    </r>
  </si>
  <si>
    <r>
      <rPr>
        <b/>
        <sz val="11"/>
        <color theme="1"/>
        <rFont val="Calibri"/>
        <family val="2"/>
        <scheme val="minor"/>
      </rPr>
      <t xml:space="preserve">1) </t>
    </r>
    <r>
      <rPr>
        <sz val="11"/>
        <color theme="1"/>
        <rFont val="Calibri"/>
        <family val="2"/>
        <scheme val="minor"/>
      </rPr>
      <t xml:space="preserve">reduced expression of XRCC1 in </t>
    </r>
    <r>
      <rPr>
        <b/>
        <sz val="11"/>
        <color theme="1"/>
        <rFont val="Calibri"/>
        <family val="2"/>
        <scheme val="minor"/>
      </rPr>
      <t>gastric</t>
    </r>
    <r>
      <rPr>
        <sz val="11"/>
        <color theme="1"/>
        <rFont val="Calibri"/>
        <family val="2"/>
        <scheme val="minor"/>
      </rPr>
      <t xml:space="preserve"> cancerous tissues correlates with a significant survival benefit from adjuvant first-line</t>
    </r>
    <r>
      <rPr>
        <b/>
        <sz val="11"/>
        <color theme="1"/>
        <rFont val="Calibri"/>
        <family val="2"/>
        <scheme val="minor"/>
      </rPr>
      <t xml:space="preserve"> platinum-based chemotherapy</t>
    </r>
    <r>
      <rPr>
        <sz val="11"/>
        <color theme="1"/>
        <rFont val="Calibri"/>
        <family val="2"/>
        <scheme val="minor"/>
      </rPr>
      <t xml:space="preserve">. </t>
    </r>
    <r>
      <rPr>
        <b/>
        <sz val="11"/>
        <color theme="1"/>
        <rFont val="Calibri"/>
        <family val="2"/>
        <scheme val="minor"/>
      </rPr>
      <t xml:space="preserve">2) </t>
    </r>
    <r>
      <rPr>
        <sz val="11"/>
        <color theme="1"/>
        <rFont val="Calibri"/>
        <family val="2"/>
        <scheme val="minor"/>
      </rPr>
      <t xml:space="preserve">the protein expression of XRCC1 was significantly increased in cisplatin-resistant cells (BGC823/DDP) and independently contributed to cisplatin resistance. </t>
    </r>
    <r>
      <rPr>
        <b/>
        <sz val="11"/>
        <color theme="1"/>
        <rFont val="Calibri"/>
        <family val="2"/>
        <scheme val="minor"/>
      </rPr>
      <t>3)</t>
    </r>
    <r>
      <rPr>
        <sz val="11"/>
        <color theme="1"/>
        <rFont val="Calibri"/>
        <family val="2"/>
        <scheme val="minor"/>
      </rPr>
      <t xml:space="preserve">Irinotecan, another chemotherapeutic agent to induce DNA damaging used to treat patients with advanced gastric cancer that progressed on cisplatin, was found to inhibit the expression of XRCC1 effectively, and leading to an increase in the sensitivity of resistant cells to cisplatin. </t>
    </r>
    <r>
      <rPr>
        <b/>
        <sz val="11"/>
        <color theme="1"/>
        <rFont val="Calibri"/>
        <family val="2"/>
        <scheme val="minor"/>
      </rPr>
      <t>4)</t>
    </r>
    <r>
      <rPr>
        <sz val="11"/>
        <color theme="1"/>
        <rFont val="Calibri"/>
        <family val="2"/>
        <scheme val="minor"/>
      </rPr>
      <t xml:space="preserve"> Our proteomic studies further identified a cofactor of 26S proteasome, the thioredoxin-like protein 1 (TXNL1) that downregulated XRCC1 in BGC823/DDP cells via the ubiquitin-proteasome pathway. </t>
    </r>
  </si>
  <si>
    <r>
      <rPr>
        <b/>
        <sz val="11"/>
        <color theme="1"/>
        <rFont val="Calibri"/>
        <family val="2"/>
        <scheme val="minor"/>
      </rPr>
      <t xml:space="preserve">1) </t>
    </r>
    <r>
      <rPr>
        <sz val="11"/>
        <color theme="1"/>
        <rFont val="Calibri"/>
        <family val="2"/>
        <scheme val="minor"/>
      </rPr>
      <t xml:space="preserve">DNA repair associated genes, i.e., </t>
    </r>
    <r>
      <rPr>
        <b/>
        <sz val="11"/>
        <color theme="1"/>
        <rFont val="Calibri"/>
        <family val="2"/>
        <scheme val="minor"/>
      </rPr>
      <t>XRCC5</t>
    </r>
    <r>
      <rPr>
        <sz val="11"/>
        <color theme="1"/>
        <rFont val="Calibri"/>
        <family val="2"/>
        <scheme val="minor"/>
      </rPr>
      <t>, XRCC6, ERCC5, hMLH1 were over-expressed in three-fold </t>
    </r>
    <r>
      <rPr>
        <b/>
        <sz val="11"/>
        <color theme="1"/>
        <rFont val="Calibri"/>
        <family val="2"/>
        <scheme val="minor"/>
      </rPr>
      <t>cisplatin</t>
    </r>
    <r>
      <rPr>
        <sz val="11"/>
        <color theme="1"/>
        <rFont val="Calibri"/>
        <family val="2"/>
        <scheme val="minor"/>
      </rPr>
      <t>-resistant cell line, </t>
    </r>
    <r>
      <rPr>
        <b/>
        <sz val="11"/>
        <color theme="1"/>
        <rFont val="Calibri"/>
        <family val="2"/>
        <scheme val="minor"/>
      </rPr>
      <t xml:space="preserve">2) </t>
    </r>
    <r>
      <rPr>
        <sz val="11"/>
        <color theme="1"/>
        <rFont val="Calibri"/>
        <family val="2"/>
        <scheme val="minor"/>
      </rPr>
      <t xml:space="preserve">Cisplatin treatment led to an increment in H2AX-γ, RAD50, NPM1, </t>
    </r>
    <r>
      <rPr>
        <b/>
        <sz val="11"/>
        <color theme="1"/>
        <rFont val="Calibri"/>
        <family val="2"/>
        <scheme val="minor"/>
      </rPr>
      <t>XRCC5</t>
    </r>
    <r>
      <rPr>
        <sz val="11"/>
        <color theme="1"/>
        <rFont val="Calibri"/>
        <family val="2"/>
        <scheme val="minor"/>
      </rPr>
      <t xml:space="preserve"> and p53 in all treated sets. </t>
    </r>
    <r>
      <rPr>
        <b/>
        <sz val="11"/>
        <color theme="1"/>
        <rFont val="Calibri"/>
        <family val="2"/>
        <scheme val="minor"/>
      </rPr>
      <t>3)</t>
    </r>
    <r>
      <rPr>
        <sz val="11"/>
        <color theme="1"/>
        <rFont val="Calibri"/>
        <family val="2"/>
        <scheme val="minor"/>
      </rPr>
      <t xml:space="preserve"> Impaired XRCC5 and </t>
    </r>
    <r>
      <rPr>
        <b/>
        <sz val="11"/>
        <color theme="1"/>
        <rFont val="Calibri"/>
        <family val="2"/>
        <scheme val="minor"/>
      </rPr>
      <t>cisplatin</t>
    </r>
    <r>
      <rPr>
        <sz val="11"/>
        <color theme="1"/>
        <rFont val="Calibri"/>
        <family val="2"/>
        <scheme val="minor"/>
      </rPr>
      <t xml:space="preserve"> treatment leads to cellular apoptosis. </t>
    </r>
    <r>
      <rPr>
        <b/>
        <sz val="11"/>
        <color theme="1"/>
        <rFont val="Calibri"/>
        <family val="2"/>
        <scheme val="minor"/>
      </rPr>
      <t xml:space="preserve">4) </t>
    </r>
    <r>
      <rPr>
        <sz val="11"/>
        <color theme="1"/>
        <rFont val="Calibri"/>
        <family val="2"/>
        <scheme val="minor"/>
      </rPr>
      <t xml:space="preserve">Tissue samples from the nonresponse group (to platinum) exhibited higher </t>
    </r>
    <r>
      <rPr>
        <b/>
        <sz val="11"/>
        <color theme="1"/>
        <rFont val="Calibri"/>
        <family val="2"/>
        <scheme val="minor"/>
      </rPr>
      <t>Ku80</t>
    </r>
    <r>
      <rPr>
        <sz val="11"/>
        <color theme="1"/>
        <rFont val="Calibri"/>
        <family val="2"/>
        <scheme val="minor"/>
      </rPr>
      <t xml:space="preserve"> mRNA levels compared to the response group. </t>
    </r>
    <r>
      <rPr>
        <b/>
        <sz val="11"/>
        <color theme="1"/>
        <rFont val="Calibri"/>
        <family val="2"/>
        <scheme val="minor"/>
      </rPr>
      <t>5) Ku80</t>
    </r>
    <r>
      <rPr>
        <sz val="11"/>
        <color theme="1"/>
        <rFont val="Calibri"/>
        <family val="2"/>
        <scheme val="minor"/>
      </rPr>
      <t xml:space="preserve"> knockdown by shRNA augmented </t>
    </r>
    <r>
      <rPr>
        <b/>
        <sz val="11"/>
        <color theme="1"/>
        <rFont val="Calibri"/>
        <family val="2"/>
        <scheme val="minor"/>
      </rPr>
      <t>cisplatin</t>
    </r>
    <r>
      <rPr>
        <sz val="11"/>
        <color theme="1"/>
        <rFont val="Calibri"/>
        <family val="2"/>
        <scheme val="minor"/>
      </rPr>
      <t xml:space="preserve">/pemetrexed-induced decline in viability, whereas Ku80 overexpression attenuated viability reduction induced by these drugs compared to control A549 cells. </t>
    </r>
  </si>
  <si>
    <r>
      <rPr>
        <b/>
        <sz val="11"/>
        <color theme="1"/>
        <rFont val="Calibri"/>
        <family val="2"/>
        <scheme val="minor"/>
      </rPr>
      <t xml:space="preserve">1) </t>
    </r>
    <r>
      <rPr>
        <sz val="11"/>
        <color theme="1"/>
        <rFont val="Calibri"/>
        <family val="2"/>
        <scheme val="minor"/>
      </rPr>
      <t xml:space="preserve">DNA repair associated genes, i.e., XRCC5, </t>
    </r>
    <r>
      <rPr>
        <b/>
        <sz val="11"/>
        <color theme="1"/>
        <rFont val="Calibri"/>
        <family val="2"/>
        <scheme val="minor"/>
      </rPr>
      <t>XRCC6</t>
    </r>
    <r>
      <rPr>
        <sz val="11"/>
        <color theme="1"/>
        <rFont val="Calibri"/>
        <family val="2"/>
        <scheme val="minor"/>
      </rPr>
      <t>, ERCC5, hMLH1 were over-expressed in three-fold </t>
    </r>
    <r>
      <rPr>
        <b/>
        <sz val="11"/>
        <color theme="1"/>
        <rFont val="Calibri"/>
        <family val="2"/>
        <scheme val="minor"/>
      </rPr>
      <t>cisplatin</t>
    </r>
    <r>
      <rPr>
        <sz val="11"/>
        <color theme="1"/>
        <rFont val="Calibri"/>
        <family val="2"/>
        <scheme val="minor"/>
      </rPr>
      <t>-resistant cell line, </t>
    </r>
    <r>
      <rPr>
        <b/>
        <sz val="11"/>
        <color theme="1"/>
        <rFont val="Calibri"/>
        <family val="2"/>
        <scheme val="minor"/>
      </rPr>
      <t>2)</t>
    </r>
    <r>
      <rPr>
        <sz val="11"/>
        <color theme="1"/>
        <rFont val="Calibri"/>
        <family val="2"/>
        <scheme val="minor"/>
      </rPr>
      <t xml:space="preserve"> In patients with </t>
    </r>
    <r>
      <rPr>
        <b/>
        <sz val="11"/>
        <color theme="1"/>
        <rFont val="Calibri"/>
        <family val="2"/>
        <scheme val="minor"/>
      </rPr>
      <t>HNSCC</t>
    </r>
    <r>
      <rPr>
        <sz val="11"/>
        <color theme="1"/>
        <rFont val="Calibri"/>
        <family val="2"/>
        <scheme val="minor"/>
      </rPr>
      <t xml:space="preserve">:  </t>
    </r>
    <r>
      <rPr>
        <b/>
        <sz val="11"/>
        <color theme="1"/>
        <rFont val="Calibri"/>
        <family val="2"/>
        <scheme val="minor"/>
      </rPr>
      <t>Ku70</t>
    </r>
    <r>
      <rPr>
        <sz val="11"/>
        <color theme="1"/>
        <rFont val="Calibri"/>
        <family val="2"/>
        <scheme val="minor"/>
      </rPr>
      <t xml:space="preserve"> mRNA was the marker most significantly associated with response to IC. </t>
    </r>
    <r>
      <rPr>
        <b/>
        <sz val="11"/>
        <color theme="1"/>
        <rFont val="Calibri"/>
        <family val="2"/>
        <scheme val="minor"/>
      </rPr>
      <t xml:space="preserve">3) </t>
    </r>
    <r>
      <rPr>
        <sz val="11"/>
        <color theme="1"/>
        <rFont val="Calibri"/>
        <family val="2"/>
        <scheme val="minor"/>
      </rPr>
      <t xml:space="preserve">high tumor </t>
    </r>
    <r>
      <rPr>
        <b/>
        <sz val="11"/>
        <color theme="1"/>
        <rFont val="Calibri"/>
        <family val="2"/>
        <scheme val="minor"/>
      </rPr>
      <t>Ku70</t>
    </r>
    <r>
      <rPr>
        <sz val="11"/>
        <color theme="1"/>
        <rFont val="Calibri"/>
        <family val="2"/>
        <scheme val="minor"/>
      </rPr>
      <t xml:space="preserve"> mRNA expression was associated with significantly longer local recurrence-free survival (LRFS). </t>
    </r>
  </si>
  <si>
    <r>
      <rPr>
        <b/>
        <sz val="11"/>
        <color theme="1"/>
        <rFont val="Calibri"/>
        <family val="2"/>
        <scheme val="minor"/>
      </rPr>
      <t>1) YAP1</t>
    </r>
    <r>
      <rPr>
        <sz val="11"/>
        <color theme="1"/>
        <rFont val="Calibri"/>
        <family val="2"/>
        <scheme val="minor"/>
      </rPr>
      <t xml:space="preserve"> ablation significantly improved sensitivities not only to cisplatin but also to ionizing radiation (</t>
    </r>
    <r>
      <rPr>
        <b/>
        <sz val="11"/>
        <color theme="1"/>
        <rFont val="Calibri"/>
        <family val="2"/>
        <scheme val="minor"/>
      </rPr>
      <t>lung</t>
    </r>
    <r>
      <rPr>
        <sz val="11"/>
        <color theme="1"/>
        <rFont val="Calibri"/>
        <family val="2"/>
        <scheme val="minor"/>
      </rPr>
      <t xml:space="preserve"> cancer PC9 cells). </t>
    </r>
    <r>
      <rPr>
        <b/>
        <sz val="11"/>
        <color theme="1"/>
        <rFont val="Calibri"/>
        <family val="2"/>
        <scheme val="minor"/>
      </rPr>
      <t xml:space="preserve">2) </t>
    </r>
    <r>
      <rPr>
        <sz val="11"/>
        <color theme="1"/>
        <rFont val="Calibri"/>
        <family val="2"/>
        <scheme val="minor"/>
      </rPr>
      <t xml:space="preserve">A pharmacological inhibitor of YAP1 signaling, </t>
    </r>
    <r>
      <rPr>
        <b/>
        <sz val="11"/>
        <color theme="1"/>
        <rFont val="Calibri"/>
        <family val="2"/>
        <scheme val="minor"/>
      </rPr>
      <t>verteporfin</t>
    </r>
    <r>
      <rPr>
        <sz val="11"/>
        <color theme="1"/>
        <rFont val="Calibri"/>
        <family val="2"/>
        <scheme val="minor"/>
      </rPr>
      <t xml:space="preserve"> also synergized with cisplatin.</t>
    </r>
    <r>
      <rPr>
        <b/>
        <sz val="11"/>
        <color theme="1"/>
        <rFont val="Calibri"/>
        <family val="2"/>
        <scheme val="minor"/>
      </rPr>
      <t xml:space="preserve"> 3)</t>
    </r>
    <r>
      <rPr>
        <sz val="11"/>
        <color theme="1"/>
        <rFont val="Calibri"/>
        <family val="2"/>
        <scheme val="minor"/>
      </rPr>
      <t xml:space="preserve"> overexpression of YAP1 could contribute to progression and poor prognosis of </t>
    </r>
    <r>
      <rPr>
        <b/>
        <sz val="11"/>
        <color theme="1"/>
        <rFont val="Calibri"/>
        <family val="2"/>
        <scheme val="minor"/>
      </rPr>
      <t>NSCLC</t>
    </r>
    <r>
      <rPr>
        <sz val="11"/>
        <color theme="1"/>
        <rFont val="Calibri"/>
        <family val="2"/>
        <scheme val="minor"/>
      </rPr>
      <t xml:space="preserve">, while knockdown of YAP1 sensitized </t>
    </r>
    <r>
      <rPr>
        <b/>
        <sz val="11"/>
        <color theme="1"/>
        <rFont val="Calibri"/>
        <family val="2"/>
        <scheme val="minor"/>
      </rPr>
      <t>ovarian</t>
    </r>
    <r>
      <rPr>
        <sz val="11"/>
        <color theme="1"/>
        <rFont val="Calibri"/>
        <family val="2"/>
        <scheme val="minor"/>
      </rPr>
      <t xml:space="preserve"> cancer cells to cisplatin, erlotinib (EGFR Tyrosine kinase inhibitor) and S12 (survivin inhibitor).  </t>
    </r>
  </si>
  <si>
    <r>
      <rPr>
        <b/>
        <sz val="11"/>
        <color theme="1"/>
        <rFont val="Calibri"/>
        <family val="2"/>
        <scheme val="minor"/>
      </rPr>
      <t>1)</t>
    </r>
    <r>
      <rPr>
        <sz val="11"/>
        <color theme="1"/>
        <rFont val="Calibri"/>
        <family val="2"/>
        <scheme val="minor"/>
      </rPr>
      <t xml:space="preserve"> </t>
    </r>
    <r>
      <rPr>
        <b/>
        <sz val="11"/>
        <color theme="1"/>
        <rFont val="Calibri"/>
        <family val="2"/>
        <scheme val="minor"/>
      </rPr>
      <t>YTHDF1</t>
    </r>
    <r>
      <rPr>
        <sz val="11"/>
        <color theme="1"/>
        <rFont val="Calibri"/>
        <family val="2"/>
        <scheme val="minor"/>
      </rPr>
      <t xml:space="preserve"> is one of evolutionary positively selected genes for high-altitude adaptation, is amplified in various cancers.</t>
    </r>
    <r>
      <rPr>
        <b/>
        <sz val="11"/>
        <color theme="1"/>
        <rFont val="Calibri"/>
        <family val="2"/>
        <scheme val="minor"/>
      </rPr>
      <t xml:space="preserve"> 2)</t>
    </r>
    <r>
      <rPr>
        <sz val="11"/>
        <color theme="1"/>
        <rFont val="Calibri"/>
        <family val="2"/>
        <scheme val="minor"/>
      </rPr>
      <t xml:space="preserve"> </t>
    </r>
    <r>
      <rPr>
        <b/>
        <sz val="11"/>
        <color theme="1"/>
        <rFont val="Calibri"/>
        <family val="2"/>
        <scheme val="minor"/>
      </rPr>
      <t>YTHDF1</t>
    </r>
    <r>
      <rPr>
        <sz val="11"/>
        <color theme="1"/>
        <rFont val="Calibri"/>
        <family val="2"/>
        <scheme val="minor"/>
      </rPr>
      <t xml:space="preserve"> deficiency inhibits </t>
    </r>
    <r>
      <rPr>
        <b/>
        <sz val="11"/>
        <color theme="1"/>
        <rFont val="Calibri"/>
        <family val="2"/>
        <scheme val="minor"/>
      </rPr>
      <t>NSCLC</t>
    </r>
    <r>
      <rPr>
        <sz val="11"/>
        <color theme="1"/>
        <rFont val="Calibri"/>
        <family val="2"/>
        <scheme val="minor"/>
      </rPr>
      <t xml:space="preserve"> cell proliferation and xenograft tumor formation through regulating the translational efficiency of </t>
    </r>
    <r>
      <rPr>
        <b/>
        <sz val="11"/>
        <color theme="1"/>
        <rFont val="Calibri"/>
        <family val="2"/>
        <scheme val="minor"/>
      </rPr>
      <t>CDK2, CDK4</t>
    </r>
    <r>
      <rPr>
        <sz val="11"/>
        <color theme="1"/>
        <rFont val="Calibri"/>
        <family val="2"/>
        <scheme val="minor"/>
      </rPr>
      <t xml:space="preserve">, and </t>
    </r>
    <r>
      <rPr>
        <b/>
        <sz val="11"/>
        <color theme="1"/>
        <rFont val="Calibri"/>
        <family val="2"/>
        <scheme val="minor"/>
      </rPr>
      <t>cyclin D1</t>
    </r>
    <r>
      <rPr>
        <sz val="11"/>
        <color theme="1"/>
        <rFont val="Calibri"/>
        <family val="2"/>
        <scheme val="minor"/>
      </rPr>
      <t xml:space="preserve">, </t>
    </r>
    <r>
      <rPr>
        <b/>
        <sz val="11"/>
        <color theme="1"/>
        <rFont val="Calibri"/>
        <family val="2"/>
        <scheme val="minor"/>
      </rPr>
      <t>3) YTHDF1</t>
    </r>
    <r>
      <rPr>
        <sz val="11"/>
        <color theme="1"/>
        <rFont val="Calibri"/>
        <family val="2"/>
        <scheme val="minor"/>
      </rPr>
      <t xml:space="preserve"> depletion restrains de novo lung adenocarcinomas (ADC) progression. </t>
    </r>
    <r>
      <rPr>
        <b/>
        <sz val="11"/>
        <color theme="1"/>
        <rFont val="Calibri"/>
        <family val="2"/>
        <scheme val="minor"/>
      </rPr>
      <t>4) YTHDF1</t>
    </r>
    <r>
      <rPr>
        <sz val="11"/>
        <color theme="1"/>
        <rFont val="Calibri"/>
        <family val="2"/>
        <scheme val="minor"/>
      </rPr>
      <t xml:space="preserve"> high expression correlates with better clinical outcome, with its depletion rendering cancerous cells resistant to </t>
    </r>
    <r>
      <rPr>
        <b/>
        <sz val="11"/>
        <color theme="1"/>
        <rFont val="Calibri"/>
        <family val="2"/>
        <scheme val="minor"/>
      </rPr>
      <t>cisplatin</t>
    </r>
    <r>
      <rPr>
        <sz val="11"/>
        <color theme="1"/>
        <rFont val="Calibri"/>
        <family val="2"/>
        <scheme val="minor"/>
      </rPr>
      <t xml:space="preserve"> (DDP) treatment. </t>
    </r>
    <r>
      <rPr>
        <b/>
        <sz val="11"/>
        <color theme="1"/>
        <rFont val="Calibri"/>
        <family val="2"/>
        <scheme val="minor"/>
      </rPr>
      <t xml:space="preserve">5) </t>
    </r>
    <r>
      <rPr>
        <sz val="11"/>
        <color theme="1"/>
        <rFont val="Calibri"/>
        <family val="2"/>
        <scheme val="minor"/>
      </rPr>
      <t xml:space="preserve">the </t>
    </r>
    <r>
      <rPr>
        <b/>
        <sz val="11"/>
        <color theme="1"/>
        <rFont val="Calibri"/>
        <family val="2"/>
        <scheme val="minor"/>
      </rPr>
      <t xml:space="preserve">Keap1-Nrf2-AKR1C1 </t>
    </r>
    <r>
      <rPr>
        <sz val="11"/>
        <color theme="1"/>
        <rFont val="Calibri"/>
        <family val="2"/>
        <scheme val="minor"/>
      </rPr>
      <t>axis as the downstream mediator of YTHDF1. </t>
    </r>
  </si>
  <si>
    <r>
      <rPr>
        <b/>
        <sz val="11"/>
        <color theme="1"/>
        <rFont val="Calibri"/>
        <family val="2"/>
        <scheme val="minor"/>
      </rPr>
      <t xml:space="preserve">1) </t>
    </r>
    <r>
      <rPr>
        <sz val="11"/>
        <color theme="1"/>
        <rFont val="Calibri"/>
        <family val="2"/>
        <scheme val="minor"/>
      </rPr>
      <t xml:space="preserve">knockdown of YY1 by shRNA enhanced </t>
    </r>
    <r>
      <rPr>
        <b/>
        <sz val="11"/>
        <color theme="1"/>
        <rFont val="Calibri"/>
        <family val="2"/>
        <scheme val="minor"/>
      </rPr>
      <t>cisplatin</t>
    </r>
    <r>
      <rPr>
        <sz val="11"/>
        <color theme="1"/>
        <rFont val="Calibri"/>
        <family val="2"/>
        <scheme val="minor"/>
      </rPr>
      <t>-induced apoptosis and</t>
    </r>
    <r>
      <rPr>
        <b/>
        <sz val="11"/>
        <color theme="1"/>
        <rFont val="Calibri"/>
        <family val="2"/>
        <scheme val="minor"/>
      </rPr>
      <t xml:space="preserve"> 2)</t>
    </r>
    <r>
      <rPr>
        <sz val="11"/>
        <color theme="1"/>
        <rFont val="Calibri"/>
        <family val="2"/>
        <scheme val="minor"/>
      </rPr>
      <t xml:space="preserve"> inhibition of the xenograft tumor growth.</t>
    </r>
    <r>
      <rPr>
        <b/>
        <sz val="11"/>
        <color theme="1"/>
        <rFont val="Calibri"/>
        <family val="2"/>
        <scheme val="minor"/>
      </rPr>
      <t xml:space="preserve"> 3)</t>
    </r>
    <r>
      <rPr>
        <sz val="11"/>
        <color theme="1"/>
        <rFont val="Calibri"/>
        <family val="2"/>
        <scheme val="minor"/>
      </rPr>
      <t xml:space="preserve"> knockdown of YY1 downregulated both S473 and T308 phosphorylation of AKT, </t>
    </r>
    <r>
      <rPr>
        <b/>
        <sz val="11"/>
        <color theme="1"/>
        <rFont val="Calibri"/>
        <family val="2"/>
        <scheme val="minor"/>
      </rPr>
      <t xml:space="preserve">4) </t>
    </r>
    <r>
      <rPr>
        <sz val="11"/>
        <color theme="1"/>
        <rFont val="Calibri"/>
        <family val="2"/>
        <scheme val="minor"/>
      </rPr>
      <t xml:space="preserve">overexpression of YY1 upregulated both S473 and T308 phosphorylation. </t>
    </r>
    <r>
      <rPr>
        <b/>
        <sz val="11"/>
        <color theme="1"/>
        <rFont val="Calibri"/>
        <family val="2"/>
        <scheme val="minor"/>
      </rPr>
      <t>5)</t>
    </r>
    <r>
      <rPr>
        <sz val="11"/>
        <color theme="1"/>
        <rFont val="Calibri"/>
        <family val="2"/>
        <scheme val="minor"/>
      </rPr>
      <t xml:space="preserve"> Cisplatin upregulated YY1 mRNA and protein expression and both S473 and T308 phosphorylation of AKT. </t>
    </r>
    <r>
      <rPr>
        <b/>
        <sz val="11"/>
        <color theme="1"/>
        <rFont val="Calibri"/>
        <family val="2"/>
        <scheme val="minor"/>
      </rPr>
      <t xml:space="preserve">6) </t>
    </r>
    <r>
      <rPr>
        <sz val="11"/>
        <color theme="1"/>
        <rFont val="Calibri"/>
        <family val="2"/>
        <scheme val="minor"/>
      </rPr>
      <t xml:space="preserve">PP2A antagonist, okadaic acid, upregulated T308, but not S473, phosphorylation, abolished YY1 knockdown-mediated enhancement of cisplatin-induced inhibition of cell proliferation. </t>
    </r>
    <r>
      <rPr>
        <b/>
        <sz val="11"/>
        <color theme="1"/>
        <rFont val="Calibri"/>
        <family val="2"/>
        <scheme val="minor"/>
      </rPr>
      <t xml:space="preserve">7) </t>
    </r>
    <r>
      <rPr>
        <sz val="11"/>
        <color theme="1"/>
        <rFont val="Calibri"/>
        <family val="2"/>
        <scheme val="minor"/>
      </rPr>
      <t xml:space="preserve">Analysis of the MDR1 promoter revealed four putative YY1-binding sites. </t>
    </r>
    <r>
      <rPr>
        <b/>
        <sz val="11"/>
        <color theme="1"/>
        <rFont val="Calibri"/>
        <family val="2"/>
        <scheme val="minor"/>
      </rPr>
      <t xml:space="preserve">8) </t>
    </r>
    <r>
      <rPr>
        <sz val="11"/>
        <color theme="1"/>
        <rFont val="Calibri"/>
        <family val="2"/>
        <scheme val="minor"/>
      </rPr>
      <t xml:space="preserve">YY1 silencing resulted in the inhibition of MDR1 expression and function. </t>
    </r>
    <r>
      <rPr>
        <b/>
        <sz val="11"/>
        <color theme="1"/>
        <rFont val="Calibri"/>
        <family val="2"/>
        <scheme val="minor"/>
      </rPr>
      <t>9)</t>
    </r>
    <r>
      <rPr>
        <sz val="11"/>
        <color theme="1"/>
        <rFont val="Calibri"/>
        <family val="2"/>
        <scheme val="minor"/>
      </rPr>
      <t xml:space="preserve"> Expression of both YY1 and MDR1 proteins was increased in ALL patients compared to controls. </t>
    </r>
    <r>
      <rPr>
        <b/>
        <sz val="11"/>
        <color theme="1"/>
        <rFont val="Calibri"/>
        <family val="2"/>
        <scheme val="minor"/>
      </rPr>
      <t xml:space="preserve">10) </t>
    </r>
    <r>
      <rPr>
        <sz val="11"/>
        <color theme="1"/>
        <rFont val="Calibri"/>
        <family val="2"/>
        <scheme val="minor"/>
      </rPr>
      <t xml:space="preserve">a positive correlation was identified between YY1 and MDR1 expression. </t>
    </r>
    <r>
      <rPr>
        <b/>
        <sz val="11"/>
        <color theme="1"/>
        <rFont val="Calibri"/>
        <family val="2"/>
        <scheme val="minor"/>
      </rPr>
      <t xml:space="preserve">11) </t>
    </r>
    <r>
      <rPr>
        <sz val="11"/>
        <color theme="1"/>
        <rFont val="Calibri"/>
        <family val="2"/>
        <scheme val="minor"/>
      </rPr>
      <t xml:space="preserve">High levels of YY1 were associated with decreased overall survival. </t>
    </r>
  </si>
  <si>
    <r>
      <rPr>
        <b/>
        <sz val="11"/>
        <color theme="1"/>
        <rFont val="Calibri"/>
        <family val="2"/>
        <scheme val="minor"/>
      </rPr>
      <t>1)</t>
    </r>
    <r>
      <rPr>
        <sz val="11"/>
        <color theme="1"/>
        <rFont val="Calibri"/>
        <family val="2"/>
        <scheme val="minor"/>
      </rPr>
      <t xml:space="preserve"> </t>
    </r>
    <r>
      <rPr>
        <b/>
        <sz val="11"/>
        <color theme="1"/>
        <rFont val="Calibri"/>
        <family val="2"/>
        <scheme val="minor"/>
      </rPr>
      <t>ZBTB7A</t>
    </r>
    <r>
      <rPr>
        <sz val="11"/>
        <color theme="1"/>
        <rFont val="Calibri"/>
        <family val="2"/>
        <scheme val="minor"/>
      </rPr>
      <t xml:space="preserve"> is increased in </t>
    </r>
    <r>
      <rPr>
        <b/>
        <sz val="11"/>
        <color theme="1"/>
        <rFont val="Calibri"/>
        <family val="2"/>
        <scheme val="minor"/>
      </rPr>
      <t>cisplatin</t>
    </r>
    <r>
      <rPr>
        <sz val="11"/>
        <color theme="1"/>
        <rFont val="Calibri"/>
        <family val="2"/>
        <scheme val="minor"/>
      </rPr>
      <t xml:space="preserve">-resistant </t>
    </r>
    <r>
      <rPr>
        <b/>
        <sz val="11"/>
        <color theme="1"/>
        <rFont val="Calibri"/>
        <family val="2"/>
        <scheme val="minor"/>
      </rPr>
      <t>osteosarcoma</t>
    </r>
    <r>
      <rPr>
        <sz val="11"/>
        <color theme="1"/>
        <rFont val="Calibri"/>
        <family val="2"/>
        <scheme val="minor"/>
      </rPr>
      <t xml:space="preserve"> cells. </t>
    </r>
    <r>
      <rPr>
        <b/>
        <sz val="11"/>
        <color theme="1"/>
        <rFont val="Calibri"/>
        <family val="2"/>
        <scheme val="minor"/>
      </rPr>
      <t xml:space="preserve">2) </t>
    </r>
    <r>
      <rPr>
        <sz val="11"/>
        <color theme="1"/>
        <rFont val="Calibri"/>
        <family val="2"/>
        <scheme val="minor"/>
      </rPr>
      <t xml:space="preserve">elevated </t>
    </r>
    <r>
      <rPr>
        <b/>
        <sz val="11"/>
        <color theme="1"/>
        <rFont val="Calibri"/>
        <family val="2"/>
        <scheme val="minor"/>
      </rPr>
      <t>ZBTB7A</t>
    </r>
    <r>
      <rPr>
        <sz val="11"/>
        <color theme="1"/>
        <rFont val="Calibri"/>
        <family val="2"/>
        <scheme val="minor"/>
      </rPr>
      <t xml:space="preserve"> inhibits cisplatin-induced apoptosis by repressing </t>
    </r>
    <r>
      <rPr>
        <b/>
        <sz val="11"/>
        <color theme="1"/>
        <rFont val="Calibri"/>
        <family val="2"/>
        <scheme val="minor"/>
      </rPr>
      <t>LINC00473</t>
    </r>
    <r>
      <rPr>
        <sz val="11"/>
        <color theme="1"/>
        <rFont val="Calibri"/>
        <family val="2"/>
        <scheme val="minor"/>
      </rPr>
      <t xml:space="preserve"> expression. </t>
    </r>
    <r>
      <rPr>
        <b/>
        <sz val="11"/>
        <color theme="1"/>
        <rFont val="Calibri"/>
        <family val="2"/>
        <scheme val="minor"/>
      </rPr>
      <t>3) ZBTB7A</t>
    </r>
    <r>
      <rPr>
        <sz val="11"/>
        <color theme="1"/>
        <rFont val="Calibri"/>
        <family val="2"/>
        <scheme val="minor"/>
      </rPr>
      <t xml:space="preserve"> directly binds to the promoter and suppresses the transcription of </t>
    </r>
    <r>
      <rPr>
        <b/>
        <sz val="11"/>
        <color theme="1"/>
        <rFont val="Calibri"/>
        <family val="2"/>
        <scheme val="minor"/>
      </rPr>
      <t>LINC00473</t>
    </r>
    <r>
      <rPr>
        <sz val="11"/>
        <color theme="1"/>
        <rFont val="Calibri"/>
        <family val="2"/>
        <scheme val="minor"/>
      </rPr>
      <t xml:space="preserve">. </t>
    </r>
    <r>
      <rPr>
        <b/>
        <sz val="11"/>
        <color theme="1"/>
        <rFont val="Calibri"/>
        <family val="2"/>
        <scheme val="minor"/>
      </rPr>
      <t>4) LINC00473</t>
    </r>
    <r>
      <rPr>
        <sz val="11"/>
        <color theme="1"/>
        <rFont val="Calibri"/>
        <family val="2"/>
        <scheme val="minor"/>
      </rPr>
      <t xml:space="preserve"> interacts with the transcript factor </t>
    </r>
    <r>
      <rPr>
        <b/>
        <sz val="11"/>
        <color theme="1"/>
        <rFont val="Calibri"/>
        <family val="2"/>
        <scheme val="minor"/>
      </rPr>
      <t>C/EBP</t>
    </r>
    <r>
      <rPr>
        <sz val="11"/>
        <color theme="1"/>
        <rFont val="Calibri"/>
        <family val="2"/>
        <scheme val="minor"/>
      </rPr>
      <t xml:space="preserve">β, facilitating its binding to the promoter of </t>
    </r>
    <r>
      <rPr>
        <b/>
        <sz val="11"/>
        <color theme="1"/>
        <rFont val="Calibri"/>
        <family val="2"/>
        <scheme val="minor"/>
      </rPr>
      <t>IL24</t>
    </r>
    <r>
      <rPr>
        <sz val="11"/>
        <color theme="1"/>
        <rFont val="Calibri"/>
        <family val="2"/>
        <scheme val="minor"/>
      </rPr>
      <t>, leading to decrease chemoresistance. </t>
    </r>
    <r>
      <rPr>
        <b/>
        <sz val="11"/>
        <color theme="1"/>
        <rFont val="Calibri"/>
        <family val="2"/>
        <scheme val="minor"/>
      </rPr>
      <t>5) ZBTB7A</t>
    </r>
    <r>
      <rPr>
        <sz val="11"/>
        <color theme="1"/>
        <rFont val="Calibri"/>
        <family val="2"/>
        <scheme val="minor"/>
      </rPr>
      <t xml:space="preserve"> is able to modulate expression of the death receptors </t>
    </r>
    <r>
      <rPr>
        <b/>
        <sz val="11"/>
        <color theme="1"/>
        <rFont val="Calibri"/>
        <family val="2"/>
        <scheme val="minor"/>
      </rPr>
      <t>TRAIL-R1</t>
    </r>
    <r>
      <rPr>
        <sz val="11"/>
        <color theme="1"/>
        <rFont val="Calibri"/>
        <family val="2"/>
        <scheme val="minor"/>
      </rPr>
      <t xml:space="preserve">, </t>
    </r>
    <r>
      <rPr>
        <b/>
        <sz val="11"/>
        <color theme="1"/>
        <rFont val="Calibri"/>
        <family val="2"/>
        <scheme val="minor"/>
      </rPr>
      <t>TRAIL-R2</t>
    </r>
    <r>
      <rPr>
        <sz val="11"/>
        <color theme="1"/>
        <rFont val="Calibri"/>
        <family val="2"/>
        <scheme val="minor"/>
      </rPr>
      <t xml:space="preserve">, </t>
    </r>
    <r>
      <rPr>
        <b/>
        <sz val="11"/>
        <color theme="1"/>
        <rFont val="Calibri"/>
        <family val="2"/>
        <scheme val="minor"/>
      </rPr>
      <t>Fas</t>
    </r>
    <r>
      <rPr>
        <sz val="11"/>
        <color theme="1"/>
        <rFont val="Calibri"/>
        <family val="2"/>
        <scheme val="minor"/>
      </rPr>
      <t xml:space="preserve"> and </t>
    </r>
    <r>
      <rPr>
        <b/>
        <sz val="11"/>
        <color theme="1"/>
        <rFont val="Calibri"/>
        <family val="2"/>
        <scheme val="minor"/>
      </rPr>
      <t>p53</t>
    </r>
    <r>
      <rPr>
        <sz val="11"/>
        <color theme="1"/>
        <rFont val="Calibri"/>
        <family val="2"/>
        <scheme val="minor"/>
      </rPr>
      <t xml:space="preserve"> phosphorylated at serine-15. </t>
    </r>
    <r>
      <rPr>
        <b/>
        <sz val="11"/>
        <color theme="1"/>
        <rFont val="Calibri"/>
        <family val="2"/>
        <scheme val="minor"/>
      </rPr>
      <t>6) ZBTB7A</t>
    </r>
    <r>
      <rPr>
        <sz val="11"/>
        <color theme="1"/>
        <rFont val="Calibri"/>
        <family val="2"/>
        <scheme val="minor"/>
      </rPr>
      <t xml:space="preserve"> transactivates </t>
    </r>
    <r>
      <rPr>
        <b/>
        <sz val="11"/>
        <color theme="1"/>
        <rFont val="Calibri"/>
        <family val="2"/>
        <scheme val="minor"/>
      </rPr>
      <t>TRAIL-R2</t>
    </r>
    <r>
      <rPr>
        <sz val="11"/>
        <color theme="1"/>
        <rFont val="Calibri"/>
        <family val="2"/>
        <scheme val="minor"/>
      </rPr>
      <t xml:space="preserve">, which sensitizes cells to </t>
    </r>
    <r>
      <rPr>
        <b/>
        <sz val="11"/>
        <color theme="1"/>
        <rFont val="Calibri"/>
        <family val="2"/>
        <scheme val="minor"/>
      </rPr>
      <t>cisplatin</t>
    </r>
    <r>
      <rPr>
        <sz val="11"/>
        <color theme="1"/>
        <rFont val="Calibri"/>
        <family val="2"/>
        <scheme val="minor"/>
      </rPr>
      <t xml:space="preserve">-induced apoptosis. The ZBTB7A-TRAIL-R2 cascade is involved in both the extrinsic and intrinsic cisplatin-induced pathways of apoptosis. </t>
    </r>
    <r>
      <rPr>
        <b/>
        <sz val="11"/>
        <color theme="1"/>
        <rFont val="Calibri"/>
        <family val="2"/>
        <scheme val="minor"/>
      </rPr>
      <t>6)</t>
    </r>
    <r>
      <rPr>
        <sz val="11"/>
        <color theme="1"/>
        <rFont val="Calibri"/>
        <family val="2"/>
        <scheme val="minor"/>
      </rPr>
      <t xml:space="preserve"> expression level of and the copy status of ZBTB7A and TRAIL-R2 are important survival predictors for </t>
    </r>
    <r>
      <rPr>
        <b/>
        <sz val="11"/>
        <color theme="1"/>
        <rFont val="Calibri"/>
        <family val="2"/>
        <scheme val="minor"/>
      </rPr>
      <t>head and neck</t>
    </r>
    <r>
      <rPr>
        <sz val="11"/>
        <color theme="1"/>
        <rFont val="Calibri"/>
        <family val="2"/>
        <scheme val="minor"/>
      </rPr>
      <t xml:space="preserve"> cancers. </t>
    </r>
    <r>
      <rPr>
        <b/>
        <sz val="11"/>
        <color theme="1"/>
        <rFont val="Calibri"/>
        <family val="2"/>
        <scheme val="minor"/>
      </rPr>
      <t xml:space="preserve">7) </t>
    </r>
    <r>
      <rPr>
        <sz val="11"/>
        <color theme="1"/>
        <rFont val="Calibri"/>
        <family val="2"/>
        <scheme val="minor"/>
      </rPr>
      <t xml:space="preserve">The expression level of </t>
    </r>
    <r>
      <rPr>
        <b/>
        <sz val="11"/>
        <color theme="1"/>
        <rFont val="Calibri"/>
        <family val="2"/>
        <scheme val="minor"/>
      </rPr>
      <t>Pokemon</t>
    </r>
    <r>
      <rPr>
        <sz val="11"/>
        <color theme="1"/>
        <rFont val="Calibri"/>
        <family val="2"/>
        <scheme val="minor"/>
      </rPr>
      <t xml:space="preserve"> in </t>
    </r>
    <r>
      <rPr>
        <b/>
        <sz val="11"/>
        <color theme="1"/>
        <rFont val="Calibri"/>
        <family val="2"/>
        <scheme val="minor"/>
      </rPr>
      <t>NSCLC</t>
    </r>
    <r>
      <rPr>
        <sz val="11"/>
        <color theme="1"/>
        <rFont val="Calibri"/>
        <family val="2"/>
        <scheme val="minor"/>
      </rPr>
      <t xml:space="preserve"> patients was higher than that in healthy controls; </t>
    </r>
    <r>
      <rPr>
        <b/>
        <sz val="11"/>
        <color theme="1"/>
        <rFont val="Calibri"/>
        <family val="2"/>
        <scheme val="minor"/>
      </rPr>
      <t xml:space="preserve">8) </t>
    </r>
    <r>
      <rPr>
        <sz val="11"/>
        <color theme="1"/>
        <rFont val="Calibri"/>
        <family val="2"/>
        <scheme val="minor"/>
      </rPr>
      <t>a poor response and shorter survival time in patients with pretreatment Pokemon levels in excess of 135.09 ng/ml compared to those with Pokemon levels below 135.09 ng/ml (p = 0.013). Pokemon ≥ 135.09 ng/ml was an independent risk factor for survival time in NSCLC patients undergoing combination chemotherapy (p = 0.018)..</t>
    </r>
  </si>
  <si>
    <r>
      <rPr>
        <b/>
        <sz val="11"/>
        <color theme="1"/>
        <rFont val="Calibri"/>
        <family val="2"/>
        <scheme val="minor"/>
      </rPr>
      <t>1) ZEB1</t>
    </r>
    <r>
      <rPr>
        <sz val="11"/>
        <color theme="1"/>
        <rFont val="Calibri"/>
        <family val="2"/>
        <scheme val="minor"/>
      </rPr>
      <t xml:space="preserve"> was increased in </t>
    </r>
    <r>
      <rPr>
        <b/>
        <sz val="11"/>
        <color theme="1"/>
        <rFont val="Calibri"/>
        <family val="2"/>
        <scheme val="minor"/>
      </rPr>
      <t>cisplatin</t>
    </r>
    <r>
      <rPr>
        <sz val="11"/>
        <color theme="1"/>
        <rFont val="Calibri"/>
        <family val="2"/>
        <scheme val="minor"/>
      </rPr>
      <t xml:space="preserve">-resistant </t>
    </r>
    <r>
      <rPr>
        <b/>
        <sz val="11"/>
        <color theme="1"/>
        <rFont val="Calibri"/>
        <family val="2"/>
        <scheme val="minor"/>
      </rPr>
      <t>ovarian</t>
    </r>
    <r>
      <rPr>
        <sz val="11"/>
        <color theme="1"/>
        <rFont val="Calibri"/>
        <family val="2"/>
        <scheme val="minor"/>
      </rPr>
      <t xml:space="preserve"> cancer SKOV3/DPP cells. </t>
    </r>
    <r>
      <rPr>
        <b/>
        <sz val="11"/>
        <color theme="1"/>
        <rFont val="Calibri"/>
        <family val="2"/>
        <scheme val="minor"/>
      </rPr>
      <t xml:space="preserve">2) </t>
    </r>
    <r>
      <rPr>
        <sz val="11"/>
        <color theme="1"/>
        <rFont val="Calibri"/>
        <family val="2"/>
        <scheme val="minor"/>
      </rPr>
      <t xml:space="preserve">Downregulation of ZEB1 significantly decreased cell viability in response to </t>
    </r>
    <r>
      <rPr>
        <b/>
        <sz val="11"/>
        <color theme="1"/>
        <rFont val="Calibri"/>
        <family val="2"/>
        <scheme val="minor"/>
      </rPr>
      <t>cisplatin</t>
    </r>
    <r>
      <rPr>
        <sz val="11"/>
        <color theme="1"/>
        <rFont val="Calibri"/>
        <family val="2"/>
        <scheme val="minor"/>
      </rPr>
      <t>, and decreased migration and invasion.</t>
    </r>
    <r>
      <rPr>
        <b/>
        <sz val="11"/>
        <color theme="1"/>
        <rFont val="Calibri"/>
        <family val="2"/>
        <scheme val="minor"/>
      </rPr>
      <t xml:space="preserve"> 3)</t>
    </r>
    <r>
      <rPr>
        <sz val="11"/>
        <color theme="1"/>
        <rFont val="Calibri"/>
        <family val="2"/>
        <scheme val="minor"/>
      </rPr>
      <t xml:space="preserve"> downregulation of </t>
    </r>
    <r>
      <rPr>
        <b/>
        <sz val="11"/>
        <color theme="1"/>
        <rFont val="Calibri"/>
        <family val="2"/>
        <scheme val="minor"/>
      </rPr>
      <t>ZEB1</t>
    </r>
    <r>
      <rPr>
        <sz val="11"/>
        <color theme="1"/>
        <rFont val="Calibri"/>
        <family val="2"/>
        <scheme val="minor"/>
      </rPr>
      <t xml:space="preserve"> decreased the volume and weight of implanted tumors. </t>
    </r>
    <r>
      <rPr>
        <b/>
        <sz val="11"/>
        <color theme="1"/>
        <rFont val="Calibri"/>
        <family val="2"/>
        <scheme val="minor"/>
      </rPr>
      <t>4) ZEB1 p</t>
    </r>
    <r>
      <rPr>
        <sz val="11"/>
        <color theme="1"/>
        <rFont val="Calibri"/>
        <family val="2"/>
        <scheme val="minor"/>
      </rPr>
      <t xml:space="preserve">romotes chemoresistance to </t>
    </r>
    <r>
      <rPr>
        <b/>
        <sz val="11"/>
        <color theme="1"/>
        <rFont val="Calibri"/>
        <family val="2"/>
        <scheme val="minor"/>
      </rPr>
      <t>cisplatin</t>
    </r>
    <r>
      <rPr>
        <sz val="11"/>
        <color theme="1"/>
        <rFont val="Calibri"/>
        <family val="2"/>
        <scheme val="minor"/>
      </rPr>
      <t xml:space="preserve"> in </t>
    </r>
    <r>
      <rPr>
        <b/>
        <sz val="11"/>
        <color theme="1"/>
        <rFont val="Calibri"/>
        <family val="2"/>
        <scheme val="minor"/>
      </rPr>
      <t>ovarian</t>
    </r>
    <r>
      <rPr>
        <sz val="11"/>
        <color theme="1"/>
        <rFont val="Calibri"/>
        <family val="2"/>
        <scheme val="minor"/>
      </rPr>
      <t xml:space="preserve"> cancer cells by suppressing</t>
    </r>
    <r>
      <rPr>
        <b/>
        <sz val="11"/>
        <color theme="1"/>
        <rFont val="Calibri"/>
        <family val="2"/>
        <scheme val="minor"/>
      </rPr>
      <t xml:space="preserve"> SLC3A2</t>
    </r>
    <r>
      <rPr>
        <sz val="11"/>
        <color theme="1"/>
        <rFont val="Calibri"/>
        <family val="2"/>
        <scheme val="minor"/>
      </rPr>
      <t xml:space="preserve"> (CD98hc, amino acid transporter). </t>
    </r>
    <r>
      <rPr>
        <b/>
        <sz val="11"/>
        <color theme="1"/>
        <rFont val="Calibri"/>
        <family val="2"/>
        <scheme val="minor"/>
      </rPr>
      <t xml:space="preserve">5) </t>
    </r>
    <r>
      <rPr>
        <sz val="11"/>
        <color theme="1"/>
        <rFont val="Calibri"/>
        <family val="2"/>
        <scheme val="minor"/>
      </rPr>
      <t xml:space="preserve">Independent validation experiment using five new </t>
    </r>
    <r>
      <rPr>
        <b/>
        <sz val="11"/>
        <color theme="1"/>
        <rFont val="Calibri"/>
        <family val="2"/>
        <scheme val="minor"/>
      </rPr>
      <t>pancreatic</t>
    </r>
    <r>
      <rPr>
        <sz val="11"/>
        <color theme="1"/>
        <rFont val="Calibri"/>
        <family val="2"/>
        <scheme val="minor"/>
      </rPr>
      <t xml:space="preserve"> cancer cell lines confirmed that an inverse correlation between </t>
    </r>
    <r>
      <rPr>
        <b/>
        <sz val="11"/>
        <color theme="1"/>
        <rFont val="Calibri"/>
        <family val="2"/>
        <scheme val="minor"/>
      </rPr>
      <t>E-cadherin</t>
    </r>
    <r>
      <rPr>
        <sz val="11"/>
        <color theme="1"/>
        <rFont val="Calibri"/>
        <family val="2"/>
        <scheme val="minor"/>
      </rPr>
      <t xml:space="preserve"> and </t>
    </r>
    <r>
      <rPr>
        <b/>
        <sz val="11"/>
        <color theme="1"/>
        <rFont val="Calibri"/>
        <family val="2"/>
        <scheme val="minor"/>
      </rPr>
      <t>Zeb-1</t>
    </r>
    <r>
      <rPr>
        <sz val="11"/>
        <color theme="1"/>
        <rFont val="Calibri"/>
        <family val="2"/>
        <scheme val="minor"/>
      </rPr>
      <t xml:space="preserve"> correlated closely with resistance to gemcitabine, 5-FU, and </t>
    </r>
    <r>
      <rPr>
        <b/>
        <sz val="11"/>
        <color theme="1"/>
        <rFont val="Calibri"/>
        <family val="2"/>
        <scheme val="minor"/>
      </rPr>
      <t>cisplatin</t>
    </r>
    <r>
      <rPr>
        <sz val="11"/>
        <color theme="1"/>
        <rFont val="Calibri"/>
        <family val="2"/>
        <scheme val="minor"/>
      </rPr>
      <t xml:space="preserve">. 6) Silencing </t>
    </r>
    <r>
      <rPr>
        <b/>
        <sz val="11"/>
        <color theme="1"/>
        <rFont val="Calibri"/>
        <family val="2"/>
        <scheme val="minor"/>
      </rPr>
      <t>Zeb-1</t>
    </r>
    <r>
      <rPr>
        <sz val="11"/>
        <color theme="1"/>
        <rFont val="Calibri"/>
        <family val="2"/>
        <scheme val="minor"/>
      </rPr>
      <t xml:space="preserve"> in the mesenchymal lines not only increased the expression of </t>
    </r>
    <r>
      <rPr>
        <b/>
        <sz val="11"/>
        <color theme="1"/>
        <rFont val="Calibri"/>
        <family val="2"/>
        <scheme val="minor"/>
      </rPr>
      <t>E-cadherin</t>
    </r>
    <r>
      <rPr>
        <sz val="11"/>
        <color theme="1"/>
        <rFont val="Calibri"/>
        <family val="2"/>
        <scheme val="minor"/>
      </rPr>
      <t xml:space="preserve"> but also other epithelial markers, such as </t>
    </r>
    <r>
      <rPr>
        <b/>
        <sz val="11"/>
        <color theme="1"/>
        <rFont val="Calibri"/>
        <family val="2"/>
        <scheme val="minor"/>
      </rPr>
      <t>EVA1</t>
    </r>
    <r>
      <rPr>
        <sz val="11"/>
        <color theme="1"/>
        <rFont val="Calibri"/>
        <family val="2"/>
        <scheme val="minor"/>
      </rPr>
      <t xml:space="preserve"> and </t>
    </r>
    <r>
      <rPr>
        <b/>
        <sz val="11"/>
        <color theme="1"/>
        <rFont val="Calibri"/>
        <family val="2"/>
        <scheme val="minor"/>
      </rPr>
      <t>MAL2</t>
    </r>
    <r>
      <rPr>
        <sz val="11"/>
        <color theme="1"/>
        <rFont val="Calibri"/>
        <family val="2"/>
        <scheme val="minor"/>
      </rPr>
      <t xml:space="preserve">, and restored drug sensitivity. </t>
    </r>
    <r>
      <rPr>
        <b/>
        <sz val="11"/>
        <color theme="1"/>
        <rFont val="Calibri"/>
        <family val="2"/>
        <scheme val="minor"/>
      </rPr>
      <t xml:space="preserve">7) </t>
    </r>
    <r>
      <rPr>
        <sz val="11"/>
        <color theme="1"/>
        <rFont val="Calibri"/>
        <family val="2"/>
        <scheme val="minor"/>
      </rPr>
      <t xml:space="preserve">immunohistochemical analysis of E-cadherin and Zeb-1 in primary tumors confirmed that expression of the two proteins was mutually exclusive (P = 0.012). </t>
    </r>
  </si>
  <si>
    <r>
      <rPr>
        <b/>
        <sz val="11"/>
        <color theme="1"/>
        <rFont val="Calibri"/>
        <family val="2"/>
        <scheme val="minor"/>
      </rPr>
      <t xml:space="preserve">1) </t>
    </r>
    <r>
      <rPr>
        <sz val="11"/>
        <color theme="1"/>
        <rFont val="Calibri"/>
        <family val="2"/>
        <scheme val="minor"/>
      </rPr>
      <t xml:space="preserve">Transfection with </t>
    </r>
    <r>
      <rPr>
        <b/>
        <sz val="11"/>
        <color theme="1"/>
        <rFont val="Calibri"/>
        <family val="2"/>
        <scheme val="minor"/>
      </rPr>
      <t>ZEB2</t>
    </r>
    <r>
      <rPr>
        <sz val="11"/>
        <color theme="1"/>
        <rFont val="Calibri"/>
        <family val="2"/>
        <scheme val="minor"/>
      </rPr>
      <t xml:space="preserve"> siRNA in </t>
    </r>
    <r>
      <rPr>
        <b/>
        <sz val="11"/>
        <color theme="1"/>
        <rFont val="Calibri"/>
        <family val="2"/>
        <scheme val="minor"/>
      </rPr>
      <t>cisplatin</t>
    </r>
    <r>
      <rPr>
        <sz val="11"/>
        <color theme="1"/>
        <rFont val="Calibri"/>
        <family val="2"/>
        <scheme val="minor"/>
      </rPr>
      <t xml:space="preserve">-resistant </t>
    </r>
    <r>
      <rPr>
        <b/>
        <sz val="11"/>
        <color theme="1"/>
        <rFont val="Calibri"/>
        <family val="2"/>
        <scheme val="minor"/>
      </rPr>
      <t>gastric</t>
    </r>
    <r>
      <rPr>
        <sz val="11"/>
        <color theme="1"/>
        <rFont val="Calibri"/>
        <family val="2"/>
        <scheme val="minor"/>
      </rPr>
      <t xml:space="preserve"> cancer SGC7901/DDP cells resulted in a significant decrease in cell viability in response to the </t>
    </r>
    <r>
      <rPr>
        <b/>
        <sz val="11"/>
        <color theme="1"/>
        <rFont val="Calibri"/>
        <family val="2"/>
        <scheme val="minor"/>
      </rPr>
      <t>cisplatin</t>
    </r>
    <r>
      <rPr>
        <sz val="11"/>
        <color theme="1"/>
        <rFont val="Calibri"/>
        <family val="2"/>
        <scheme val="minor"/>
      </rPr>
      <t xml:space="preserve"> treatment. </t>
    </r>
    <r>
      <rPr>
        <b/>
        <sz val="11"/>
        <color theme="1"/>
        <rFont val="Calibri"/>
        <family val="2"/>
        <scheme val="minor"/>
      </rPr>
      <t>2) miR-200c</t>
    </r>
    <r>
      <rPr>
        <sz val="11"/>
        <color theme="1"/>
        <rFont val="Calibri"/>
        <family val="2"/>
        <scheme val="minor"/>
      </rPr>
      <t xml:space="preserve"> could enhance the sensitivity of </t>
    </r>
    <r>
      <rPr>
        <b/>
        <sz val="11"/>
        <color theme="1"/>
        <rFont val="Calibri"/>
        <family val="2"/>
        <scheme val="minor"/>
      </rPr>
      <t>gastric</t>
    </r>
    <r>
      <rPr>
        <sz val="11"/>
        <color theme="1"/>
        <rFont val="Calibri"/>
        <family val="2"/>
        <scheme val="minor"/>
      </rPr>
      <t xml:space="preserve"> cancer SGC7901/DDP cells to DDP through targeted regulation of</t>
    </r>
    <r>
      <rPr>
        <b/>
        <sz val="11"/>
        <color theme="1"/>
        <rFont val="Calibri"/>
        <family val="2"/>
        <scheme val="minor"/>
      </rPr>
      <t xml:space="preserve"> ZEB2</t>
    </r>
    <r>
      <rPr>
        <sz val="11"/>
        <color theme="1"/>
        <rFont val="Calibri"/>
        <family val="2"/>
        <scheme val="minor"/>
      </rPr>
      <t xml:space="preserve"> expression. </t>
    </r>
    <r>
      <rPr>
        <b/>
        <sz val="11"/>
        <color theme="1"/>
        <rFont val="Calibri"/>
        <family val="2"/>
        <scheme val="minor"/>
      </rPr>
      <t>3)</t>
    </r>
    <r>
      <rPr>
        <sz val="11"/>
        <color theme="1"/>
        <rFont val="Calibri"/>
        <family val="2"/>
        <scheme val="minor"/>
      </rPr>
      <t xml:space="preserve"> </t>
    </r>
    <r>
      <rPr>
        <b/>
        <sz val="11"/>
        <color theme="1"/>
        <rFont val="Calibri"/>
        <family val="2"/>
        <scheme val="minor"/>
      </rPr>
      <t>PAX6</t>
    </r>
    <r>
      <rPr>
        <sz val="11"/>
        <color theme="1"/>
        <rFont val="Calibri"/>
        <family val="2"/>
        <scheme val="minor"/>
      </rPr>
      <t xml:space="preserve"> is commonly correlated with EMT-mediated stem cell transformation, thereby inducing </t>
    </r>
    <r>
      <rPr>
        <b/>
        <sz val="11"/>
        <color theme="1"/>
        <rFont val="Calibri"/>
        <family val="2"/>
        <scheme val="minor"/>
      </rPr>
      <t>cisplatin</t>
    </r>
    <r>
      <rPr>
        <sz val="11"/>
        <color theme="1"/>
        <rFont val="Calibri"/>
        <family val="2"/>
        <scheme val="minor"/>
      </rPr>
      <t xml:space="preserve"> resistance through directly regulating </t>
    </r>
    <r>
      <rPr>
        <b/>
        <sz val="11"/>
        <color theme="1"/>
        <rFont val="Calibri"/>
        <family val="2"/>
        <scheme val="minor"/>
      </rPr>
      <t>ZEB2</t>
    </r>
    <r>
      <rPr>
        <sz val="11"/>
        <color theme="1"/>
        <rFont val="Calibri"/>
        <family val="2"/>
        <scheme val="minor"/>
      </rPr>
      <t xml:space="preserve"> expression. </t>
    </r>
  </si>
  <si>
    <r>
      <rPr>
        <b/>
        <sz val="11"/>
        <color theme="1"/>
        <rFont val="Calibri"/>
        <family val="2"/>
        <scheme val="minor"/>
      </rPr>
      <t>1) ZNF143</t>
    </r>
    <r>
      <rPr>
        <sz val="11"/>
        <color theme="1"/>
        <rFont val="Calibri"/>
        <family val="2"/>
        <scheme val="minor"/>
      </rPr>
      <t xml:space="preserve"> was overexpressed in </t>
    </r>
    <r>
      <rPr>
        <b/>
        <sz val="11"/>
        <color theme="1"/>
        <rFont val="Calibri"/>
        <family val="2"/>
        <scheme val="minor"/>
      </rPr>
      <t>cisplatin</t>
    </r>
    <r>
      <rPr>
        <sz val="11"/>
        <color theme="1"/>
        <rFont val="Calibri"/>
        <family val="2"/>
        <scheme val="minor"/>
      </rPr>
      <t xml:space="preserve">-resistant cells. </t>
    </r>
    <r>
      <rPr>
        <b/>
        <sz val="11"/>
        <color theme="1"/>
        <rFont val="Calibri"/>
        <family val="2"/>
        <scheme val="minor"/>
      </rPr>
      <t>2)</t>
    </r>
    <r>
      <rPr>
        <sz val="11"/>
        <color theme="1"/>
        <rFont val="Calibri"/>
        <family val="2"/>
        <scheme val="minor"/>
      </rPr>
      <t xml:space="preserve"> ZNF143 knockdown in </t>
    </r>
    <r>
      <rPr>
        <b/>
        <sz val="11"/>
        <color theme="1"/>
        <rFont val="Calibri"/>
        <family val="2"/>
        <scheme val="minor"/>
      </rPr>
      <t>prostate</t>
    </r>
    <r>
      <rPr>
        <sz val="11"/>
        <color theme="1"/>
        <rFont val="Calibri"/>
        <family val="2"/>
        <scheme val="minor"/>
      </rPr>
      <t xml:space="preserve"> cancer caused increased sensitivity for cisplatin, but not for oxaliplatin, etoposide and vincristine. </t>
    </r>
    <r>
      <rPr>
        <b/>
        <sz val="11"/>
        <color theme="1"/>
        <rFont val="Calibri"/>
        <family val="2"/>
        <scheme val="minor"/>
      </rPr>
      <t>3)</t>
    </r>
    <r>
      <rPr>
        <sz val="11"/>
        <color theme="1"/>
        <rFont val="Calibri"/>
        <family val="2"/>
        <scheme val="minor"/>
      </rPr>
      <t xml:space="preserve"> ZNF143 is associated with tumor suppressor gene product p73 but not with p53: p73 could stimulate the binding of ZNF143 to both ZNF143 binding site and cisplatin-modified DNA, and modulate the function of ZNF143. </t>
    </r>
    <r>
      <rPr>
        <b/>
        <sz val="11"/>
        <color theme="1"/>
        <rFont val="Calibri"/>
        <family val="2"/>
        <scheme val="minor"/>
      </rPr>
      <t xml:space="preserve">4) </t>
    </r>
    <r>
      <rPr>
        <sz val="11"/>
        <color theme="1"/>
        <rFont val="Calibri"/>
        <family val="2"/>
        <scheme val="minor"/>
      </rPr>
      <t xml:space="preserve">both </t>
    </r>
    <r>
      <rPr>
        <b/>
        <sz val="11"/>
        <color theme="1"/>
        <rFont val="Calibri"/>
        <family val="2"/>
        <scheme val="minor"/>
      </rPr>
      <t>Rad51</t>
    </r>
    <r>
      <rPr>
        <sz val="11"/>
        <color theme="1"/>
        <rFont val="Calibri"/>
        <family val="2"/>
        <scheme val="minor"/>
      </rPr>
      <t xml:space="preserve"> and </t>
    </r>
    <r>
      <rPr>
        <b/>
        <sz val="11"/>
        <color theme="1"/>
        <rFont val="Calibri"/>
        <family val="2"/>
        <scheme val="minor"/>
      </rPr>
      <t>flap endonuclease-1</t>
    </r>
    <r>
      <rPr>
        <sz val="11"/>
        <color theme="1"/>
        <rFont val="Calibri"/>
        <family val="2"/>
        <scheme val="minor"/>
      </rPr>
      <t xml:space="preserve"> are target genes of ZNF143 and overexpressed in cisplatin-resistant cells. </t>
    </r>
  </si>
  <si>
    <r>
      <rPr>
        <b/>
        <sz val="11"/>
        <color theme="1"/>
        <rFont val="Calibri"/>
        <family val="2"/>
        <scheme val="minor"/>
      </rPr>
      <t xml:space="preserve">1) </t>
    </r>
    <r>
      <rPr>
        <sz val="11"/>
        <color theme="1"/>
        <rFont val="Calibri"/>
        <family val="2"/>
        <scheme val="minor"/>
      </rPr>
      <t xml:space="preserve">ZNF93 was overexpressed in two ET-743 resistant </t>
    </r>
    <r>
      <rPr>
        <b/>
        <sz val="11"/>
        <color theme="1"/>
        <rFont val="Calibri"/>
        <family val="2"/>
        <scheme val="minor"/>
      </rPr>
      <t xml:space="preserve">Ewing sarcoma </t>
    </r>
    <r>
      <rPr>
        <sz val="11"/>
        <color theme="1"/>
        <rFont val="Calibri"/>
        <family val="2"/>
        <scheme val="minor"/>
      </rPr>
      <t xml:space="preserve">cell lines as well as in a </t>
    </r>
    <r>
      <rPr>
        <b/>
        <sz val="11"/>
        <color theme="1"/>
        <rFont val="Calibri"/>
        <family val="2"/>
        <scheme val="minor"/>
      </rPr>
      <t>cisplatin</t>
    </r>
    <r>
      <rPr>
        <sz val="11"/>
        <color theme="1"/>
        <rFont val="Calibri"/>
        <family val="2"/>
        <scheme val="minor"/>
      </rPr>
      <t xml:space="preserve"> resistant </t>
    </r>
    <r>
      <rPr>
        <b/>
        <sz val="11"/>
        <color theme="1"/>
        <rFont val="Calibri"/>
        <family val="2"/>
        <scheme val="minor"/>
      </rPr>
      <t>ovarian</t>
    </r>
    <r>
      <rPr>
        <sz val="11"/>
        <color theme="1"/>
        <rFont val="Calibri"/>
        <family val="2"/>
        <scheme val="minor"/>
      </rPr>
      <t xml:space="preserve"> cancer cell line. </t>
    </r>
    <r>
      <rPr>
        <b/>
        <sz val="11"/>
        <color theme="1"/>
        <rFont val="Calibri"/>
        <family val="2"/>
        <scheme val="minor"/>
      </rPr>
      <t xml:space="preserve">2) </t>
    </r>
    <r>
      <rPr>
        <sz val="11"/>
        <color theme="1"/>
        <rFont val="Calibri"/>
        <family val="2"/>
        <scheme val="minor"/>
      </rPr>
      <t xml:space="preserve">ZNF93 knockdown by siRNA in CS-1/ER and CS-1/PR caused increased sensitivity for ET-743, PM00104, and </t>
    </r>
    <r>
      <rPr>
        <b/>
        <sz val="11"/>
        <color theme="1"/>
        <rFont val="Calibri"/>
        <family val="2"/>
        <scheme val="minor"/>
      </rPr>
      <t>cisplatin</t>
    </r>
    <r>
      <rPr>
        <sz val="11"/>
        <color theme="1"/>
        <rFont val="Calibri"/>
        <family val="2"/>
        <scheme val="minor"/>
      </rPr>
      <t xml:space="preserve">. </t>
    </r>
    <r>
      <rPr>
        <b/>
        <sz val="11"/>
        <color theme="1"/>
        <rFont val="Calibri"/>
        <family val="2"/>
        <scheme val="minor"/>
      </rPr>
      <t>3)</t>
    </r>
    <r>
      <rPr>
        <sz val="11"/>
        <color theme="1"/>
        <rFont val="Calibri"/>
        <family val="2"/>
        <scheme val="minor"/>
      </rPr>
      <t xml:space="preserve"> ZNF93 transfected CS-1 cells are relatively resistant to ET-743, PM00104 and </t>
    </r>
    <r>
      <rPr>
        <b/>
        <sz val="11"/>
        <color theme="1"/>
        <rFont val="Calibri"/>
        <family val="2"/>
        <scheme val="minor"/>
      </rPr>
      <t>cisplatin</t>
    </r>
    <r>
      <rPr>
        <sz val="11"/>
        <color theme="1"/>
        <rFont val="Calibri"/>
        <family val="2"/>
        <scheme val="minor"/>
      </rPr>
      <t>.</t>
    </r>
  </si>
  <si>
    <r>
      <rPr>
        <b/>
        <sz val="11"/>
        <color theme="1"/>
        <rFont val="Calibri"/>
        <family val="2"/>
        <scheme val="minor"/>
      </rPr>
      <t xml:space="preserve">1) </t>
    </r>
    <r>
      <rPr>
        <sz val="11"/>
        <color theme="1"/>
        <rFont val="Calibri"/>
        <family val="2"/>
        <scheme val="minor"/>
      </rPr>
      <t xml:space="preserve">high </t>
    </r>
    <r>
      <rPr>
        <b/>
        <sz val="11"/>
        <color theme="1"/>
        <rFont val="Calibri"/>
        <family val="2"/>
        <scheme val="minor"/>
      </rPr>
      <t>stromal</t>
    </r>
    <r>
      <rPr>
        <sz val="11"/>
        <color theme="1"/>
        <rFont val="Calibri"/>
        <family val="2"/>
        <scheme val="minor"/>
      </rPr>
      <t xml:space="preserve"> </t>
    </r>
    <r>
      <rPr>
        <b/>
        <sz val="11"/>
        <color theme="1"/>
        <rFont val="Calibri"/>
        <family val="2"/>
        <scheme val="minor"/>
      </rPr>
      <t xml:space="preserve">a-SMA </t>
    </r>
    <r>
      <rPr>
        <sz val="11"/>
        <color theme="1"/>
        <rFont val="Calibri"/>
        <family val="2"/>
        <scheme val="minor"/>
      </rPr>
      <t xml:space="preserve">expression was associated with poor overall survival of HGSOC paitents. </t>
    </r>
    <r>
      <rPr>
        <b/>
        <sz val="11"/>
        <color theme="1"/>
        <rFont val="Calibri"/>
        <family val="2"/>
        <scheme val="minor"/>
      </rPr>
      <t xml:space="preserve">2) </t>
    </r>
    <r>
      <rPr>
        <sz val="11"/>
        <color theme="1"/>
        <rFont val="Calibri"/>
        <family val="2"/>
        <scheme val="minor"/>
      </rPr>
      <t xml:space="preserve">increased tumor stromal fibroblasts strongly correlated with </t>
    </r>
    <r>
      <rPr>
        <b/>
        <sz val="11"/>
        <color theme="1"/>
        <rFont val="Calibri"/>
        <family val="2"/>
        <scheme val="minor"/>
      </rPr>
      <t>platinum</t>
    </r>
    <r>
      <rPr>
        <sz val="11"/>
        <color theme="1"/>
        <rFont val="Calibri"/>
        <family val="2"/>
        <scheme val="minor"/>
      </rPr>
      <t xml:space="preserve">-based chemoresistance, </t>
    </r>
    <r>
      <rPr>
        <b/>
        <sz val="11"/>
        <color theme="1"/>
        <rFont val="Calibri"/>
        <family val="2"/>
        <scheme val="minor"/>
      </rPr>
      <t xml:space="preserve">3) </t>
    </r>
    <r>
      <rPr>
        <sz val="11"/>
        <color theme="1"/>
        <rFont val="Calibri"/>
        <family val="2"/>
        <scheme val="minor"/>
      </rPr>
      <t>the proportion of high levels of stromal fibroblasts were elevated in chemoresistant patients compared to chemosensitive patients</t>
    </r>
  </si>
  <si>
    <r>
      <t xml:space="preserve">calmodulin dependent kinase, positive mediator of </t>
    </r>
    <r>
      <rPr>
        <sz val="11"/>
        <color theme="1"/>
        <rFont val="Calibri"/>
        <family val="2"/>
        <scheme val="minor"/>
      </rPr>
      <t>g-IFN induced programmed cell death</t>
    </r>
  </si>
  <si>
    <r>
      <t>a member of TGF-</t>
    </r>
    <r>
      <rPr>
        <sz val="11"/>
        <color theme="1"/>
        <rFont val="Calibri"/>
        <family val="2"/>
        <scheme val="minor"/>
      </rPr>
      <t xml:space="preserve">b/bone morphogenetic protein (BMP) super family; a stress-responsive cytokine; may act as a metabolic regulator, increase insulin sensitivity, regulates food intake, energy expenditure and body weight in response to metabolic and toxin-induced stresses (26273671). </t>
    </r>
  </si>
  <si>
    <r>
      <rPr>
        <b/>
        <sz val="11"/>
        <color theme="1"/>
        <rFont val="Calibri"/>
        <family val="2"/>
        <scheme val="minor"/>
      </rPr>
      <t>1) PDIA1</t>
    </r>
    <r>
      <rPr>
        <sz val="11"/>
        <color theme="1"/>
        <rFont val="Calibri"/>
        <family val="2"/>
        <scheme val="minor"/>
      </rPr>
      <t xml:space="preserve"> knockdown led to increased cytotoxicity in resistant A2780cis cells. </t>
    </r>
    <r>
      <rPr>
        <b/>
        <sz val="11"/>
        <color theme="1"/>
        <rFont val="Calibri"/>
        <family val="2"/>
        <scheme val="minor"/>
      </rPr>
      <t>2)</t>
    </r>
    <r>
      <rPr>
        <sz val="11"/>
        <color theme="1"/>
        <rFont val="Calibri"/>
        <family val="2"/>
        <scheme val="minor"/>
      </rPr>
      <t xml:space="preserve"> Coincubation with propynoic acid carbamoyl methyl amide 31 (PACMA31), a PDIA1 inhibitor, resensitized A2780cis cells to cisplatin </t>
    </r>
    <r>
      <rPr>
        <b/>
        <sz val="11"/>
        <color theme="1"/>
        <rFont val="Calibri"/>
        <family val="2"/>
        <scheme val="minor"/>
      </rPr>
      <t>treatment</t>
    </r>
    <r>
      <rPr>
        <sz val="11"/>
        <color theme="1"/>
        <rFont val="Calibri"/>
        <family val="2"/>
        <scheme val="minor"/>
      </rPr>
      <t xml:space="preserve">; the combination of cisplatin and PACMA31 acts synergistically.  </t>
    </r>
    <r>
      <rPr>
        <b/>
        <sz val="11"/>
        <color theme="1"/>
        <rFont val="Calibri"/>
        <family val="2"/>
        <scheme val="minor"/>
      </rPr>
      <t xml:space="preserve">3) </t>
    </r>
    <r>
      <rPr>
        <sz val="11"/>
        <color theme="1"/>
        <rFont val="Calibri"/>
        <family val="2"/>
        <scheme val="minor"/>
      </rPr>
      <t xml:space="preserve">downregulation of P4HB and PDIA3 may contribute to improve the survival of patients who receive chemotherapy and radiotherapy. </t>
    </r>
  </si>
  <si>
    <r>
      <rPr>
        <b/>
        <sz val="11"/>
        <color theme="1"/>
        <rFont val="Calibri"/>
        <family val="2"/>
        <scheme val="minor"/>
      </rPr>
      <t xml:space="preserve">1) </t>
    </r>
    <r>
      <rPr>
        <sz val="11"/>
        <color theme="1"/>
        <rFont val="Calibri"/>
        <family val="2"/>
        <scheme val="minor"/>
      </rPr>
      <t xml:space="preserve">YAP and </t>
    </r>
    <r>
      <rPr>
        <b/>
        <sz val="11"/>
        <color theme="1"/>
        <rFont val="Calibri"/>
        <family val="2"/>
        <scheme val="minor"/>
      </rPr>
      <t>TEAD</t>
    </r>
    <r>
      <rPr>
        <sz val="11"/>
        <color theme="1"/>
        <rFont val="Calibri"/>
        <family val="2"/>
        <scheme val="minor"/>
      </rPr>
      <t xml:space="preserve"> family members, except for TEAD2, were all expressed at significantly higher levels by ovarian cancer initiating cells (OCICs) than by differentiated ovarian cancer cells. </t>
    </r>
    <r>
      <rPr>
        <b/>
        <sz val="11"/>
        <color theme="1"/>
        <rFont val="Calibri"/>
        <family val="2"/>
        <scheme val="minor"/>
      </rPr>
      <t xml:space="preserve">2) </t>
    </r>
    <r>
      <rPr>
        <sz val="11"/>
        <color theme="1"/>
        <rFont val="Calibri"/>
        <family val="2"/>
        <scheme val="minor"/>
      </rPr>
      <t>mRNA levels of known YAP/TEAD target genes, including Runx2, Itgb2, and Erbb4, were all significantly increased in OCIC cells.</t>
    </r>
    <r>
      <rPr>
        <b/>
        <sz val="11"/>
        <color theme="1"/>
        <rFont val="Calibri"/>
        <family val="2"/>
        <scheme val="minor"/>
      </rPr>
      <t xml:space="preserve"> 3)</t>
    </r>
    <r>
      <rPr>
        <sz val="11"/>
        <color theme="1"/>
        <rFont val="Calibri"/>
        <family val="2"/>
        <scheme val="minor"/>
      </rPr>
      <t xml:space="preserve"> Compared with primary tumor cells, OCICs exhibited enhanced resistance to </t>
    </r>
    <r>
      <rPr>
        <b/>
        <sz val="11"/>
        <color theme="1"/>
        <rFont val="Calibri"/>
        <family val="2"/>
        <scheme val="minor"/>
      </rPr>
      <t>cisplatin</t>
    </r>
    <r>
      <rPr>
        <sz val="11"/>
        <color theme="1"/>
        <rFont val="Calibri"/>
        <family val="2"/>
        <scheme val="minor"/>
      </rPr>
      <t xml:space="preserve">, taxol, and bleomycin. 4) OCICs with Yap and Tead1/3/4 knockdown had decreased survival rates. </t>
    </r>
  </si>
  <si>
    <r>
      <rPr>
        <b/>
        <sz val="11"/>
        <color theme="1"/>
        <rFont val="Calibri"/>
        <family val="2"/>
        <scheme val="minor"/>
      </rPr>
      <t>1)</t>
    </r>
    <r>
      <rPr>
        <sz val="11"/>
        <color theme="1"/>
        <rFont val="Calibri"/>
        <family val="2"/>
        <scheme val="minor"/>
      </rPr>
      <t xml:space="preserve"> </t>
    </r>
    <r>
      <rPr>
        <b/>
        <sz val="11"/>
        <color theme="1"/>
        <rFont val="Calibri"/>
        <family val="2"/>
        <scheme val="minor"/>
      </rPr>
      <t>TNF‑α</t>
    </r>
    <r>
      <rPr>
        <sz val="11"/>
        <color theme="1"/>
        <rFont val="Calibri"/>
        <family val="2"/>
        <scheme val="minor"/>
      </rPr>
      <t xml:space="preserve"> mediated </t>
    </r>
    <r>
      <rPr>
        <b/>
        <sz val="11"/>
        <color theme="1"/>
        <rFont val="Calibri"/>
        <family val="2"/>
        <scheme val="minor"/>
      </rPr>
      <t>SOD‑2</t>
    </r>
    <r>
      <rPr>
        <sz val="11"/>
        <color theme="1"/>
        <rFont val="Calibri"/>
        <family val="2"/>
        <scheme val="minor"/>
      </rPr>
      <t xml:space="preserve"> upregulation is involved in </t>
    </r>
    <r>
      <rPr>
        <b/>
        <sz val="11"/>
        <color theme="1"/>
        <rFont val="Calibri"/>
        <family val="2"/>
        <scheme val="minor"/>
      </rPr>
      <t>cisplatin</t>
    </r>
    <r>
      <rPr>
        <sz val="11"/>
        <color theme="1"/>
        <rFont val="Calibri"/>
        <family val="2"/>
        <scheme val="minor"/>
      </rPr>
      <t xml:space="preserve"> resistance in </t>
    </r>
    <r>
      <rPr>
        <b/>
        <sz val="11"/>
        <color theme="1"/>
        <rFont val="Calibri"/>
        <family val="2"/>
        <scheme val="minor"/>
      </rPr>
      <t xml:space="preserve">ESCC </t>
    </r>
    <r>
      <rPr>
        <sz val="11"/>
        <color theme="1"/>
        <rFont val="Calibri"/>
        <family val="2"/>
        <scheme val="minor"/>
      </rPr>
      <t xml:space="preserve">cell line Eca‑109. </t>
    </r>
    <r>
      <rPr>
        <b/>
        <sz val="11"/>
        <color theme="1"/>
        <rFont val="Calibri"/>
        <family val="2"/>
        <scheme val="minor"/>
      </rPr>
      <t>2)</t>
    </r>
    <r>
      <rPr>
        <sz val="11"/>
        <color theme="1"/>
        <rFont val="Calibri"/>
        <family val="2"/>
        <scheme val="minor"/>
      </rPr>
      <t xml:space="preserve"> Upregulation of SOD‑2 by </t>
    </r>
    <r>
      <rPr>
        <b/>
        <sz val="11"/>
        <color theme="1"/>
        <rFont val="Calibri"/>
        <family val="2"/>
        <scheme val="minor"/>
      </rPr>
      <t>TNF‑α</t>
    </r>
    <r>
      <rPr>
        <sz val="11"/>
        <color theme="1"/>
        <rFont val="Calibri"/>
        <family val="2"/>
        <scheme val="minor"/>
      </rPr>
      <t xml:space="preserve"> was inhibited by blocking the </t>
    </r>
    <r>
      <rPr>
        <b/>
        <sz val="11"/>
        <color theme="1"/>
        <rFont val="Calibri"/>
        <family val="2"/>
        <scheme val="minor"/>
      </rPr>
      <t>NF‑κB</t>
    </r>
    <r>
      <rPr>
        <sz val="11"/>
        <color theme="1"/>
        <rFont val="Calibri"/>
        <family val="2"/>
        <scheme val="minor"/>
      </rPr>
      <t xml:space="preserve"> pathway. </t>
    </r>
    <r>
      <rPr>
        <b/>
        <sz val="11"/>
        <color theme="1"/>
        <rFont val="Calibri"/>
        <family val="2"/>
        <scheme val="minor"/>
      </rPr>
      <t>3) TNF‑α</t>
    </r>
    <r>
      <rPr>
        <sz val="11"/>
        <color theme="1"/>
        <rFont val="Calibri"/>
        <family val="2"/>
        <scheme val="minor"/>
      </rPr>
      <t xml:space="preserve"> could induce</t>
    </r>
    <r>
      <rPr>
        <b/>
        <sz val="11"/>
        <color theme="1"/>
        <rFont val="Calibri"/>
        <family val="2"/>
        <scheme val="minor"/>
      </rPr>
      <t xml:space="preserve"> cisplatin</t>
    </r>
    <r>
      <rPr>
        <sz val="11"/>
        <color theme="1"/>
        <rFont val="Calibri"/>
        <family val="2"/>
        <scheme val="minor"/>
      </rPr>
      <t xml:space="preserve"> resistance in Eca109 cells, while transfection with SOD‑2 siRNA could significantly increase the chemosensitivity of ESCC to </t>
    </r>
    <r>
      <rPr>
        <b/>
        <sz val="11"/>
        <color theme="1"/>
        <rFont val="Calibri"/>
        <family val="2"/>
        <scheme val="minor"/>
      </rPr>
      <t>cisplatin</t>
    </r>
    <r>
      <rPr>
        <sz val="11"/>
        <color theme="1"/>
        <rFont val="Calibri"/>
        <family val="2"/>
        <scheme val="minor"/>
      </rPr>
      <t xml:space="preserve">. </t>
    </r>
    <r>
      <rPr>
        <b/>
        <sz val="11"/>
        <color theme="1"/>
        <rFont val="Calibri"/>
        <family val="2"/>
        <scheme val="minor"/>
      </rPr>
      <t xml:space="preserve">4) </t>
    </r>
    <r>
      <rPr>
        <sz val="11"/>
        <color theme="1"/>
        <rFont val="Calibri"/>
        <family val="2"/>
        <scheme val="minor"/>
      </rPr>
      <t xml:space="preserve">treatment of </t>
    </r>
    <r>
      <rPr>
        <b/>
        <sz val="11"/>
        <color theme="1"/>
        <rFont val="Calibri"/>
        <family val="2"/>
        <scheme val="minor"/>
      </rPr>
      <t>OC</t>
    </r>
    <r>
      <rPr>
        <sz val="11"/>
        <color theme="1"/>
        <rFont val="Calibri"/>
        <family val="2"/>
        <scheme val="minor"/>
      </rPr>
      <t xml:space="preserve"> cell lines with </t>
    </r>
    <r>
      <rPr>
        <b/>
        <sz val="11"/>
        <color theme="1"/>
        <rFont val="Calibri"/>
        <family val="2"/>
        <scheme val="minor"/>
      </rPr>
      <t>TNFα</t>
    </r>
    <r>
      <rPr>
        <sz val="11"/>
        <color theme="1"/>
        <rFont val="Calibri"/>
        <family val="2"/>
        <scheme val="minor"/>
      </rPr>
      <t xml:space="preserve"> or </t>
    </r>
    <r>
      <rPr>
        <b/>
        <sz val="11"/>
        <color theme="1"/>
        <rFont val="Calibri"/>
        <family val="2"/>
        <scheme val="minor"/>
      </rPr>
      <t>IL6</t>
    </r>
    <r>
      <rPr>
        <sz val="11"/>
        <color theme="1"/>
        <rFont val="Calibri"/>
        <family val="2"/>
        <scheme val="minor"/>
      </rPr>
      <t xml:space="preserve"> induced a selective increase in the expression of </t>
    </r>
    <r>
      <rPr>
        <b/>
        <sz val="11"/>
        <color theme="1"/>
        <rFont val="Calibri"/>
        <family val="2"/>
        <scheme val="minor"/>
      </rPr>
      <t>ABCB2 (TAP1)</t>
    </r>
    <r>
      <rPr>
        <sz val="11"/>
        <color theme="1"/>
        <rFont val="Calibri"/>
        <family val="2"/>
        <scheme val="minor"/>
      </rPr>
      <t xml:space="preserve"> and </t>
    </r>
    <r>
      <rPr>
        <b/>
        <sz val="11"/>
        <color theme="1"/>
        <rFont val="Calibri"/>
        <family val="2"/>
        <scheme val="minor"/>
      </rPr>
      <t>ABCB1 (MRP1)</t>
    </r>
    <r>
      <rPr>
        <sz val="11"/>
        <color theme="1"/>
        <rFont val="Calibri"/>
        <family val="2"/>
        <scheme val="minor"/>
      </rPr>
      <t xml:space="preserve">, and enhanced </t>
    </r>
    <r>
      <rPr>
        <b/>
        <sz val="11"/>
        <color theme="1"/>
        <rFont val="Calibri"/>
        <family val="2"/>
        <scheme val="minor"/>
      </rPr>
      <t>cisplatin</t>
    </r>
    <r>
      <rPr>
        <sz val="11"/>
        <color theme="1"/>
        <rFont val="Calibri"/>
        <family val="2"/>
        <scheme val="minor"/>
      </rPr>
      <t xml:space="preserve"> resistance. </t>
    </r>
    <r>
      <rPr>
        <b/>
        <sz val="11"/>
        <color theme="1"/>
        <rFont val="Calibri"/>
        <family val="2"/>
        <scheme val="minor"/>
      </rPr>
      <t>5) TNF-a</t>
    </r>
    <r>
      <rPr>
        <sz val="11"/>
        <color theme="1"/>
        <rFont val="Calibri"/>
        <family val="2"/>
        <scheme val="minor"/>
      </rPr>
      <t xml:space="preserve"> can increase mRNA and protein levels of </t>
    </r>
    <r>
      <rPr>
        <b/>
        <sz val="11"/>
        <color theme="1"/>
        <rFont val="Calibri"/>
        <family val="2"/>
        <scheme val="minor"/>
      </rPr>
      <t>IAP-1, IAP-2,</t>
    </r>
    <r>
      <rPr>
        <sz val="11"/>
        <color theme="1"/>
        <rFont val="Calibri"/>
        <family val="2"/>
        <scheme val="minor"/>
      </rPr>
      <t xml:space="preserve"> and </t>
    </r>
    <r>
      <rPr>
        <b/>
        <sz val="11"/>
        <color theme="1"/>
        <rFont val="Calibri"/>
        <family val="2"/>
        <scheme val="minor"/>
      </rPr>
      <t>XIAP</t>
    </r>
    <r>
      <rPr>
        <sz val="11"/>
        <color theme="1"/>
        <rFont val="Calibri"/>
        <family val="2"/>
        <scheme val="minor"/>
      </rPr>
      <t xml:space="preserve">, but not livin or survivin in </t>
    </r>
    <r>
      <rPr>
        <b/>
        <sz val="11"/>
        <color theme="1"/>
        <rFont val="Calibri"/>
        <family val="2"/>
        <scheme val="minor"/>
      </rPr>
      <t>MPM</t>
    </r>
    <r>
      <rPr>
        <sz val="11"/>
        <color theme="1"/>
        <rFont val="Calibri"/>
        <family val="2"/>
        <scheme val="minor"/>
      </rPr>
      <t xml:space="preserve"> cell lines (n=4). </t>
    </r>
    <r>
      <rPr>
        <b/>
        <sz val="11"/>
        <color theme="1"/>
        <rFont val="Calibri"/>
        <family val="2"/>
        <scheme val="minor"/>
      </rPr>
      <t>6)</t>
    </r>
    <r>
      <rPr>
        <sz val="11"/>
        <color theme="1"/>
        <rFont val="Calibri"/>
        <family val="2"/>
        <scheme val="minor"/>
      </rPr>
      <t xml:space="preserve"> Co-incubation of MPM cells with </t>
    </r>
    <r>
      <rPr>
        <b/>
        <sz val="11"/>
        <color theme="1"/>
        <rFont val="Calibri"/>
        <family val="2"/>
        <scheme val="minor"/>
      </rPr>
      <t xml:space="preserve">TNF-a </t>
    </r>
    <r>
      <rPr>
        <sz val="11"/>
        <color theme="1"/>
        <rFont val="Calibri"/>
        <family val="2"/>
        <scheme val="minor"/>
      </rPr>
      <t xml:space="preserve">and pyrrolidine dithiocarbamate (PDTC), an </t>
    </r>
    <r>
      <rPr>
        <b/>
        <sz val="11"/>
        <color theme="1"/>
        <rFont val="Calibri"/>
        <family val="2"/>
        <scheme val="minor"/>
      </rPr>
      <t>NF-kB</t>
    </r>
    <r>
      <rPr>
        <sz val="11"/>
        <color theme="1"/>
        <rFont val="Calibri"/>
        <family val="2"/>
        <scheme val="minor"/>
      </rPr>
      <t xml:space="preserve"> inhibitor, prevented TNF-mediated up-regulation of </t>
    </r>
    <r>
      <rPr>
        <b/>
        <sz val="11"/>
        <color theme="1"/>
        <rFont val="Calibri"/>
        <family val="2"/>
        <scheme val="minor"/>
      </rPr>
      <t>IAP</t>
    </r>
    <r>
      <rPr>
        <sz val="11"/>
        <color theme="1"/>
        <rFont val="Calibri"/>
        <family val="2"/>
        <scheme val="minor"/>
      </rPr>
      <t xml:space="preserve"> gene expression levels.</t>
    </r>
    <r>
      <rPr>
        <b/>
        <sz val="11"/>
        <color theme="1"/>
        <rFont val="Calibri"/>
        <family val="2"/>
        <scheme val="minor"/>
      </rPr>
      <t xml:space="preserve"> 7)</t>
    </r>
    <r>
      <rPr>
        <sz val="11"/>
        <color theme="1"/>
        <rFont val="Calibri"/>
        <family val="2"/>
        <scheme val="minor"/>
      </rPr>
      <t xml:space="preserve"> MPM cells exposed to </t>
    </r>
    <r>
      <rPr>
        <b/>
        <sz val="11"/>
        <color theme="1"/>
        <rFont val="Calibri"/>
        <family val="2"/>
        <scheme val="minor"/>
      </rPr>
      <t>TNF-a</t>
    </r>
    <r>
      <rPr>
        <sz val="11"/>
        <color theme="1"/>
        <rFont val="Calibri"/>
        <family val="2"/>
        <scheme val="minor"/>
      </rPr>
      <t xml:space="preserve"> were twice as resistant to </t>
    </r>
    <r>
      <rPr>
        <b/>
        <sz val="11"/>
        <color theme="1"/>
        <rFont val="Calibri"/>
        <family val="2"/>
        <scheme val="minor"/>
      </rPr>
      <t>cisplatin</t>
    </r>
    <r>
      <rPr>
        <sz val="11"/>
        <color theme="1"/>
        <rFont val="Calibri"/>
        <family val="2"/>
        <scheme val="minor"/>
      </rPr>
      <t xml:space="preserve">. </t>
    </r>
    <r>
      <rPr>
        <b/>
        <sz val="11"/>
        <color theme="1"/>
        <rFont val="Calibri"/>
        <family val="2"/>
        <scheme val="minor"/>
      </rPr>
      <t xml:space="preserve">8) </t>
    </r>
    <r>
      <rPr>
        <sz val="11"/>
        <color theme="1"/>
        <rFont val="Calibri"/>
        <family val="2"/>
        <scheme val="minor"/>
      </rPr>
      <t xml:space="preserve">The combination of </t>
    </r>
    <r>
      <rPr>
        <b/>
        <sz val="11"/>
        <color theme="1"/>
        <rFont val="Calibri"/>
        <family val="2"/>
        <scheme val="minor"/>
      </rPr>
      <t xml:space="preserve">NGR-hTNF </t>
    </r>
    <r>
      <rPr>
        <sz val="11"/>
        <color theme="1"/>
        <rFont val="Calibri"/>
        <family val="2"/>
        <scheme val="minor"/>
      </rPr>
      <t>0.8 μg/m(2) with cisplatin 80 mg/m(2) showed favorable toxicity profile and promising antitumor activity</t>
    </r>
  </si>
  <si>
    <t>CLEAVED/ACTIVATED</t>
  </si>
  <si>
    <t>clinical outcome</t>
  </si>
  <si>
    <t>catalyzes the addition of the negatively-charged sugar, sialic acid, to the termini of N-linked glycans; α2-6 sialylation enhances the surface retention of other types of receptor glycoproteins (31423157); α2-6 sialylation of Fas prevents apoptosis stimulated by FasL as well as the Fas-activating antibody, CH11 by blocking the association of FADD with Fas cytoplasmic tails (21550977)</t>
  </si>
  <si>
    <t xml:space="preserve">Mediates cellular responses to interferons (IFNs), cytokine KITLG/SCF and other cytokines and other growth factors. Following type I IFN (IFN-alpha and IFN-beta) binding to cell surface receptors, signaling via protein kinases leads to activation of Jak kinases (TYK2 and JAK1) and to tyrosine phosphorylation of STAT1 and STAT2. </t>
  </si>
  <si>
    <t xml:space="preserve">Signal transducer and transcription activator that mediates cellular responses to interleukins, KITLG/SCF, LEP and other growth factors </t>
  </si>
  <si>
    <t xml:space="preserve">As STAT5B; STAT proteins are transcription factors that provide a direct link between the cytokine receptors and cytokine-induced gene transcription. </t>
  </si>
  <si>
    <t>mediates apoptosis by associating with DAPK. Also acts as a regulator of cellular reactive oxygen species.</t>
  </si>
  <si>
    <t>type I membrane protein, roles in cell-to-cell and cell-matrix adhesion; cytokine receptor for C10ORF99. May be a tumor suppressor</t>
  </si>
  <si>
    <t>a regulator of the MAP kinase kinase kinase MAP3K7/TAK1; also interacts with and activates the mitogen-activated protein kinase 14 (MAPK14/p38alpha)</t>
  </si>
  <si>
    <t>Adapter linking MAP3K7/TAK1 and TRAF6 or TRAF2. Mediator of MAP3K7 activation, respectively in the IL1 and TNF signaling pathways. Binds preferentially to Lys63‐linked polyubiquitin chains</t>
  </si>
  <si>
    <t xml:space="preserve">Tubulin-folding protein; involved in the second step of the tubulin folding pathway. Cisplatin stops tubulin assembly into microtubules (11251225). </t>
  </si>
  <si>
    <t xml:space="preserve">transcriptional regulation of genes required for mesoderm differentiation; a negative regulator of PML in cellular senescence; promotes proliferation and invasion through EMT and ERK pathway (30651856); a player in Wnt signaling (20624445). </t>
  </si>
  <si>
    <t>As TEAD1</t>
  </si>
  <si>
    <t>Telomerase is a ribonucleoprotein enzyme essential for the replication of chromosome termini in most eukaryotes. Active in progenitor and cancer cells. Inactive, or very low activity, in normal somatic cells; high in CSC</t>
  </si>
  <si>
    <t>Dioxygenase that catalyzes the conversion of the modified genomic base 5-methylcytosine (5mC) into 5-hydroxymethylcytosine (5hmC) and plays a key role in active DNA demethylation; forms protein-to-protein complexes with HIF-1α that target it to binding 5-mC genomic loci (25517638)</t>
  </si>
  <si>
    <t>Multifunctional protein that regulates the growth and differentiation of various cell types and is involved in various processes, such as normal development, immune function, microglia function and responses to neurodegeneration</t>
  </si>
  <si>
    <t>hydrolyzing fructose-2,6-bisphosphate as well as fructose-1,6-bisphosphate; a negative regulator of glycolysis by lowering intracellular levels of fructose-2,6-bisphosphate in a p53/TP53-dependent manner, resulting in the pentose phosphate pathway (PPP) activation and NADPH production</t>
  </si>
  <si>
    <t>inhibits matrix metalloproteinases to limit extracellular matrix degradation</t>
  </si>
  <si>
    <t>inhibited by phosphorylation following DNA double-stranded breaks during S-phase; regulates DNA replication and DNA repair pathways; regulates processes involved in chromatin assembly. </t>
  </si>
  <si>
    <t>an orphan homeobox protein. A translocation [t(5;14)(q35;q32)] is associated with T-cell acute lymphoblastic leukemia (T-ALL); directly constraining STAT3 phosphorylation and inhibiting EMT (31360112);</t>
  </si>
  <si>
    <t>Cytokine that binds to TNFRSF10A/TRAILR1, TNFRSF10B/TRAILR2, TNFRSF10C/TRAILR3, TNFRSF10D/TRAILR4 and possibly also to TNFRSF11B/OPG; induces apoptosis </t>
  </si>
  <si>
    <t>Topoisomerase II makes double-strand breaks. Essential for DNA replication, RNA transcription, chromosomal condensation, and mitotic chromatid separation.  </t>
  </si>
  <si>
    <t xml:space="preserve">Acts as a tumor suppressor in many tumor types; induces growth arrest or apoptosis depending on the physiological circumstances and cell type. Involved in cell cycle regulation as a trans-activator that acts to negatively regulate cell division by controlling a set of genes required for this process. One of the activated genes is an inhibitor of cyclin-dependent kinases. Apoptosis induction seems to be mediated either by stimulation of BAX and FAS antigen expression, or by repression of Bcl-2 expression. Its pro-apoptotic activity is activated via its interaction with PPP1R13B/ASPP1 or TP53BP2/ASPP2. </t>
  </si>
  <si>
    <t>Double-strand break (DSB) repair protein involved in response to DNA damage, telomere dynamics and class-switch recombination (CSR) during antibody genesis</t>
  </si>
  <si>
    <t>heat shock protein, calcium binding and microtubule stabilization; plays a significant role in anti-apoptosis by interacting with Mcl-1; may also serve as a molecular chaperone and cofactor of Mcl-1 (15798198, 23122550)</t>
  </si>
  <si>
    <t xml:space="preserve">pseudokinase belonging to the CAMK‐family (calcium/calmodulin ‐dependent kinase). Interacts with MAPK kinases and regulates activation of MAP kinases. Adapter molecule for the ubiquitin–proteasome degradation machinery. </t>
  </si>
  <si>
    <t>E3 ubiquitin-protein ligase that mediates ubiquitination of PIK3C2B and inhibits its activity; mediates the formation of 'Lys-48'-linked polyubiquitin chains; interacts with the enhancer of polycomb protein and represses gene transcription; regulates TNFa-induced apoptosis (24144979) </t>
  </si>
  <si>
    <t>Tubulin is the major constituent of microtubules; acts through the PTEN/AKT signaling to promote tumorigenesis and anoikis resistance (25414139, 31497344); modulates the behavior of Snail overexpressed during EMT (27188792)</t>
  </si>
  <si>
    <t xml:space="preserve">a master regulator of EMT. Acts as a transcriptional regulator. Inhibits myogenesis by sequestering E proteins, inhibiting trans-activation by MEF2, and inhibiting DNA-binding by MYOD1 through physical interaction. </t>
  </si>
  <si>
    <t>Catalyzes 'Lys-11'-linked polyubiquitination. Acts as an essential factor of the anaphase promoting complex/cyclosome (APC/C)</t>
  </si>
  <si>
    <t xml:space="preserve">Associates with E3 ubiquitin-protein ligase FANCL and catalyzing monoubiquitination of FANCD2; also monoubiquitinates FANCL and FANCI; may contribute to ubiquitination and degradation of BRCA1 </t>
  </si>
  <si>
    <t>UCP are mitochondrial transporter proteins that create proton leaks across the inner mitochondrial membrane, thus uncoupling oxidative phosphorylation from ATP synthesis.</t>
  </si>
  <si>
    <t xml:space="preserve">Catalyzes the first glycosylation step in glycosphingolipid biosynthesis, the transfer of glucose to ceramide. Solely responsible for the first glycosylation step of ceramides leading to complex GSLs and allows cells to escape from ceramide-induced cellular apoptosis. </t>
  </si>
  <si>
    <t>Excises uracil residues from the DNA which can arise as a result of misincorporation of dUMP residues by DNA polymerase or due to deamination of cytosine; prevents mtDNA oxidation (27480846)</t>
  </si>
  <si>
    <r>
      <rPr>
        <b/>
        <sz val="11"/>
        <color theme="1"/>
        <rFont val="Calibri"/>
        <family val="2"/>
        <scheme val="minor"/>
      </rPr>
      <t>1)</t>
    </r>
    <r>
      <rPr>
        <sz val="11"/>
        <color theme="1"/>
        <rFont val="Calibri"/>
        <family val="2"/>
        <scheme val="minor"/>
      </rPr>
      <t xml:space="preserve"> transcriptional repressor that regulates androgen receptor (AR) transcription. </t>
    </r>
    <r>
      <rPr>
        <b/>
        <sz val="11"/>
        <color theme="1"/>
        <rFont val="Calibri"/>
        <family val="2"/>
        <scheme val="minor"/>
      </rPr>
      <t>2)</t>
    </r>
    <r>
      <rPr>
        <sz val="11"/>
        <color theme="1"/>
        <rFont val="Calibri"/>
        <family val="2"/>
        <scheme val="minor"/>
      </rPr>
      <t xml:space="preserve"> A mitochondrial inhibitor of mitochondria-associated phosphatase 1 gamma (PP1γ) and PP1γ-mediated feedback inhibition of S6K1-BAD survival signaling </t>
    </r>
  </si>
  <si>
    <t>Histone deubiquitinating component of the transcription regulatory histone acetylation (HAT) complex SAGA. Catalyzes the deubiquitination of both histones H2A and H2B, thereby acting as a coactivator. Recruited to specific gene promoters by activators such as MYC</t>
  </si>
  <si>
    <t>a member of the peptidase C19 family of ubiquitin-specific proteases (DUBs); catalyzes the removal of ubiquitin from other proteins; associates with polarized mitochondria and has been shown to inhibit NF-kappa B activation and delay PARK2-mediated degradation of mitochondria. </t>
  </si>
  <si>
    <t>Integrin ligand important in cell-cell recognition. Appears to function in leukocyte-endothelial cell adhesion. Interacts with integrin alpha-4/beta-1 (ITGA4/ITGB1) on leukocytes, and mediates both adhesion and signal transduction.</t>
  </si>
  <si>
    <r>
      <t>Involved in the ubiquitination and subsequent proteasomal degradation via the von Hippel-Lindau ubiquitination complex. Seems to act as a target recruitment subunit in the E3 ubiquitin ligase complex and recruits hydroxylated hypoxia-inducible factor (</t>
    </r>
    <r>
      <rPr>
        <sz val="11"/>
        <color rgb="FF000000"/>
        <rFont val="Calibri"/>
        <family val="2"/>
        <scheme val="minor"/>
      </rPr>
      <t>HIF</t>
    </r>
    <r>
      <rPr>
        <sz val="11"/>
        <color indexed="8"/>
        <rFont val="Calibri"/>
        <family val="2"/>
        <scheme val="minor"/>
      </rPr>
      <t xml:space="preserve">) under normoxic conditions. </t>
    </r>
  </si>
  <si>
    <t>secreted glycosylated protein; broad range protease inhibitor.</t>
  </si>
  <si>
    <t xml:space="preserve">functions as a negative regulator of members of the IAP (inhibitor of apoptosis protein) family. </t>
  </si>
  <si>
    <t xml:space="preserve">homologous recombination repair (HRR) pathway of double-stranded DNA, thought to repair chromosomal fragmentation, translocations and deletions. </t>
  </si>
  <si>
    <t>Part of the RAD21 paralog protein complex CX3 which acts in the BRCA1-BRCA2-dependent HR pathway. Involved in HJ resolution and thus in processing HR intermediates late in the DNA repair process</t>
  </si>
  <si>
    <t>Single-stranded DNA-dependent ATP-dependent helicase. Involved in NHEJ required for double-strand break repair and V(D)J recombination. The XRCC5/6 dimer acts as a regulatory subunit of DNA-PK</t>
  </si>
  <si>
    <t>Mediates pre-mRNA alternative splicing regulation. Also regulates the transcription of the multidrug resistance gene MDR1 and MVP</t>
  </si>
  <si>
    <t xml:space="preserve">Multifunctional transcription factor that exhibits positive and negative control on a large number of cellular and viral genes. Acts synergistically with SMAD1 and SMAD4 in bone morphogenetic protein (BMP)-mediated cardiac-specific gene expression. Involved in DNA repair. In vitro, binds to DNA recombination intermediate structures (Holliday junctions). </t>
  </si>
  <si>
    <t>Transcription factor that represses the transcription of a wide range of genes involved in cell proliferation and differentiation; negatively regulates SMAD4 transcriptional activity in the TGF-beta signaling pathway  (25514493); independently of its transcriptional activity, in double-strand break repair via classical non-homologous end joining/cNHEJ</t>
  </si>
  <si>
    <t>transcriptional repressor. Inhibits IL-2 gene expression. Enhances or represses ATP1A1; represses E-cadherin and induces EMT by recruiting SMARCA4/BRG1; represses BCL6 with corepressor CTBP1.</t>
  </si>
  <si>
    <t>represses long interspersed nuclear element 1 (L1) retrotransposons; may be linked to MYC and G2/M relating to signaling pathways (32509065)</t>
  </si>
  <si>
    <t>GLI family zinc finger 1</t>
  </si>
  <si>
    <t>GLI family zinc finger 2</t>
  </si>
  <si>
    <t>DNA helicase</t>
  </si>
  <si>
    <t xml:space="preserve">PGRMC1 enhances autophagy, activates cytochrome p450, and invokes signaling pathways to promote cell survival and reduce the effect of drug treatments. </t>
  </si>
  <si>
    <t>Functions as a receptor for membrane-bound ligands Jagged-1, Jagged-2 and Delta-1 to regulate cell-fate determination (15350543)</t>
  </si>
  <si>
    <t>Nibrin</t>
  </si>
  <si>
    <t>Source of the supporting data</t>
  </si>
  <si>
    <r>
      <rPr>
        <b/>
        <sz val="11"/>
        <color theme="1"/>
        <rFont val="Calibri"/>
        <family val="2"/>
        <scheme val="minor"/>
      </rPr>
      <t xml:space="preserve">1) </t>
    </r>
    <r>
      <rPr>
        <sz val="11"/>
        <color theme="1"/>
        <rFont val="Calibri"/>
        <family val="2"/>
        <scheme val="minor"/>
      </rPr>
      <t>489 TCGA ovarian cancer patient samples with mRNA expression value were selected, the high expression of ALDH1A2 and </t>
    </r>
    <r>
      <rPr>
        <b/>
        <sz val="11"/>
        <color theme="1"/>
        <rFont val="Calibri"/>
        <family val="2"/>
        <scheme val="minor"/>
      </rPr>
      <t>ABCA8</t>
    </r>
    <r>
      <rPr>
        <sz val="11"/>
        <color theme="1"/>
        <rFont val="Calibri"/>
        <family val="2"/>
        <scheme val="minor"/>
      </rPr>
      <t xml:space="preserve"> predicted a poor prognosis (39.400±2.202 vs. 47.600±2.884 months, and 41.000±2.427 vs. 45.100±2.476 months, respectively). </t>
    </r>
    <r>
      <rPr>
        <b/>
        <sz val="11"/>
        <color theme="1"/>
        <rFont val="Calibri"/>
        <family val="2"/>
        <scheme val="minor"/>
      </rPr>
      <t xml:space="preserve">2) </t>
    </r>
    <r>
      <rPr>
        <sz val="11"/>
        <color theme="1"/>
        <rFont val="Calibri"/>
        <family val="2"/>
        <scheme val="minor"/>
      </rPr>
      <t xml:space="preserve">mRNA expression of ALDH1A2, ADH1B, HBB and </t>
    </r>
    <r>
      <rPr>
        <b/>
        <sz val="11"/>
        <color theme="1"/>
        <rFont val="Calibri"/>
        <family val="2"/>
        <scheme val="minor"/>
      </rPr>
      <t>ABCA8</t>
    </r>
    <r>
      <rPr>
        <sz val="11"/>
        <color theme="1"/>
        <rFont val="Calibri"/>
        <family val="2"/>
        <scheme val="minor"/>
      </rPr>
      <t xml:space="preserve"> was significantly increased in </t>
    </r>
    <r>
      <rPr>
        <b/>
        <sz val="11"/>
        <color theme="1"/>
        <rFont val="Calibri"/>
        <family val="2"/>
        <scheme val="minor"/>
      </rPr>
      <t>ovarian</t>
    </r>
    <r>
      <rPr>
        <sz val="11"/>
        <color theme="1"/>
        <rFont val="Calibri"/>
        <family val="2"/>
        <scheme val="minor"/>
      </rPr>
      <t xml:space="preserve"> cancer patients after chemotherapy in comparison with patients who did not receive chemotherapy. </t>
    </r>
    <r>
      <rPr>
        <b/>
        <sz val="11"/>
        <color theme="1"/>
        <rFont val="Calibri"/>
        <family val="2"/>
        <scheme val="minor"/>
      </rPr>
      <t xml:space="preserve">3) </t>
    </r>
    <r>
      <rPr>
        <sz val="11"/>
        <color theme="1"/>
        <rFont val="Calibri"/>
        <family val="2"/>
        <scheme val="minor"/>
      </rPr>
      <t xml:space="preserve">The expression of ADH1B and </t>
    </r>
    <r>
      <rPr>
        <b/>
        <sz val="11"/>
        <color theme="1"/>
        <rFont val="Calibri"/>
        <family val="2"/>
        <scheme val="minor"/>
      </rPr>
      <t>ABCA8</t>
    </r>
    <r>
      <rPr>
        <sz val="11"/>
        <color theme="1"/>
        <rFont val="Calibri"/>
        <family val="2"/>
        <scheme val="minor"/>
      </rPr>
      <t xml:space="preserve"> were significantly upregulated in SKOV3-DDP cells, A2780-DDP and -CBP cells. In particular, the expression of ALDH1A2 and ADH1B was extremely highlighted in drug-resistant cells. </t>
    </r>
  </si>
  <si>
    <r>
      <rPr>
        <b/>
        <sz val="11"/>
        <color theme="1"/>
        <rFont val="Calibri"/>
        <family val="2"/>
        <scheme val="minor"/>
      </rPr>
      <t>1) Ovarian</t>
    </r>
    <r>
      <rPr>
        <sz val="11"/>
        <color theme="1"/>
        <rFont val="Calibri"/>
        <family val="2"/>
        <scheme val="minor"/>
      </rPr>
      <t xml:space="preserve"> cancer IGROV-1/OHP exhibited high levels of resistance to </t>
    </r>
    <r>
      <rPr>
        <b/>
        <sz val="11"/>
        <color theme="1"/>
        <rFont val="Calibri"/>
        <family val="2"/>
        <scheme val="minor"/>
      </rPr>
      <t>oxaliplatin</t>
    </r>
    <r>
      <rPr>
        <sz val="11"/>
        <color theme="1"/>
        <rFont val="Calibri"/>
        <family val="2"/>
        <scheme val="minor"/>
      </rPr>
      <t xml:space="preserve">, cross-resistance to </t>
    </r>
    <r>
      <rPr>
        <b/>
        <sz val="11"/>
        <color theme="1"/>
        <rFont val="Calibri"/>
        <family val="2"/>
        <scheme val="minor"/>
      </rPr>
      <t>cisplatin</t>
    </r>
    <r>
      <rPr>
        <sz val="11"/>
        <color theme="1"/>
        <rFont val="Calibri"/>
        <family val="2"/>
        <scheme val="minor"/>
      </rPr>
      <t xml:space="preserve"> and topotecan and displayed a marked accumulation of Pt drugs. </t>
    </r>
    <r>
      <rPr>
        <b/>
        <sz val="11"/>
        <color theme="1"/>
        <rFont val="Calibri"/>
        <family val="2"/>
        <scheme val="minor"/>
      </rPr>
      <t xml:space="preserve">2) </t>
    </r>
    <r>
      <rPr>
        <sz val="11"/>
        <color theme="1"/>
        <rFont val="Calibri"/>
        <family val="2"/>
        <scheme val="minor"/>
      </rPr>
      <t xml:space="preserve">This feature was associated with increased expression and altered N-linked glycosylation of </t>
    </r>
    <r>
      <rPr>
        <b/>
        <sz val="11"/>
        <color theme="1"/>
        <rFont val="Calibri"/>
        <family val="2"/>
        <scheme val="minor"/>
      </rPr>
      <t>MRP1</t>
    </r>
    <r>
      <rPr>
        <sz val="11"/>
        <color theme="1"/>
        <rFont val="Calibri"/>
        <family val="2"/>
        <scheme val="minor"/>
      </rPr>
      <t xml:space="preserve"> and </t>
    </r>
    <r>
      <rPr>
        <b/>
        <sz val="11"/>
        <color theme="1"/>
        <rFont val="Calibri"/>
        <family val="2"/>
        <scheme val="minor"/>
      </rPr>
      <t>MRP4</t>
    </r>
    <r>
      <rPr>
        <sz val="11"/>
        <color theme="1"/>
        <rFont val="Calibri"/>
        <family val="2"/>
        <scheme val="minor"/>
      </rPr>
      <t xml:space="preserve">. </t>
    </r>
    <r>
      <rPr>
        <b/>
        <sz val="11"/>
        <color theme="1"/>
        <rFont val="Calibri"/>
        <family val="2"/>
        <scheme val="minor"/>
      </rPr>
      <t xml:space="preserve">3) </t>
    </r>
    <r>
      <rPr>
        <sz val="11"/>
        <color theme="1"/>
        <rFont val="Calibri"/>
        <family val="2"/>
        <scheme val="minor"/>
      </rPr>
      <t xml:space="preserve">overexpression of fully glycosylated </t>
    </r>
    <r>
      <rPr>
        <b/>
        <sz val="11"/>
        <color theme="1"/>
        <rFont val="Calibri"/>
        <family val="2"/>
        <scheme val="minor"/>
      </rPr>
      <t>MRP1</t>
    </r>
    <r>
      <rPr>
        <sz val="11"/>
        <color theme="1"/>
        <rFont val="Calibri"/>
        <family val="2"/>
        <scheme val="minor"/>
      </rPr>
      <t xml:space="preserve"> or </t>
    </r>
    <r>
      <rPr>
        <b/>
        <sz val="11"/>
        <color theme="1"/>
        <rFont val="Calibri"/>
        <family val="2"/>
        <scheme val="minor"/>
      </rPr>
      <t>MRP4</t>
    </r>
    <r>
      <rPr>
        <sz val="11"/>
        <color theme="1"/>
        <rFont val="Calibri"/>
        <family val="2"/>
        <scheme val="minor"/>
      </rPr>
      <t xml:space="preserve"> in tumor cell line of ovarian origin was associated with resistance to </t>
    </r>
    <r>
      <rPr>
        <b/>
        <sz val="11"/>
        <color theme="1"/>
        <rFont val="Calibri"/>
        <family val="2"/>
        <scheme val="minor"/>
      </rPr>
      <t>oxaliplatin</t>
    </r>
    <r>
      <rPr>
        <sz val="11"/>
        <color theme="1"/>
        <rFont val="Calibri"/>
        <family val="2"/>
        <scheme val="minor"/>
      </rPr>
      <t xml:space="preserve"> and </t>
    </r>
    <r>
      <rPr>
        <b/>
        <sz val="11"/>
        <color theme="1"/>
        <rFont val="Calibri"/>
        <family val="2"/>
        <scheme val="minor"/>
      </rPr>
      <t>cisplatin</t>
    </r>
    <r>
      <rPr>
        <sz val="11"/>
        <color theme="1"/>
        <rFont val="Calibri"/>
        <family val="2"/>
        <scheme val="minor"/>
      </rPr>
      <t xml:space="preserve">. </t>
    </r>
    <r>
      <rPr>
        <b/>
        <sz val="11"/>
        <color theme="1"/>
        <rFont val="Calibri"/>
        <family val="2"/>
        <scheme val="minor"/>
      </rPr>
      <t>4)</t>
    </r>
    <r>
      <rPr>
        <sz val="11"/>
        <color theme="1"/>
        <rFont val="Calibri"/>
        <family val="2"/>
        <scheme val="minor"/>
      </rPr>
      <t xml:space="preserve"> siRNA inhibition of expression of </t>
    </r>
    <r>
      <rPr>
        <b/>
        <sz val="11"/>
        <color theme="1"/>
        <rFont val="Calibri"/>
        <family val="2"/>
        <scheme val="minor"/>
      </rPr>
      <t>MRP1</t>
    </r>
    <r>
      <rPr>
        <sz val="11"/>
        <color theme="1"/>
        <rFont val="Calibri"/>
        <family val="2"/>
        <scheme val="minor"/>
      </rPr>
      <t xml:space="preserve"> could decrease the </t>
    </r>
    <r>
      <rPr>
        <b/>
        <sz val="11"/>
        <color theme="1"/>
        <rFont val="Calibri"/>
        <family val="2"/>
        <scheme val="minor"/>
      </rPr>
      <t>cisplatin</t>
    </r>
    <r>
      <rPr>
        <sz val="11"/>
        <color theme="1"/>
        <rFont val="Calibri"/>
        <family val="2"/>
        <scheme val="minor"/>
      </rPr>
      <t xml:space="preserve"> resistance of SKOV3/DDP cells.  </t>
    </r>
    <r>
      <rPr>
        <b/>
        <sz val="11"/>
        <color theme="1"/>
        <rFont val="Calibri"/>
        <family val="2"/>
        <scheme val="minor"/>
      </rPr>
      <t>5)</t>
    </r>
    <r>
      <rPr>
        <sz val="11"/>
        <color theme="1"/>
        <rFont val="Calibri"/>
        <family val="2"/>
        <scheme val="minor"/>
      </rPr>
      <t xml:space="preserve"> </t>
    </r>
    <r>
      <rPr>
        <b/>
        <sz val="11"/>
        <color theme="1"/>
        <rFont val="Calibri"/>
        <family val="2"/>
        <scheme val="minor"/>
      </rPr>
      <t>NSCLC</t>
    </r>
    <r>
      <rPr>
        <sz val="11"/>
        <color theme="1"/>
        <rFont val="Calibri"/>
        <family val="2"/>
        <scheme val="minor"/>
      </rPr>
      <t xml:space="preserve"> patients of stage IIIA (p=0.011), N1 and N2 status (p=0.008), high expression of </t>
    </r>
    <r>
      <rPr>
        <b/>
        <sz val="11"/>
        <color theme="1"/>
        <rFont val="Calibri"/>
        <family val="2"/>
        <scheme val="minor"/>
      </rPr>
      <t>MRP1</t>
    </r>
    <r>
      <rPr>
        <sz val="11"/>
        <color theme="1"/>
        <rFont val="Calibri"/>
        <family val="2"/>
        <scheme val="minor"/>
      </rPr>
      <t xml:space="preserve"> (p=0.034) and </t>
    </r>
    <r>
      <rPr>
        <b/>
        <sz val="11"/>
        <color theme="1"/>
        <rFont val="Calibri"/>
        <family val="2"/>
        <scheme val="minor"/>
      </rPr>
      <t>LRP</t>
    </r>
    <r>
      <rPr>
        <sz val="11"/>
        <color theme="1"/>
        <rFont val="Calibri"/>
        <family val="2"/>
        <scheme val="minor"/>
      </rPr>
      <t xml:space="preserve"> (p=0.018) were associated with shorter TFS after </t>
    </r>
    <r>
      <rPr>
        <b/>
        <sz val="11"/>
        <color theme="1"/>
        <rFont val="Calibri"/>
        <family val="2"/>
        <scheme val="minor"/>
      </rPr>
      <t>cisplatin</t>
    </r>
    <r>
      <rPr>
        <sz val="11"/>
        <color theme="1"/>
        <rFont val="Calibri"/>
        <family val="2"/>
        <scheme val="minor"/>
      </rPr>
      <t xml:space="preserve">-based chemotherapy. Stage IIIA (p=0.0105), N1 and N2 status (p=0.009), high expression of </t>
    </r>
    <r>
      <rPr>
        <b/>
        <sz val="11"/>
        <color theme="1"/>
        <rFont val="Calibri"/>
        <family val="2"/>
        <scheme val="minor"/>
      </rPr>
      <t>MRP1</t>
    </r>
    <r>
      <rPr>
        <sz val="11"/>
        <color theme="1"/>
        <rFont val="Calibri"/>
        <family val="2"/>
        <scheme val="minor"/>
      </rPr>
      <t xml:space="preserve"> (p=0.021) and </t>
    </r>
    <r>
      <rPr>
        <b/>
        <sz val="11"/>
        <color theme="1"/>
        <rFont val="Calibri"/>
        <family val="2"/>
        <scheme val="minor"/>
      </rPr>
      <t>ERCC1</t>
    </r>
    <r>
      <rPr>
        <sz val="11"/>
        <color theme="1"/>
        <rFont val="Calibri"/>
        <family val="2"/>
        <scheme val="minor"/>
      </rPr>
      <t xml:space="preserve"> (p=0.012) were related to a shorter overall survival. Low MRP1 expression (p=0.022 and p=0.035) were independent predictors of favorable TFS and overall survival, respectively. </t>
    </r>
  </si>
  <si>
    <r>
      <rPr>
        <b/>
        <sz val="11"/>
        <color theme="1"/>
        <rFont val="Calibri"/>
        <family val="2"/>
        <scheme val="minor"/>
      </rPr>
      <t xml:space="preserve">1) </t>
    </r>
    <r>
      <rPr>
        <sz val="11"/>
        <color theme="1"/>
        <rFont val="Calibri"/>
        <family val="2"/>
        <scheme val="minor"/>
      </rPr>
      <t xml:space="preserve">human </t>
    </r>
    <r>
      <rPr>
        <b/>
        <sz val="11"/>
        <color theme="1"/>
        <rFont val="Calibri"/>
        <family val="2"/>
        <scheme val="minor"/>
      </rPr>
      <t>cisplatin</t>
    </r>
    <r>
      <rPr>
        <sz val="11"/>
        <color theme="1"/>
        <rFont val="Calibri"/>
        <family val="2"/>
        <scheme val="minor"/>
      </rPr>
      <t xml:space="preserve">-resistant cell lines, A2780RCIS, D43/86RCIS and MeWoCIS1 all showed overexpression of </t>
    </r>
    <r>
      <rPr>
        <b/>
        <sz val="11"/>
        <color theme="1"/>
        <rFont val="Calibri"/>
        <family val="2"/>
        <scheme val="minor"/>
      </rPr>
      <t>MRP2</t>
    </r>
    <r>
      <rPr>
        <sz val="11"/>
        <color theme="1"/>
        <rFont val="Calibri"/>
        <family val="2"/>
        <scheme val="minor"/>
      </rPr>
      <t xml:space="preserve">. </t>
    </r>
    <r>
      <rPr>
        <b/>
        <sz val="11"/>
        <color theme="1"/>
        <rFont val="Calibri"/>
        <family val="2"/>
        <scheme val="minor"/>
      </rPr>
      <t xml:space="preserve">2) </t>
    </r>
    <r>
      <rPr>
        <sz val="11"/>
        <color theme="1"/>
        <rFont val="Calibri"/>
        <family val="2"/>
        <scheme val="minor"/>
      </rPr>
      <t>anti-</t>
    </r>
    <r>
      <rPr>
        <b/>
        <sz val="11"/>
        <color theme="1"/>
        <rFont val="Calibri"/>
        <family val="2"/>
        <scheme val="minor"/>
      </rPr>
      <t>MRP2</t>
    </r>
    <r>
      <rPr>
        <sz val="11"/>
        <color theme="1"/>
        <rFont val="Calibri"/>
        <family val="2"/>
        <scheme val="minor"/>
      </rPr>
      <t xml:space="preserve"> hammerhead ribozymes reversed the drug-resistant phenotype. </t>
    </r>
    <r>
      <rPr>
        <b/>
        <sz val="11"/>
        <color theme="1"/>
        <rFont val="Calibri"/>
        <family val="2"/>
        <scheme val="minor"/>
      </rPr>
      <t xml:space="preserve">3) </t>
    </r>
    <r>
      <rPr>
        <sz val="11"/>
        <color theme="1"/>
        <rFont val="Calibri"/>
        <family val="2"/>
        <scheme val="minor"/>
      </rPr>
      <t xml:space="preserve">The level of DNA platination corresponded inversely to the level of </t>
    </r>
    <r>
      <rPr>
        <b/>
        <sz val="11"/>
        <color theme="1"/>
        <rFont val="Calibri"/>
        <family val="2"/>
        <scheme val="minor"/>
      </rPr>
      <t>MRP2</t>
    </r>
    <r>
      <rPr>
        <sz val="11"/>
        <color theme="1"/>
        <rFont val="Calibri"/>
        <family val="2"/>
        <scheme val="minor"/>
      </rPr>
      <t xml:space="preserve"> expression. </t>
    </r>
    <r>
      <rPr>
        <b/>
        <sz val="11"/>
        <color theme="1"/>
        <rFont val="Calibri"/>
        <family val="2"/>
        <scheme val="minor"/>
      </rPr>
      <t xml:space="preserve">4) </t>
    </r>
    <r>
      <rPr>
        <sz val="11"/>
        <color theme="1"/>
        <rFont val="Calibri"/>
        <family val="2"/>
        <scheme val="minor"/>
      </rPr>
      <t xml:space="preserve">Primary hepatocyte cultures from </t>
    </r>
    <r>
      <rPr>
        <b/>
        <sz val="11"/>
        <color theme="1"/>
        <rFont val="Calibri"/>
        <family val="2"/>
        <scheme val="minor"/>
      </rPr>
      <t>Mrp2</t>
    </r>
    <r>
      <rPr>
        <sz val="11"/>
        <color theme="1"/>
        <rFont val="Calibri"/>
        <family val="2"/>
        <scheme val="minor"/>
      </rPr>
      <t>-deficient TR- rats were over threefold more sensitive to cisplatin and accumulated a twofold greater amount of platinum on DNA than wild-type rat hepatocytes.</t>
    </r>
    <r>
      <rPr>
        <b/>
        <sz val="11"/>
        <color theme="1"/>
        <rFont val="Calibri"/>
        <family val="2"/>
        <scheme val="minor"/>
      </rPr>
      <t xml:space="preserve"> 5)</t>
    </r>
    <r>
      <rPr>
        <sz val="11"/>
        <color theme="1"/>
        <rFont val="Calibri"/>
        <family val="2"/>
        <scheme val="minor"/>
      </rPr>
      <t xml:space="preserve"> Cases with relapse of </t>
    </r>
    <r>
      <rPr>
        <b/>
        <sz val="11"/>
        <color theme="1"/>
        <rFont val="Calibri"/>
        <family val="2"/>
        <scheme val="minor"/>
      </rPr>
      <t>cisplatin</t>
    </r>
    <r>
      <rPr>
        <sz val="11"/>
        <color theme="1"/>
        <rFont val="Calibri"/>
        <family val="2"/>
        <scheme val="minor"/>
      </rPr>
      <t xml:space="preserve">-based chemotherapy showed higher </t>
    </r>
    <r>
      <rPr>
        <b/>
        <sz val="11"/>
        <color theme="1"/>
        <rFont val="Calibri"/>
        <family val="2"/>
        <scheme val="minor"/>
      </rPr>
      <t>ABCC2</t>
    </r>
    <r>
      <rPr>
        <sz val="11"/>
        <color theme="1"/>
        <rFont val="Calibri"/>
        <family val="2"/>
        <scheme val="minor"/>
      </rPr>
      <t xml:space="preserve"> nuclear membrane expression at primary and secondary surgery. </t>
    </r>
    <r>
      <rPr>
        <b/>
        <sz val="11"/>
        <color theme="1"/>
        <rFont val="Calibri"/>
        <family val="2"/>
        <scheme val="minor"/>
      </rPr>
      <t>6)</t>
    </r>
    <r>
      <rPr>
        <sz val="11"/>
        <color theme="1"/>
        <rFont val="Calibri"/>
        <family val="2"/>
        <scheme val="minor"/>
      </rPr>
      <t xml:space="preserve"> weak nuclear membrane ABCC2 expression before treatment was associated with significantly longer overall and progression-free survival; following </t>
    </r>
    <r>
      <rPr>
        <b/>
        <sz val="11"/>
        <color theme="1"/>
        <rFont val="Calibri"/>
        <family val="2"/>
        <scheme val="minor"/>
      </rPr>
      <t>cisplatin-</t>
    </r>
    <r>
      <rPr>
        <sz val="11"/>
        <color theme="1"/>
        <rFont val="Calibri"/>
        <family val="2"/>
        <scheme val="minor"/>
      </rPr>
      <t xml:space="preserve">based chemotherapy, it correlated with significantly longer progression-free survival (P = 0.038). </t>
    </r>
    <r>
      <rPr>
        <b/>
        <sz val="11"/>
        <color theme="1"/>
        <rFont val="Calibri"/>
        <family val="2"/>
        <scheme val="minor"/>
      </rPr>
      <t>7)</t>
    </r>
    <r>
      <rPr>
        <sz val="11"/>
        <color theme="1"/>
        <rFont val="Calibri"/>
        <family val="2"/>
        <scheme val="minor"/>
      </rPr>
      <t xml:space="preserve"> Tissue microarrays confirmed nuclear membranous localization of</t>
    </r>
    <r>
      <rPr>
        <b/>
        <sz val="11"/>
        <color theme="1"/>
        <rFont val="Calibri"/>
        <family val="2"/>
        <scheme val="minor"/>
      </rPr>
      <t xml:space="preserve"> ABCC2</t>
    </r>
    <r>
      <rPr>
        <sz val="11"/>
        <color theme="1"/>
        <rFont val="Calibri"/>
        <family val="2"/>
        <scheme val="minor"/>
      </rPr>
      <t xml:space="preserve">, in particular, in poorly differentiated cells. In </t>
    </r>
    <r>
      <rPr>
        <b/>
        <sz val="11"/>
        <color theme="1"/>
        <rFont val="Calibri"/>
        <family val="2"/>
        <scheme val="minor"/>
      </rPr>
      <t>ovarian</t>
    </r>
    <r>
      <rPr>
        <sz val="11"/>
        <color theme="1"/>
        <rFont val="Calibri"/>
        <family val="2"/>
        <scheme val="minor"/>
      </rPr>
      <t xml:space="preserve"> carcinoma cells, it correlated with resistance against </t>
    </r>
    <r>
      <rPr>
        <b/>
        <sz val="11"/>
        <color theme="1"/>
        <rFont val="Calibri"/>
        <family val="2"/>
        <scheme val="minor"/>
      </rPr>
      <t>cisplatin</t>
    </r>
    <r>
      <rPr>
        <sz val="11"/>
        <color theme="1"/>
        <rFont val="Calibri"/>
        <family val="2"/>
        <scheme val="minor"/>
      </rPr>
      <t xml:space="preserve">, whereas localization in the cytoplasmic membrane did not. </t>
    </r>
    <r>
      <rPr>
        <b/>
        <sz val="11"/>
        <color theme="1"/>
        <rFont val="Calibri"/>
        <family val="2"/>
        <scheme val="minor"/>
      </rPr>
      <t xml:space="preserve">8) </t>
    </r>
    <r>
      <rPr>
        <sz val="11"/>
        <color theme="1"/>
        <rFont val="Calibri"/>
        <family val="2"/>
        <scheme val="minor"/>
      </rPr>
      <t xml:space="preserve">overexpression of </t>
    </r>
    <r>
      <rPr>
        <b/>
        <sz val="11"/>
        <color theme="1"/>
        <rFont val="Calibri"/>
        <family val="2"/>
        <scheme val="minor"/>
      </rPr>
      <t xml:space="preserve">MRP2 </t>
    </r>
    <r>
      <rPr>
        <sz val="11"/>
        <color theme="1"/>
        <rFont val="Calibri"/>
        <family val="2"/>
        <scheme val="minor"/>
      </rPr>
      <t>correlates with a lower percentage of tumor necrosis in patients treated with</t>
    </r>
    <r>
      <rPr>
        <b/>
        <sz val="11"/>
        <color theme="1"/>
        <rFont val="Calibri"/>
        <family val="2"/>
        <scheme val="minor"/>
      </rPr>
      <t xml:space="preserve"> cisplatin</t>
    </r>
    <r>
      <rPr>
        <sz val="11"/>
        <color theme="1"/>
        <rFont val="Calibri"/>
        <family val="2"/>
        <scheme val="minor"/>
      </rPr>
      <t xml:space="preserve">-based neoadjuvant chemotherapy for </t>
    </r>
    <r>
      <rPr>
        <b/>
        <sz val="11"/>
        <color theme="1"/>
        <rFont val="Calibri"/>
        <family val="2"/>
        <scheme val="minor"/>
      </rPr>
      <t>HCC</t>
    </r>
    <r>
      <rPr>
        <sz val="11"/>
        <color theme="1"/>
        <rFont val="Calibri"/>
        <family val="2"/>
        <scheme val="minor"/>
      </rPr>
      <t>.</t>
    </r>
  </si>
  <si>
    <r>
      <rPr>
        <b/>
        <sz val="11"/>
        <color theme="1"/>
        <rFont val="Calibri"/>
        <family val="2"/>
        <scheme val="minor"/>
      </rPr>
      <t>1)</t>
    </r>
    <r>
      <rPr>
        <sz val="11"/>
        <color theme="1"/>
        <rFont val="Calibri"/>
        <family val="2"/>
        <scheme val="minor"/>
      </rPr>
      <t xml:space="preserve"> one SNP (rs11138019), which was associated with the expression of both miR-30d and the gene ABCD2, which were themselves correlated with both </t>
    </r>
    <r>
      <rPr>
        <b/>
        <sz val="11"/>
        <color theme="1"/>
        <rFont val="Calibri"/>
        <family val="2"/>
        <scheme val="minor"/>
      </rPr>
      <t>carboplatin</t>
    </r>
    <r>
      <rPr>
        <sz val="11"/>
        <color theme="1"/>
        <rFont val="Calibri"/>
        <family val="2"/>
        <scheme val="minor"/>
      </rPr>
      <t xml:space="preserve"> and </t>
    </r>
    <r>
      <rPr>
        <b/>
        <sz val="11"/>
        <color theme="1"/>
        <rFont val="Calibri"/>
        <family val="2"/>
        <scheme val="minor"/>
      </rPr>
      <t>cisplatin</t>
    </r>
    <r>
      <rPr>
        <sz val="11"/>
        <color theme="1"/>
        <rFont val="Calibri"/>
        <family val="2"/>
        <scheme val="minor"/>
      </rPr>
      <t xml:space="preserve"> drug-specific phenotype in the </t>
    </r>
    <r>
      <rPr>
        <b/>
        <sz val="11"/>
        <color theme="1"/>
        <rFont val="Calibri"/>
        <family val="2"/>
        <scheme val="minor"/>
      </rPr>
      <t>lymphoblastoid</t>
    </r>
    <r>
      <rPr>
        <sz val="11"/>
        <color theme="1"/>
        <rFont val="Calibri"/>
        <family val="2"/>
        <scheme val="minor"/>
      </rPr>
      <t xml:space="preserve"> cell lines HapMap samples. </t>
    </r>
    <r>
      <rPr>
        <b/>
        <sz val="11"/>
        <color theme="1"/>
        <rFont val="Calibri"/>
        <family val="2"/>
        <scheme val="minor"/>
      </rPr>
      <t>2)</t>
    </r>
    <r>
      <rPr>
        <sz val="11"/>
        <color theme="1"/>
        <rFont val="Calibri"/>
        <family val="2"/>
        <scheme val="minor"/>
      </rPr>
      <t xml:space="preserve"> Knocking down ABCD2 in vitro led to increased apoptosis in </t>
    </r>
    <r>
      <rPr>
        <b/>
        <sz val="11"/>
        <color theme="1"/>
        <rFont val="Calibri"/>
        <family val="2"/>
        <scheme val="minor"/>
      </rPr>
      <t>ovarian</t>
    </r>
    <r>
      <rPr>
        <sz val="11"/>
        <color theme="1"/>
        <rFont val="Calibri"/>
        <family val="2"/>
        <scheme val="minor"/>
      </rPr>
      <t xml:space="preserve"> cancer cell line SKOV3 after cisplatin treatment. </t>
    </r>
    <r>
      <rPr>
        <b/>
        <sz val="11"/>
        <color theme="1"/>
        <rFont val="Calibri"/>
        <family val="2"/>
        <scheme val="minor"/>
      </rPr>
      <t xml:space="preserve">3) </t>
    </r>
    <r>
      <rPr>
        <sz val="11"/>
        <color theme="1"/>
        <rFont val="Calibri"/>
        <family val="2"/>
        <scheme val="minor"/>
      </rPr>
      <t>Over-expression of miR-30d in vitro caused a decrease in ABCD2 expression, suggesting a functional relationship between the two.</t>
    </r>
  </si>
  <si>
    <t>26241884, 20651982, 24554706</t>
  </si>
  <si>
    <t>20428827, 26238431, 11336696</t>
  </si>
  <si>
    <t>1) HSP70 inhibitor and cisplatin inhibit cervical cancer Hela cell proliferation in vitro and transplanted tumor growth synergistically. 2) siRNA knockdown of HSP70 enhances the antitumor effects of cisplatin in cultured human osteosarcoma cells. 2) overexpression of HSP70 decreased cisplatin‑induced gastric cancer HGC‑27 cell apoptosis. 3) Hsp70 is highly expressed in cisplatin-resistant cells. Hsp70 promotes chemoresistance, in part, by blocking Bax translocation to the mitochondria and mitochondrial protein release to cytosol in human ovarian cancer cells. 4) 2-DE accompanied by MALDI-TOF-MS was used to analyze ten cases of advanced cervical cancer patients receiving cisplatin-based NAC: the high-fold changes proteins of stathmin1, Hsp70 and PKM2 were validated by Western blot analysis. 5) Over-expression of Hsp70 inhibits the efficacy of cisplatin. Hsp70 inhibitor enhanced the sensitivity to cisplatin in both Hela and Hela/DDP cells.</t>
  </si>
  <si>
    <t>30648820, 23401855, 26215093</t>
  </si>
  <si>
    <t>Pyruvate dehydrogenase kinase isozyme 4</t>
  </si>
  <si>
    <t>ATP-binding cassette sub-family B member 1</t>
  </si>
  <si>
    <t>Ubiquitin-like protein ATG12</t>
  </si>
  <si>
    <t>Apoptosis regulator BAX</t>
  </si>
  <si>
    <t>Cell division control protein 42 homolog</t>
  </si>
  <si>
    <t>Cadherin-1</t>
  </si>
  <si>
    <t>Cadherin-2</t>
  </si>
  <si>
    <t>Cyclin-dependent kinase 12</t>
  </si>
  <si>
    <t>Cyclin-dependent kinase 5</t>
  </si>
  <si>
    <t>Dual specificity protein phosphatase 6</t>
  </si>
  <si>
    <t>Dynein light chain 1, cytoplasmic</t>
  </si>
  <si>
    <t>Crossover junction endonuclease EME1</t>
  </si>
  <si>
    <t>Homeobox protein EMX2</t>
  </si>
  <si>
    <t>Fanconia anemia group A protein</t>
  </si>
  <si>
    <t>Fanconia anemia group B protein</t>
  </si>
  <si>
    <t>Fanconia anemia group C protein</t>
  </si>
  <si>
    <t>Fanconia anemia group D2 protein</t>
  </si>
  <si>
    <t>Fanconia anemia group F protein</t>
  </si>
  <si>
    <t>Fanconia anemia group I protein</t>
  </si>
  <si>
    <t>E3 ubiquitin-protein ligase FANCL</t>
  </si>
  <si>
    <t>Fanconia anemia group M protein</t>
  </si>
  <si>
    <t>Tumor necrosis factor receptor superfamily member 6</t>
  </si>
  <si>
    <t>Tumor necrosis factor ligand superfamily member 6</t>
  </si>
  <si>
    <t>Protein fosB</t>
  </si>
  <si>
    <t>Fos-related antigen 1</t>
  </si>
  <si>
    <t>Heat shock protein beta-1</t>
  </si>
  <si>
    <t>Tyrosine-protein kinase JAK2</t>
  </si>
  <si>
    <t>Transcription factor jun-B</t>
  </si>
  <si>
    <t>Transcription factor jun-D</t>
  </si>
  <si>
    <t>Histone acetyltransferase KAT2B</t>
  </si>
  <si>
    <t xml:space="preserve">Histone acetyltransferase KAT5 </t>
  </si>
  <si>
    <t>Metastasis-suppressor KiSS-1</t>
  </si>
  <si>
    <t>Mast/stem cell growth factor receptor Kit</t>
  </si>
  <si>
    <t>DNA ligase 3</t>
  </si>
  <si>
    <t>Protein lin-28 homolog A</t>
  </si>
  <si>
    <t>LIM domain transcription factor LMO4</t>
  </si>
  <si>
    <t>Volume-regulated anion channel subunit LRRC81</t>
  </si>
  <si>
    <t>Volume-regulated anion channel subunit LRRC8D</t>
  </si>
  <si>
    <t>Transcription factor MafG</t>
  </si>
  <si>
    <t>Mitogen-activated protein kinase 11</t>
  </si>
  <si>
    <t>Mitogen-activated protein kinase 12</t>
  </si>
  <si>
    <t>Mitogen-activated protein kinase 13</t>
  </si>
  <si>
    <t>Mitogen-activated protein kinase 14</t>
  </si>
  <si>
    <t>Protein Mdm4</t>
  </si>
  <si>
    <t>DNA mismatch repair protein Mlh1</t>
  </si>
  <si>
    <t>MutS protein homolog 5</t>
  </si>
  <si>
    <t>Metallothionein-2</t>
  </si>
  <si>
    <t>Serine/threonine-protein kinase mTOR</t>
  </si>
  <si>
    <t>Mucin-5B</t>
  </si>
  <si>
    <t>Major vault protein</t>
  </si>
  <si>
    <t>Nucleus accumbens-associated protein 1</t>
  </si>
  <si>
    <t>Nuclear factor erythroid 2-related factor 2</t>
  </si>
  <si>
    <t>Neurogenic locus notch homolog protein 3</t>
  </si>
  <si>
    <t>Serine/threonine-protein kinase PAK 1</t>
  </si>
  <si>
    <t>Partner and localizer of BRCA2</t>
  </si>
  <si>
    <t>Poly ADP-ribose polymerase 1</t>
  </si>
  <si>
    <t>Poly ADP-ribose polymerase 2</t>
  </si>
  <si>
    <t>Paired box protein Pax-2</t>
  </si>
  <si>
    <t>Serine/threonine-protein kinase pim-1</t>
  </si>
  <si>
    <t xml:space="preserve">Serine/threonine-protein kinae pim-2 </t>
  </si>
  <si>
    <t>Bifunctional polynucleotide phosphatase/kinase</t>
  </si>
  <si>
    <t>DNA polymerase theta</t>
  </si>
  <si>
    <t>POU domain, class 5, transcription factor 1</t>
  </si>
  <si>
    <t>Non-catalytic B1 subunit of AMP-activated protein kinase (AMPK)</t>
  </si>
  <si>
    <t>Non-catalytic B2 subunit of AMP-activated protein kinase (AMPK)</t>
  </si>
  <si>
    <t>Ras-related protein Rab-7a</t>
  </si>
  <si>
    <t>Ras-related protein Rac1</t>
  </si>
  <si>
    <t>DNA endonuclease RBBP8</t>
  </si>
  <si>
    <t>ATP-dependent DNA helicase Q4</t>
  </si>
  <si>
    <t>DNA repair protein REV1</t>
  </si>
  <si>
    <t>Calgranulin-B/ Calprotectin L1H subunit / Leukocyte L1 complex heavy chain / Migration inhibitory factor-related protein 14</t>
  </si>
  <si>
    <t>serum- and glucocorticoid-regulated kinase 1</t>
  </si>
  <si>
    <t>Solute carrier family 22 member 1</t>
  </si>
  <si>
    <t>Solute carrier family 22 member 2</t>
  </si>
  <si>
    <t>Solute carrier family 22 member 3</t>
  </si>
  <si>
    <t>High affinity copper uptake protein 1</t>
  </si>
  <si>
    <t>Probable low affinity copper uptake protein 2</t>
  </si>
  <si>
    <t>Superoxide dismutase [Mn], mitochondrial</t>
  </si>
  <si>
    <t>Transcription factor SOX-1</t>
  </si>
  <si>
    <t>Transcription factor  SOX-10</t>
  </si>
  <si>
    <t xml:space="preserve">Transcription factor SOX-2 </t>
  </si>
  <si>
    <t>Transcription factor SOX-9</t>
  </si>
  <si>
    <t>Transcription factor SOX-8</t>
  </si>
  <si>
    <t>Antigen peptide transporter 1</t>
  </si>
  <si>
    <t>Protein timeless homolog</t>
  </si>
  <si>
    <t>Tumor necrosis factor</t>
  </si>
  <si>
    <t>Uracil-DNA glycosylase</t>
  </si>
  <si>
    <t>Vimentin</t>
  </si>
  <si>
    <t>DNA repair protein complementing XP-A cells</t>
  </si>
  <si>
    <t>DNA repair protein XRCC2</t>
  </si>
  <si>
    <t>DNA repair protein XRCC3</t>
  </si>
  <si>
    <t>DNA repair protein XRCC4</t>
  </si>
  <si>
    <t>Transcriptional regulator YAP1</t>
  </si>
  <si>
    <t>Y-box-binding protein 1</t>
  </si>
  <si>
    <t>14-3-3 protein gamma</t>
  </si>
  <si>
    <t>14-3-3 protein zeta/delta</t>
  </si>
  <si>
    <t>Zinc finger protein 93</t>
  </si>
  <si>
    <t>AT-rich interactive domain-containing protein 3B</t>
  </si>
  <si>
    <t>Histone-lysine N-methyltransferase 2B</t>
  </si>
  <si>
    <t>Double-strand break repair protein MRE11</t>
  </si>
  <si>
    <t>DNA helicase MCM9</t>
  </si>
  <si>
    <t>Transforming growth factor beta-3 proprotein</t>
  </si>
  <si>
    <t>DIA4, NMOR1</t>
  </si>
  <si>
    <t>Apoptotic signaling, DDR, p53 signaling</t>
  </si>
  <si>
    <t>PKA signaling, Platinum efflux</t>
  </si>
  <si>
    <t>CSC, Hedgehog signaling, Platinum efflux</t>
  </si>
  <si>
    <t>Apoptotic signaling, Calcium signaling</t>
  </si>
  <si>
    <t>Apoptotic signaling, Oncogene signaling</t>
  </si>
  <si>
    <t>Metabolism/Lipid, Metabolism/OXPHOS, Transcription/Epigenetics</t>
  </si>
  <si>
    <t>ECM signaling, EMT, WNT signaling</t>
  </si>
  <si>
    <t>Apoptotic signaling, TGF-β signaling</t>
  </si>
  <si>
    <t>ECM signaling, NF-kB signaling, Notch signaling</t>
  </si>
  <si>
    <t>Immune response, Oncogene signaling</t>
  </si>
  <si>
    <t>ECM signaling, EMT, Oncogene signaling</t>
  </si>
  <si>
    <t>Oncogene signaling/AKT, Redox</t>
  </si>
  <si>
    <t>AMPK signaling, mTOR signaling, Oncogene signaling</t>
  </si>
  <si>
    <t>ECM signaling, mTOR signaling, Oncogene signaling</t>
  </si>
  <si>
    <t>CSC, Redox</t>
  </si>
  <si>
    <t>Cell cycle, DDR/direct repair</t>
  </si>
  <si>
    <t>ECM signaling, Oncogene signaling</t>
  </si>
  <si>
    <t>Cell cycle, p53 signaling, TGF-β signaling, WNT signaling</t>
  </si>
  <si>
    <t>ECM signaling, Oncogene signaling/MAPK, p53 signaling</t>
  </si>
  <si>
    <t>Calcium signaling, Oncogene signaling</t>
  </si>
  <si>
    <t>ECM signaling, Platinum efflux</t>
  </si>
  <si>
    <t>CSC, Platinum efflux, WNT signaling</t>
  </si>
  <si>
    <t>Apoptotic signaling, DDR/BER, Redox</t>
  </si>
  <si>
    <t>CSC, Oncogene signaling/EGFR</t>
  </si>
  <si>
    <t>Apoptotic signaling, ECM signaling</t>
  </si>
  <si>
    <t>Platinum efflux, Transcription/Epigenetics</t>
  </si>
  <si>
    <t>Autophagy, Translation</t>
  </si>
  <si>
    <t>DDR, Redox/Glutathione</t>
  </si>
  <si>
    <t>DDR/nucleotide synthesis, Metabolism/amino acid, Oncogene signaling/PKG, Redox</t>
  </si>
  <si>
    <t>Apoptotic signaling, DDR, Oncogene signaling/MAPK, PKA signaling</t>
  </si>
  <si>
    <t>Apoptotic signaling, ER stress response, Immune response, PKA signaling, Transcription</t>
  </si>
  <si>
    <t>PKA signaling, Redox/Glutathione, Transcription</t>
  </si>
  <si>
    <t>Autophagy, ER stress response, PKA signaling</t>
  </si>
  <si>
    <t>Cell cycle, DDR, Redox</t>
  </si>
  <si>
    <t>PKA signaling, Platinum uptake</t>
  </si>
  <si>
    <t>Cell cycle, DDR</t>
  </si>
  <si>
    <t>NF-kB signaling, p53 signaling, WNT signaling</t>
  </si>
  <si>
    <t>Apoptosis, Oncogene signaling/AKT, PKA signaling</t>
  </si>
  <si>
    <t>Apoptosis, Autophagy</t>
  </si>
  <si>
    <t>Apoptotic signaling, DDR, Redox/Glutathione</t>
  </si>
  <si>
    <t>Apoptosis, p53 signaling</t>
  </si>
  <si>
    <t>Apoptosis, Oncogene signaling/AKT</t>
  </si>
  <si>
    <t>Apoptotic signaling, Cell cycle, DDR</t>
  </si>
  <si>
    <t>Apoptosis, NF-kB signaling, ubiquitin</t>
  </si>
  <si>
    <t>Cell cycle, CSC, ECM signaling</t>
  </si>
  <si>
    <t>EMT, TGF-β signaling</t>
  </si>
  <si>
    <t>DDR, DDR/DNA replication, DDR/HR</t>
  </si>
  <si>
    <t>DDR/DNA replication, DDR/FA, DDR/HR</t>
  </si>
  <si>
    <t>DDR/HR, Immune response, MYC signaling, Transcription/Epigenetics</t>
  </si>
  <si>
    <t>DDR/HR, ECM signaling</t>
  </si>
  <si>
    <t>Autophagy, NF-kB signaling, Oncogene signaling</t>
  </si>
  <si>
    <t>Apoptotic signaling, DDR/HR, Hypoxia signaling, Metabolism/OXPHOS</t>
  </si>
  <si>
    <t>DDR/NER, DDR/nucleotide synthesis</t>
  </si>
  <si>
    <t>Calcium signaling, Detox, Hypoxia signaling, PKA signaling</t>
  </si>
  <si>
    <t>Apoptotic signaling, ER stress response</t>
  </si>
  <si>
    <t>Apoptotic signaling, ER stress response, Immune response</t>
  </si>
  <si>
    <t>Notch signaling, TGF-β signaling</t>
  </si>
  <si>
    <t>Apoptotic signaling, Immune response, Oncogene signaling/AKT</t>
  </si>
  <si>
    <t>Cell cycle, p53 signaling</t>
  </si>
  <si>
    <t>EMT, Immune response</t>
  </si>
  <si>
    <t>Cell cycle, DDR/HR</t>
  </si>
  <si>
    <t>Apoptotic signaling, Cell cycle</t>
  </si>
  <si>
    <t>CSC, EMT, NF-kB signaling, Oncogene signaling/AKT</t>
  </si>
  <si>
    <t>ECM signaling, Immune response</t>
  </si>
  <si>
    <t>Apoptotic signaling, Immune response, Redox</t>
  </si>
  <si>
    <t>CSC, ECM signaling</t>
  </si>
  <si>
    <t>CSC, Immune response</t>
  </si>
  <si>
    <t>ECM/stroma, Immune response, Redox/Glutathione</t>
  </si>
  <si>
    <t>CSC, EMT, Hippo signaling</t>
  </si>
  <si>
    <t>CSC, EMT</t>
  </si>
  <si>
    <t>Apoptotic signaling, Cell cycle, ECM signaling, Immune response</t>
  </si>
  <si>
    <t>Cell cycle, DDR/NER</t>
  </si>
  <si>
    <t>Apoptotic signaling, ECM signaling, Immune response, Transcription</t>
  </si>
  <si>
    <t>NF-kB signaling, Notch signaling</t>
  </si>
  <si>
    <t>EMT, MYC signaling, Oncogene signaling</t>
  </si>
  <si>
    <t>Autophagy, ECM signaling, EMT</t>
  </si>
  <si>
    <t>EMT, Platinum uptake, WNT signaling</t>
  </si>
  <si>
    <t>EMT, WNT signaling</t>
  </si>
  <si>
    <t>DDR/nucleotide synthesis, ECM signaling, Redox</t>
  </si>
  <si>
    <t>Platinum efflux, vesicle trafficking</t>
  </si>
  <si>
    <t>Apoptotic signaling, Hormone receptor signaling, Oncogene signaling</t>
  </si>
  <si>
    <t>Apoptotic signaling, Autophagy, NF-kB signaling, Oncogene signaling</t>
  </si>
  <si>
    <t>ECM signaling, NF-kB signaling, Oncogene signaling/AKT</t>
  </si>
  <si>
    <t>Metabolism/Lipid, Metabolism/OXPHOS</t>
  </si>
  <si>
    <t>Apoptotic signaling, PKA signaling</t>
  </si>
  <si>
    <t>Apoptotic signaling, Chaperone</t>
  </si>
  <si>
    <t>Oncogene signaling/AKT, Oncogene signaling/MAPK</t>
  </si>
  <si>
    <t>ECM signaling, WNT signaling</t>
  </si>
  <si>
    <t>Cell cycle, Immune response, NF-kB signaling, ubiquitin</t>
  </si>
  <si>
    <t>Redox, ubiquitin</t>
  </si>
  <si>
    <t>Immune response, NF-kB signaling</t>
  </si>
  <si>
    <t>Immune response, Oncogene signaling/MAPK</t>
  </si>
  <si>
    <t>ER stress response, Metabolism/Lipid, Redox</t>
  </si>
  <si>
    <t>Autophagy, WNT signaling</t>
  </si>
  <si>
    <t>p53 signaling, TGF-β signaling, Transcription, ubiquitin</t>
  </si>
  <si>
    <t>DDR/FA, DDR/HR, DDR/telomere</t>
  </si>
  <si>
    <t>Apoptotic signaling, CSC, DDR/NER, EMT</t>
  </si>
  <si>
    <t>Apoptotic signaling, CSC, DDR/NER, EMT, NF-kB signaling</t>
  </si>
  <si>
    <t>Apoptosis, DDR</t>
  </si>
  <si>
    <t>ER stress response, Oncogene signaling/EGFR</t>
  </si>
  <si>
    <t>DDR/nucleotide synthesis, Metabolism/amino acid, Metabolism/One carbon</t>
  </si>
  <si>
    <t>Apoptotic signaling, RNA processing</t>
  </si>
  <si>
    <t>CSC, Oncogene signaling/EGFR, Transcription/Epigenetics</t>
  </si>
  <si>
    <t>Immune response, Oncogene signaling/EGFR</t>
  </si>
  <si>
    <t>Apoptotic signaling, Autophagy, p53 signaling</t>
  </si>
  <si>
    <t>DDR, Oncogene signaling/MAPK</t>
  </si>
  <si>
    <t>Apoptotic signaling, CSC, EMT, p53 signaling</t>
  </si>
  <si>
    <t>Cell cycle, Transcription</t>
  </si>
  <si>
    <t>Cell cycle, Hypoxia signaling, Oncogene signaling/EGFR</t>
  </si>
  <si>
    <t>Apoptotic signaling, Autophagy, DDR/NER, Immune response, Oncogene signaling</t>
  </si>
  <si>
    <t>ER stress response, Platinum efflux, Redox</t>
  </si>
  <si>
    <t>Apoptotic signaling/MAPK, ER stress response, Translation</t>
  </si>
  <si>
    <t>DDR/NER, Translation</t>
  </si>
  <si>
    <t>Apoptotic signaling, Translation</t>
  </si>
  <si>
    <t>EMT, Hypoxia signaling, Oncogene signaling, Translation</t>
  </si>
  <si>
    <t>Apoptotic signaling, mTOR signaling, Oncogene signaling, Translation</t>
  </si>
  <si>
    <t>Metabolism/Glycolysis, Oncogene signaling/AKT</t>
  </si>
  <si>
    <t>Apoptotic signaling, ECM signaling, p53 signaling, PKA signaling, Transcription/Epigenetics</t>
  </si>
  <si>
    <t>CSC, EMT, Oncogene signaling, WNT signaling</t>
  </si>
  <si>
    <t>DDR/HR, DDR/NER</t>
  </si>
  <si>
    <t>CSC, ECM signaling, EMT, NF-kB signaling</t>
  </si>
  <si>
    <t>Autophagy, Platinum uptake, Transcription</t>
  </si>
  <si>
    <t>CSC, ECM signaling, EMT, NF-kB signaling, Oncogene signaling/AKT</t>
  </si>
  <si>
    <t>DDR, NF-kB signaling, Oncogene signaling/AKT</t>
  </si>
  <si>
    <t>Oncogene signaling/EGFR, WNT signaling</t>
  </si>
  <si>
    <t>DDR/FA, DDR/TLS</t>
  </si>
  <si>
    <t>ECM signaling, Redox/Glutathione, WNT signaling</t>
  </si>
  <si>
    <t>DDR/BER, DDR/FA, DDR/NER</t>
  </si>
  <si>
    <t>Hippo signaling, Oncogene signaling/FGF</t>
  </si>
  <si>
    <t>DDR/HR, Hypoxia signaling, Metabolism/OXPHOS</t>
  </si>
  <si>
    <t>DDR, Oncogene signaling/VEGF</t>
  </si>
  <si>
    <t>CSC, ECM signaling, WNT signaling</t>
  </si>
  <si>
    <t>Cell cycle, Oncogene signaling/MAPK, Transcription</t>
  </si>
  <si>
    <t>EMT, Oncogene signaling</t>
  </si>
  <si>
    <t>AMPK signaling, Apoptotic signaling, Cell cycle, Oncogene signaling, Redox</t>
  </si>
  <si>
    <t>AMPK signaling, Apoptotic signaling, Redox</t>
  </si>
  <si>
    <t>CSC, Immune response, Oncogene signaling/MAPK, Transcription</t>
  </si>
  <si>
    <t>MYC signaling, WNT signaling</t>
  </si>
  <si>
    <t>DDR/nucleotide synthesis, Metabolism/PPP, Redox</t>
  </si>
  <si>
    <t>Cell cycle, CSC, Metabolism/OXPHOS, Transcription</t>
  </si>
  <si>
    <t>Apoptotic signaling/MAPK, Cell cycle, DDR/NER</t>
  </si>
  <si>
    <t>NF-kB signaling, Oncogene signaling, TGF-β signaling</t>
  </si>
  <si>
    <t>AMPK signaling, Autophagy, Oncogene signaling</t>
  </si>
  <si>
    <t>Cell cycle, Immune response, Transcription</t>
  </si>
  <si>
    <t>Apoptotic signaling, bystander effect, EMT</t>
  </si>
  <si>
    <t>Hedgehog signaling, PKA signaling</t>
  </si>
  <si>
    <t>CSC, Hedgehog signaling</t>
  </si>
  <si>
    <t>Metabolism/Glutaminolysis, Redox/Glutathione</t>
  </si>
  <si>
    <t>Glycosylation, Platinum efflux</t>
  </si>
  <si>
    <t>DDR/HR, Transcription</t>
  </si>
  <si>
    <t>ECM signaling, Hippo signaling, Hypoxia signaling</t>
  </si>
  <si>
    <t>Redox, Redox/Glutathione</t>
  </si>
  <si>
    <t>Metabolism/OXPHOS, Redox</t>
  </si>
  <si>
    <t>Oncogene signaling/AKT, WNT signaling</t>
  </si>
  <si>
    <t>DDR/NER, Oncogene signaling/EGFR</t>
  </si>
  <si>
    <t>EMT, Oncogene signaling/AKT</t>
  </si>
  <si>
    <t>MYC signaling, Transcription/Epigenetics</t>
  </si>
  <si>
    <t>Apoptotic signaling, Immune response, Transcription</t>
  </si>
  <si>
    <t>Immune response, Transcription</t>
  </si>
  <si>
    <t>Apoptotic signaling, Oncogene signaling/EGFR</t>
  </si>
  <si>
    <t>Apoptotic signaling, p53 signaling</t>
  </si>
  <si>
    <t>Hypoxia signaling, Immune response</t>
  </si>
  <si>
    <t>Apoptosis, Autophagy, Metabolism/Glycolysis</t>
  </si>
  <si>
    <t>Autophagy, DDR/BER, DDR/NER, Redox</t>
  </si>
  <si>
    <t>AMPK signaling, Metabolism/Lipid</t>
  </si>
  <si>
    <t>CSC, Hypoxia signaling, Redox</t>
  </si>
  <si>
    <t>EMT, TGF-β signaling, Transcription</t>
  </si>
  <si>
    <t>EMT, Transcription, WNT signaling</t>
  </si>
  <si>
    <t>CSC, Immune response, Redox, Transcription</t>
  </si>
  <si>
    <t>EMT, NF-kB signaling, Oncogene signaling, Transcription</t>
  </si>
  <si>
    <t>Cell cycle, Redox, Transcription</t>
  </si>
  <si>
    <t>Oncogene signaling/AKT, Platinum efflux, Transcription</t>
  </si>
  <si>
    <t>DDR/NHEJ, Transcription</t>
  </si>
  <si>
    <t>CSC, EMT, Hypoxia signaling, Transcription</t>
  </si>
  <si>
    <t>Chaperone, Transcription</t>
  </si>
  <si>
    <t>Apoptotic signaling, Chaperone, ER stress response, Oncogene signaling, p53 signaling</t>
  </si>
  <si>
    <t>Autophagy, Chaperone</t>
  </si>
  <si>
    <t>Autophagy, Cell cycle, Immune response, NF-kB signaling, TGF-β signaling</t>
  </si>
  <si>
    <t>AMPK signaling, ECM signaling, Oncogene signaling/EGFR</t>
  </si>
  <si>
    <t>CSC, Oncogene signaling, RNA processing</t>
  </si>
  <si>
    <t>Oncogene signaling, Platinum uptake, RNA processing</t>
  </si>
  <si>
    <t>EMT, NF-kB signaling</t>
  </si>
  <si>
    <t>Immune response, Platinum uptake</t>
  </si>
  <si>
    <t>Apoptotic signaling, Immune response, Platinum efflux</t>
  </si>
  <si>
    <t>ECM signaling, Metabolism/Glycolysis</t>
  </si>
  <si>
    <t>Autophagy, lysosomes</t>
  </si>
  <si>
    <t>Notch signaling, WNT signaling</t>
  </si>
  <si>
    <t>Apoptotic signaling, Cell cycle, Oncogene signaling/MAPK, Transcription</t>
  </si>
  <si>
    <t>Cell cycle, EMT, Transcription/Epigenetics</t>
  </si>
  <si>
    <t>Apoptotic signaling, DDR, Platinum efflux, Transcription/Epigenetics</t>
  </si>
  <si>
    <t>Apoptotic signaling, DDR, Oncogene signaling, Transcription/Epigenetics</t>
  </si>
  <si>
    <t>Cell cycle, CSC, p53 signaling</t>
  </si>
  <si>
    <t>Oncogene signaling/EGFR, p53 signaling, Transcription/Epigenetics, Translation</t>
  </si>
  <si>
    <t>NF-kB signaling, Redox</t>
  </si>
  <si>
    <t>Hedgehog signaling, Immune response</t>
  </si>
  <si>
    <t>EMT, NF-kB signaling, Oncogene signaling/PKC, Redox/Glutathione</t>
  </si>
  <si>
    <t>CSC, EMT, Transcription</t>
  </si>
  <si>
    <t>Apoptotic signaling, CSC, DDR, EMT, Transcription</t>
  </si>
  <si>
    <t>Oncogene signaling/EGFR, Oncogene signaling/MAPK</t>
  </si>
  <si>
    <t>Cell cycle, ECM signaling, Oncogene signaling/MAPK</t>
  </si>
  <si>
    <t>CSC, ECM signaling, EMT</t>
  </si>
  <si>
    <t>ECM signaling, EMT</t>
  </si>
  <si>
    <t>CSC, DDR</t>
  </si>
  <si>
    <t>Metabolism/Lipid, Oncogene signaling/FGF, Platinum efflux</t>
  </si>
  <si>
    <t>CSC, Notch signaling</t>
  </si>
  <si>
    <t>DDR/BER, DDR/HR, DDR/NER</t>
  </si>
  <si>
    <t>Cell cycle, CSC, Oncogene signaling, RNA processing</t>
  </si>
  <si>
    <t>CSC, Oncogene signaling, Platinum uptake, RNA processing</t>
  </si>
  <si>
    <t>Immune response, Oncogene signaling/AKT</t>
  </si>
  <si>
    <t>ECM signaling, endocytosis, p53 signaling</t>
  </si>
  <si>
    <t>EMT, Platinum efflux, Transcription, WNT signaling</t>
  </si>
  <si>
    <t>Apoptotic signaling/MAPK, Oncogene signaling/MAPK</t>
  </si>
  <si>
    <t>Apoptotic signaling/MAPK, Immune response, Oncogene signaling/MAPK</t>
  </si>
  <si>
    <t>NF-kB signaling, Oncogene signaling/MAPK</t>
  </si>
  <si>
    <t>Apoptotic signaling/MAPK, DDR, Oncogene signaling/MAPK</t>
  </si>
  <si>
    <t>Apoptotic signaling/MAPK, Oncogene signaling/MAPK, Platinum efflux</t>
  </si>
  <si>
    <t>ECM signaling, Oncogene signaling/MAPK</t>
  </si>
  <si>
    <t>Redox, RNA processing</t>
  </si>
  <si>
    <t>CSC, Translation</t>
  </si>
  <si>
    <t>Apoptotic signaling, Calcium signaling, Metabolism/Glycolysis</t>
  </si>
  <si>
    <t>Apoptotic signaling, NF-kB signaling, Oncogene signaling/AKT</t>
  </si>
  <si>
    <t>Apoptotic signaling, Cell cycle, EMT, Transcription</t>
  </si>
  <si>
    <t>Apoptotic signaling/MMR, DDR/MMR, DDR/NHEJ</t>
  </si>
  <si>
    <t>CSC, WNT signaling</t>
  </si>
  <si>
    <t>ECM signaling, Immune response, Oncogene signaling/EGF_FGF, TGF-β signaling</t>
  </si>
  <si>
    <t>Apoptotic signaling, ECM signaling, EMT, WNT signaling</t>
  </si>
  <si>
    <t>CSC, ECM signaling, Immune response, TGF-β signaling</t>
  </si>
  <si>
    <t>DDR/NER, Oncogene signaling, p53 signaling</t>
  </si>
  <si>
    <t>Apoptotic signaling, Immune response</t>
  </si>
  <si>
    <t>Apoptotic signaling/MMR, DDR/MMR</t>
  </si>
  <si>
    <t>DDR/HR, DDR/MMR</t>
  </si>
  <si>
    <t>ECM signaling, EMT, NF-kB signaling</t>
  </si>
  <si>
    <t>Apoptotic signaling, p53 signaling, WNT signaling</t>
  </si>
  <si>
    <t>NF-kB signaling, Oncogene signaling/AKT</t>
  </si>
  <si>
    <t>Autophagy, mTOR signaling, Oncogene signaling, Translation</t>
  </si>
  <si>
    <t>Autophagy, Metabolism/One carbon, Transcription/Epigenetics</t>
  </si>
  <si>
    <t>ECM signaling, Immune response, NF-kB signaling, Oncogene signaling</t>
  </si>
  <si>
    <t>Apoptotic signaling, ECM signaling, EMT, Immune response</t>
  </si>
  <si>
    <t>Apoptotic signaling, DDR/BER, p53 signaling</t>
  </si>
  <si>
    <t>Immune response, Notch signaling, Oncogene signaling, Platinum efflux</t>
  </si>
  <si>
    <t>Cell cycle, MYC signaling</t>
  </si>
  <si>
    <t>CSC, EMT, Immune response, NF-kB signaling</t>
  </si>
  <si>
    <t>CSC, DDR/NER, EMT, Transcription</t>
  </si>
  <si>
    <t>Autophagy, EMT, ER stress response, Transcription</t>
  </si>
  <si>
    <t>TGF-β signaling, Transcription</t>
  </si>
  <si>
    <t>Cell cycle, ECM signaling, NF-kB signaling, Oncogene signaling</t>
  </si>
  <si>
    <t>Apoptotic signaling, Immune response, Metabolism/OXPHOS</t>
  </si>
  <si>
    <t>Oncogene signaling, ubiquitin</t>
  </si>
  <si>
    <t>TGF-β signaling, ubiquitin</t>
  </si>
  <si>
    <t>Cell cycle, Oncogene signaling, ubiquitin</t>
  </si>
  <si>
    <t>Cell cycle, CSC, EMT, Oncogene signaling, Redox</t>
  </si>
  <si>
    <t>Oncogene signaling, PKA signaling</t>
  </si>
  <si>
    <t>Hippo signaling, Oncogene signaling</t>
  </si>
  <si>
    <t>Platinum efflux, Redox, Transcription</t>
  </si>
  <si>
    <t>Metabolism/Lipid, Metabolism/OXPHOS, NF-kB signaling, Oncogene signaling</t>
  </si>
  <si>
    <t>Oncogene signaling/VEGF, Platinum efflux, Redox</t>
  </si>
  <si>
    <t>Apoptotic signaling, Oncogene signaling/PKG, p53 signaling, Redox</t>
  </si>
  <si>
    <t>CSC, Notch signaling, WNT signaling</t>
  </si>
  <si>
    <t>Calcium signaling, Oncogene signaling/AKT, Redox</t>
  </si>
  <si>
    <t>DDR/BER, p53 signaling</t>
  </si>
  <si>
    <t>Apoptotic signaling, Apoptotic signaling/MAPK</t>
  </si>
  <si>
    <t>Oncogene signaling/MAPK, WNT signaling</t>
  </si>
  <si>
    <t>Cell cycle, Transcription/Epigenetics</t>
  </si>
  <si>
    <t>Apoptotic signaling, Calcium signaling, PKA signaling</t>
  </si>
  <si>
    <t>Apoptotic signaling, Oncogene signaling/MAPK, WNT signaling</t>
  </si>
  <si>
    <t>actin cytoskeleton, EMT</t>
  </si>
  <si>
    <t>DDR, Oncogene signaling/MAPK, Redox</t>
  </si>
  <si>
    <t>Oncogene signaling/AKT, p53 signaling, Redox</t>
  </si>
  <si>
    <t>CSC, Oncogene signaling/AKT</t>
  </si>
  <si>
    <t>DDR, DDR/TLS</t>
  </si>
  <si>
    <t>Apoptotic signaling, Oncogene signaling, Translation</t>
  </si>
  <si>
    <t>Chaperone, Detox, ER stress response</t>
  </si>
  <si>
    <t>Hypoxia signaling, Metabolism/Glycolysis, Oncogene signaling/EGFR</t>
  </si>
  <si>
    <t>Apoptotic signaling, Oncogene signaling/AKT, Oncogene signaling/MAPK</t>
  </si>
  <si>
    <t>EMT, Immune response, Oncogene signaling/AKT, Platinum efflux</t>
  </si>
  <si>
    <t>AMPK signaling, Hypoxia signaling, Metabolism/Glycolysis</t>
  </si>
  <si>
    <t>Chaperone, DDR, Metabolism/Glycolysis</t>
  </si>
  <si>
    <t>Autophagy, Hormone receptor signaling, Platinum efflux</t>
  </si>
  <si>
    <t>Cell cycle, Chaperone, p53 signaling</t>
  </si>
  <si>
    <t>Metabolism/amino acid, Redox, Redox/Glutathione</t>
  </si>
  <si>
    <t>Apoptotic signaling, Immune response, MYC signaling</t>
  </si>
  <si>
    <t>Apoptotic signaling, MYC signaling</t>
  </si>
  <si>
    <t>Autophagy, NF-kB signaling</t>
  </si>
  <si>
    <t>Apoptotic signaling, Metabolism/Glycolysis, Metabolism/PPP, Redox</t>
  </si>
  <si>
    <t>Autophagy, Cell cycle, DDR</t>
  </si>
  <si>
    <t>Apoptotic signaling, Cell cycle, p53 signaling</t>
  </si>
  <si>
    <t>DDR/BER, DDR/NHEJ</t>
  </si>
  <si>
    <t>DDR, DDR/BER, DDR/TLS</t>
  </si>
  <si>
    <t>ECM signaling, ECM/stroma, WNT signaling</t>
  </si>
  <si>
    <t>Metabolism/OXPHOS, mitochondria/synthesis</t>
  </si>
  <si>
    <t>ECM signaling, Oncogene signaling/AKT</t>
  </si>
  <si>
    <t>DDR, p53 signaling</t>
  </si>
  <si>
    <t>AMPK signaling, Autophagy</t>
  </si>
  <si>
    <t>AMPK signaling, DDR</t>
  </si>
  <si>
    <t>AMPK signaling, Metabolism/Glycolysis, Metabolism/OXPHOS, p53 signaling</t>
  </si>
  <si>
    <t>Apoptotic signaling/PKC, Oncogene signaling/PKC</t>
  </si>
  <si>
    <t>Cell cycle, DDR/HR, DDR/NHEJ</t>
  </si>
  <si>
    <t>CSC, Hippo signaling, Oncogene signaling/MAPK, PKA signaling</t>
  </si>
  <si>
    <t>NF-kB signaling, RNA processing</t>
  </si>
  <si>
    <t>CSC, ECM signaling, Notch signaling, WNT signaling</t>
  </si>
  <si>
    <t>ECM signaling, Oncogene signaling/MAPK, proteasome</t>
  </si>
  <si>
    <t>ECM signaling, Immune response, PKA signaling</t>
  </si>
  <si>
    <t>Hedgehog signaling, PKA signaling, Platinum efflux, WNT signaling</t>
  </si>
  <si>
    <t>Immune response, Oncogene signaling, Platinum efflux, WNT signaling</t>
  </si>
  <si>
    <t>endocytosis, Platinum uptake</t>
  </si>
  <si>
    <t>Hypoxia signaling, Platinum efflux</t>
  </si>
  <si>
    <t>endocytosis, exocytosis, Platinum efflux</t>
  </si>
  <si>
    <t>DDR/FA, DDR/HR</t>
  </si>
  <si>
    <t>DDR/DNA replication, DDR/HR</t>
  </si>
  <si>
    <t>Apoptotic signaling, DDR, Hippo signaling</t>
  </si>
  <si>
    <t>Apoptotic signaling/DR, Oncogene signaling/MAPK, RNA processing</t>
  </si>
  <si>
    <t>RNA processing, WNT signaling</t>
  </si>
  <si>
    <t>Apoptotic signaling, Hypoxia signaling, NF-kB signaling</t>
  </si>
  <si>
    <t>DDR, ECM signaling</t>
  </si>
  <si>
    <t>Apoptotic signaling/DR, NF-kB signaling</t>
  </si>
  <si>
    <t>Cell cycle, DDR/DNA replication, Oncogene signaling/MAPK, Transcription/Epigenetics</t>
  </si>
  <si>
    <t>NF-kB signaling, WNT signaling</t>
  </si>
  <si>
    <t>ECM signaling, Immune response, TGF-β signaling, Transcription</t>
  </si>
  <si>
    <t>Oncogene signaling/AKT, Translation</t>
  </si>
  <si>
    <t>Cell cycle, p53 signaling, Translation</t>
  </si>
  <si>
    <t>mTOR signaling, Translation</t>
  </si>
  <si>
    <t>mTOR signaling, Oncogene signaling/MAPK, Translation</t>
  </si>
  <si>
    <t>Oncogene signaling, Translation</t>
  </si>
  <si>
    <t>DDR/nucleotide synthesis, Redox/Glutathione</t>
  </si>
  <si>
    <t>Immune response, TGF-β signaling</t>
  </si>
  <si>
    <t>Hippo signaling, Immune response, NF-kB signaling</t>
  </si>
  <si>
    <t>CSC, ECM signaling, p53 signaling</t>
  </si>
  <si>
    <t>DDR/HR, DDR/NHEJ, ECM signaling, EMT</t>
  </si>
  <si>
    <t>Immune response, Redox</t>
  </si>
  <si>
    <t>DDR/HR, Metabolism/OXPHOS</t>
  </si>
  <si>
    <t>ECM signaling, Immune response, Oncogene signaling</t>
  </si>
  <si>
    <t>Apoptotic signaling, Metabolism/OXPHOS, Redox</t>
  </si>
  <si>
    <t>CSC, Hypoxia signaling</t>
  </si>
  <si>
    <t>mTOR signaling, Redox</t>
  </si>
  <si>
    <t>Apoptotic signaling/MMR, Transcription, WNT signaling</t>
  </si>
  <si>
    <t>DDR, Oncogene signaling, p53 signaling</t>
  </si>
  <si>
    <t>CSC, NF-kB signaling, WNT signaling</t>
  </si>
  <si>
    <t>Apoptotic signaling, p53 signaling, Redox</t>
  </si>
  <si>
    <t>TGF-β signaling, WNT signaling</t>
  </si>
  <si>
    <t>Oncogene signaling/AKT, PKA signaling</t>
  </si>
  <si>
    <t>DDR, p53 signaling, Redox</t>
  </si>
  <si>
    <t>Apoptotic signaling, EMT, TGF-β signaling, Transcription/Epigenetics</t>
  </si>
  <si>
    <t>DDR/nucleotide synthesis, Metabolism/One carbon</t>
  </si>
  <si>
    <t>Metabolism/Lipid, Metabolism/OXPHOS, Redox</t>
  </si>
  <si>
    <t>Metabolism/Lipid, Platinum efflux, Transcription</t>
  </si>
  <si>
    <t>ECM signaling, mTOR signaling, Redox/Glutathione</t>
  </si>
  <si>
    <t>Platinum uptake, Redox</t>
  </si>
  <si>
    <t>Platinum efflux, Redox/Glutathione</t>
  </si>
  <si>
    <t>Metabolism/amino acid, mTOR signaling</t>
  </si>
  <si>
    <t>DDR, Transcription/Epigenetics</t>
  </si>
  <si>
    <t>DDR, Oncogene signaling, Redox, Transcription/Epigenetics</t>
  </si>
  <si>
    <t>Cell cycle, Hormone receptor signaling, Platinum efflux, Transcription/Epigenetics</t>
  </si>
  <si>
    <t>Autophagy, Transcription, WNT signaling</t>
  </si>
  <si>
    <t>Cell cycle, ECM signaling, EMT, Oncogene signaling</t>
  </si>
  <si>
    <t>CSC, Redox, WNT signaling</t>
  </si>
  <si>
    <t>Apoptotic signaling, ECM signaling, p53 signaling</t>
  </si>
  <si>
    <t>Autophagy, NF-kB signaling, Redox</t>
  </si>
  <si>
    <t>ECM signaling, EMT, Oncogene signaling/AKT</t>
  </si>
  <si>
    <t>Metabolism/cholesterol, Transcription</t>
  </si>
  <si>
    <t>Apoptotic signaling/DR, Glycosylation, Oncogene signaling</t>
  </si>
  <si>
    <t>Hypoxia signaling, Immune response, Transcription</t>
  </si>
  <si>
    <t>Apoptotic signaling, Calcium signaling, Oncogene signaling</t>
  </si>
  <si>
    <t>AMPK signaling, Apoptotic signaling, p53 signaling</t>
  </si>
  <si>
    <t>Apoptotic signaling, Detox, Redox</t>
  </si>
  <si>
    <t>Autophagy, CSC, Notch signaling</t>
  </si>
  <si>
    <t>Apoptotic signaling/MAPK, p53 signaling, TGF-β signaling</t>
  </si>
  <si>
    <t>NF-kB signaling, TGF-β signaling</t>
  </si>
  <si>
    <t>Cell cycle, EMT, WNT signaling</t>
  </si>
  <si>
    <t>CSC, Hippo signaling</t>
  </si>
  <si>
    <t>CSC, DDR/telomere</t>
  </si>
  <si>
    <t>CSC, DDR/direct repair, EMT, Hypoxia signaling, Transcription/Epigenetics</t>
  </si>
  <si>
    <t>DDR, Immune response, TGF-β signaling, Transcription/Epigenetics</t>
  </si>
  <si>
    <t>Metabolism/OXPHOS, mitochondria/DNA</t>
  </si>
  <si>
    <t>endocytosis, Hypoxia signaling, Platinum uptake</t>
  </si>
  <si>
    <t>CSC, TGF-β signaling</t>
  </si>
  <si>
    <t>Oncogene signaling/AKT, TGF-β signaling</t>
  </si>
  <si>
    <t>ECM signaling, EMT, Hypoxia signaling, NF-kB signaling</t>
  </si>
  <si>
    <t>Apoptotic signaling, ECM signaling, ER stress response, TGF-β signaling</t>
  </si>
  <si>
    <t>DDR/nucleotide synthesis, Metabolism/Glycolysis, Metabolism/PPP, Redox</t>
  </si>
  <si>
    <t>DDR, WNT signaling</t>
  </si>
  <si>
    <t>EMT, Immune response, Transcription, WNT signaling</t>
  </si>
  <si>
    <t>Calcium signaling, Metabolism/Lipid, Oncogene signaling/PKC</t>
  </si>
  <si>
    <t>CSC, Immune response, NF-kB signaling</t>
  </si>
  <si>
    <t>Autophagy, Immune response, NF-kB signaling</t>
  </si>
  <si>
    <t>Autophagy, NF-kB signaling, Platinum efflux</t>
  </si>
  <si>
    <t>DDR/HR, DDR/NHEJ, Oncogene signaling/AKT</t>
  </si>
  <si>
    <t>Apoptotic signaling, DDR, Oncogene signaling</t>
  </si>
  <si>
    <t>Apoptotic signaling, CSC, mTOR signaling, Notch signaling, p53 signaling</t>
  </si>
  <si>
    <t>ER stress response, Immune response</t>
  </si>
  <si>
    <t>Chaperone, Immune response, Metabolism/OXPHOS</t>
  </si>
  <si>
    <t>Cell cycle, DDR, Oncogene signaling</t>
  </si>
  <si>
    <t>Apoptotic signaling, Immune response, Redox, ubiquitin</t>
  </si>
  <si>
    <t>Apoptotic signaling/DR, Oncogene signaling</t>
  </si>
  <si>
    <t>CSC, EMT, Oncogene signaling/AKT</t>
  </si>
  <si>
    <t>Hypoxia signaling, Redox, TGF-β signaling</t>
  </si>
  <si>
    <t>Autophagy, mTOR signaling, Redox</t>
  </si>
  <si>
    <t>Apoptotic signaling, DDR/HR, ubiquitin</t>
  </si>
  <si>
    <t>Cell cycle, Hypoxia signaling, ubiquitin</t>
  </si>
  <si>
    <t>Apoptotic signaling, ubiquitin</t>
  </si>
  <si>
    <t>Apoptotic signaling/ceramide, Glycosylation, Platinum efflux</t>
  </si>
  <si>
    <t>DDR, DDR/BER, Redox</t>
  </si>
  <si>
    <t>Apoptotic signaling, mTOR signaling</t>
  </si>
  <si>
    <t>DDR/FA, ubiquitin</t>
  </si>
  <si>
    <t>DDR, MYC signaling, Transcription</t>
  </si>
  <si>
    <t>Immune response, ubiquitin</t>
  </si>
  <si>
    <t>Autophagy, DDR/NER</t>
  </si>
  <si>
    <t>ECM signaling, NF-kB signaling</t>
  </si>
  <si>
    <t>Apoptosis, OXPHOS</t>
  </si>
  <si>
    <t>Hypoxia signaling, Oncogene signaling/VEGF, WNT signaling</t>
  </si>
  <si>
    <t>Hypoxia signaling, p53 signaling</t>
  </si>
  <si>
    <t>DDR, ubiquitin</t>
  </si>
  <si>
    <t>CSC, DDR/HR, EMT, TGF-β signaling</t>
  </si>
  <si>
    <t>Apoptosis, NF-kB signaling</t>
  </si>
  <si>
    <t>Cell cycle, NF-kB signaling, Nuclear export, p53 signaling</t>
  </si>
  <si>
    <t>DDR/BER, DDR/HR</t>
  </si>
  <si>
    <t>EMT, Hippo signaling, TGF-β signaling, WNT signaling</t>
  </si>
  <si>
    <t>NF-kB signaling, Redox, Translation, WNT signaling</t>
  </si>
  <si>
    <t>EMT, Oncogene signaling/AKT, TGF-β signaling, WNT signaling</t>
  </si>
  <si>
    <t>DDR, Oncogene signaling/AKT, Platinum efflux, TGF-β signaling</t>
  </si>
  <si>
    <t>Apoptotic signaling, DDR/NHEJ, Immune response, TGF-β signaling</t>
  </si>
  <si>
    <t>CSC, EMT, Redox/Glutathione, Transcription</t>
  </si>
  <si>
    <t>Apoptotic signaling, DDR, Transcription</t>
  </si>
  <si>
    <t>MYC signaling, Transcription</t>
  </si>
  <si>
    <r>
      <t>Putative mechanism associated with Pt-resistance</t>
    </r>
    <r>
      <rPr>
        <b/>
        <vertAlign val="superscript"/>
        <sz val="16"/>
        <color theme="1"/>
        <rFont val="Calibri"/>
        <family val="2"/>
        <scheme val="minor"/>
      </rPr>
      <t>a</t>
    </r>
  </si>
  <si>
    <t>critical downstream regulatory target in the Hippo signaling pathway that restricts proliferation and promoting apoptosis</t>
  </si>
  <si>
    <t>Converts arachidonate to prostaglandin H2 (hormone PGH2), a committed step in prostanoid synthesis. PTGS2 is responsible for production of inflammatory prostaglandins.</t>
  </si>
  <si>
    <t>cell line; patient tissue</t>
  </si>
  <si>
    <t>cell line; clinical outcome; patient tissue</t>
  </si>
  <si>
    <t>cell line; clinical outcome; patient tissue; xenograft</t>
  </si>
  <si>
    <t>cell line; xenograft</t>
  </si>
  <si>
    <t>patient tissue; xenograft</t>
  </si>
  <si>
    <t>clinical outcome; patient tissue</t>
  </si>
  <si>
    <t>patient tissue</t>
  </si>
  <si>
    <t>cell line; patient tissue; xenograft</t>
  </si>
  <si>
    <t>cell line; clinical outcome</t>
  </si>
  <si>
    <t>cell line; clinical outcome; data mining</t>
  </si>
  <si>
    <t>cell line; clinical outcome; xenograft</t>
  </si>
  <si>
    <t>clinical outcome; patient tissue; xenograft</t>
  </si>
  <si>
    <t>chicken tissue; clinical outcome; patient tissue</t>
  </si>
  <si>
    <t>cell line; clinical outcome; database; xenograft</t>
  </si>
  <si>
    <t>cell line; cell line; clinical outcome; xenograft</t>
  </si>
  <si>
    <t>3D-cell line; clinical outcome; patient tissue</t>
  </si>
  <si>
    <t>cell line; patient tissue; TCGA data analysis</t>
  </si>
  <si>
    <t>Yes</t>
  </si>
  <si>
    <r>
      <t>Druggable</t>
    </r>
    <r>
      <rPr>
        <b/>
        <vertAlign val="superscript"/>
        <sz val="16"/>
        <color theme="1"/>
        <rFont val="Calibri (Body)"/>
      </rPr>
      <t>f</t>
    </r>
  </si>
  <si>
    <t>DEPHOS/out of nuclear</t>
  </si>
  <si>
    <t>DOWN/Methylation/UNKNOWN</t>
  </si>
  <si>
    <t>DOWN/UP/cytoplasm</t>
  </si>
  <si>
    <t>DOWN/PHOS/LOW-ACETYL</t>
  </si>
  <si>
    <t>UP in S/UNCHANGED in R/DEACETYL/DEPHOS</t>
  </si>
  <si>
    <t>DOWN/UP/CYTOPLASTIC</t>
  </si>
  <si>
    <t>DOWN/UP (AS in GSL2)/UP in OC cells (IGROV1)</t>
  </si>
  <si>
    <t>DOWN/UP/Ub</t>
  </si>
  <si>
    <t>DOWN/UP/PHOS/acetylated in S</t>
  </si>
  <si>
    <t>DOWN/UP/stroma immune cells/cancer cells</t>
  </si>
  <si>
    <t>DOWN/UP/DEPHOS/mutation</t>
  </si>
  <si>
    <t>Acetylation/PHOS</t>
  </si>
  <si>
    <t>DOWN in S; UNCHANGED in R</t>
  </si>
  <si>
    <t>DOWN in S; INCREASED in R</t>
  </si>
  <si>
    <t>Long-term PHOS in S; short-term PHOS in R</t>
  </si>
  <si>
    <t>PHOS/DEPHOS</t>
  </si>
  <si>
    <t>Ub/UPR</t>
  </si>
  <si>
    <t>UNCHANGED in S; UP in R</t>
  </si>
  <si>
    <t>UNCHANGED/nuclear localization of IL8RA</t>
  </si>
  <si>
    <t>UP in S; DOWN in 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</si>
</sst>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1"/>
      <color rgb="FFFF0000"/>
      <name val="Calibri"/>
      <family val="2"/>
      <scheme val="minor"/>
    </font>
    <font>
      <b/>
      <sz val="11"/>
      <color theme="1"/>
      <name val="Calibri"/>
      <family val="2"/>
      <scheme val="minor"/>
    </font>
    <font>
      <sz val="10"/>
      <color indexed="8"/>
      <name val="Arial"/>
      <family val="2"/>
    </font>
    <font>
      <u/>
      <sz val="11"/>
      <color theme="10"/>
      <name val="Calibri"/>
      <family val="2"/>
      <scheme val="minor"/>
    </font>
    <font>
      <b/>
      <sz val="16"/>
      <color theme="1"/>
      <name val="Calibri"/>
      <family val="2"/>
      <scheme val="minor"/>
    </font>
    <font>
      <sz val="11"/>
      <color indexed="8"/>
      <name val="Calibri"/>
      <family val="2"/>
      <scheme val="minor"/>
    </font>
    <font>
      <sz val="12"/>
      <name val="Calibri"/>
      <family val="2"/>
      <scheme val="minor"/>
    </font>
    <font>
      <sz val="11"/>
      <name val="Calibri"/>
      <family val="2"/>
      <scheme val="minor"/>
    </font>
    <font>
      <sz val="11"/>
      <color rgb="FF333333"/>
      <name val="Calibri"/>
      <family val="2"/>
      <scheme val="minor"/>
    </font>
    <font>
      <b/>
      <sz val="12"/>
      <color theme="1"/>
      <name val="Calibri"/>
      <family val="2"/>
      <scheme val="minor"/>
    </font>
    <font>
      <b/>
      <sz val="11"/>
      <color rgb="FF000000"/>
      <name val="Calibri"/>
      <family val="2"/>
      <scheme val="minor"/>
    </font>
    <font>
      <i/>
      <sz val="11"/>
      <color theme="1"/>
      <name val="Calibri"/>
      <family val="2"/>
      <scheme val="minor"/>
    </font>
    <font>
      <b/>
      <sz val="12"/>
      <name val="Calibri"/>
      <family val="2"/>
      <scheme val="minor"/>
    </font>
    <font>
      <sz val="11"/>
      <color rgb="FF000000"/>
      <name val="Calibri"/>
      <family val="2"/>
      <scheme val="minor"/>
    </font>
    <font>
      <b/>
      <sz val="11"/>
      <color rgb="FF333333"/>
      <name val="Calibri"/>
      <family val="2"/>
      <scheme val="minor"/>
    </font>
    <font>
      <u/>
      <sz val="11"/>
      <color theme="1"/>
      <name val="Calibri"/>
      <family val="2"/>
      <scheme val="minor"/>
    </font>
    <font>
      <b/>
      <sz val="11"/>
      <name val="Calibri"/>
      <family val="2"/>
      <scheme val="minor"/>
    </font>
    <font>
      <b/>
      <i/>
      <sz val="11"/>
      <color theme="1"/>
      <name val="Calibri"/>
      <family val="2"/>
      <scheme val="minor"/>
    </font>
    <font>
      <b/>
      <sz val="16"/>
      <color indexed="8"/>
      <name val="Calibri"/>
      <family val="2"/>
      <scheme val="minor"/>
    </font>
    <font>
      <b/>
      <sz val="11"/>
      <color indexed="8"/>
      <name val="Calibri"/>
      <family val="2"/>
      <scheme val="minor"/>
    </font>
    <font>
      <u/>
      <sz val="11"/>
      <color rgb="FF333333"/>
      <name val="Calibri"/>
      <family val="2"/>
      <scheme val="minor"/>
    </font>
    <font>
      <sz val="11"/>
      <name val="Arial"/>
      <family val="2"/>
    </font>
    <font>
      <b/>
      <vertAlign val="superscript"/>
      <sz val="16"/>
      <color theme="1"/>
      <name val="Calibri"/>
      <family val="2"/>
      <scheme val="minor"/>
    </font>
    <font>
      <b/>
      <sz val="10"/>
      <color rgb="FF000000"/>
      <name val="Calibri"/>
      <family val="2"/>
    </font>
    <font>
      <sz val="10"/>
      <color rgb="FF000000"/>
      <name val="Calibri"/>
      <family val="2"/>
    </font>
    <font>
      <sz val="11"/>
      <color rgb="FF231E1E"/>
      <name val="Calibri"/>
      <family val="2"/>
      <scheme val="minor"/>
    </font>
    <font>
      <sz val="11"/>
      <color rgb="FF444444"/>
      <name val="Calibri"/>
      <family val="2"/>
      <scheme val="minor"/>
    </font>
    <font>
      <sz val="11"/>
      <color rgb="FF222222"/>
      <name val="Calibri"/>
      <family val="2"/>
      <scheme val="minor"/>
    </font>
    <font>
      <b/>
      <vertAlign val="superscript"/>
      <sz val="16"/>
      <color theme="1"/>
      <name val="Calibri (Body)"/>
    </font>
  </fonts>
  <fills count="4">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right style="thin">
        <color indexed="64"/>
      </right>
      <top style="thin">
        <color indexed="64"/>
      </top>
      <bottom/>
      <diagonal/>
    </border>
    <border>
      <left/>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indexed="64"/>
      </right>
      <top style="thin">
        <color indexed="64"/>
      </top>
      <bottom/>
      <diagonal/>
    </border>
  </borders>
  <cellStyleXfs count="4">
    <xf numFmtId="0" fontId="0" fillId="0" borderId="0"/>
    <xf numFmtId="0" fontId="3" fillId="0" borderId="0"/>
    <xf numFmtId="0" fontId="4" fillId="0" borderId="0" applyNumberFormat="0" applyFill="0" applyBorder="0" applyAlignment="0" applyProtection="0"/>
    <xf numFmtId="0" fontId="3" fillId="0" borderId="0"/>
  </cellStyleXfs>
  <cellXfs count="121">
    <xf numFmtId="0" fontId="0" fillId="0" borderId="0" xfId="0"/>
    <xf numFmtId="0" fontId="0" fillId="0" borderId="0" xfId="0" applyAlignment="1">
      <alignment horizontal="center" vertical="center"/>
    </xf>
    <xf numFmtId="0" fontId="5" fillId="2" borderId="1" xfId="0" applyFont="1" applyFill="1" applyBorder="1" applyAlignment="1">
      <alignment horizontal="left" vertical="center" wrapText="1"/>
    </xf>
    <xf numFmtId="0" fontId="6" fillId="0" borderId="1" xfId="1" applyFont="1" applyBorder="1" applyAlignment="1">
      <alignment horizontal="left" vertical="center"/>
    </xf>
    <xf numFmtId="0" fontId="7" fillId="0" borderId="1" xfId="2" applyFont="1" applyBorder="1" applyAlignment="1">
      <alignment horizontal="center" vertical="center" wrapText="1"/>
    </xf>
    <xf numFmtId="0" fontId="9" fillId="0" borderId="1" xfId="0" applyFont="1" applyBorder="1" applyAlignment="1">
      <alignment horizontal="left" vertical="center" wrapText="1"/>
    </xf>
    <xf numFmtId="0" fontId="6" fillId="0" borderId="1" xfId="3" applyFont="1" applyBorder="1" applyAlignment="1">
      <alignment horizontal="left" vertical="center" wrapText="1"/>
    </xf>
    <xf numFmtId="0" fontId="0" fillId="0" borderId="0" xfId="0" applyAlignment="1">
      <alignment vertical="center"/>
    </xf>
    <xf numFmtId="0" fontId="0" fillId="0" borderId="0" xfId="0" applyAlignment="1">
      <alignment horizontal="left" vertical="center"/>
    </xf>
    <xf numFmtId="0" fontId="8" fillId="0" borderId="1" xfId="0" applyFont="1" applyBorder="1" applyAlignment="1">
      <alignment horizontal="left" vertical="center" wrapText="1"/>
    </xf>
    <xf numFmtId="0" fontId="0" fillId="0" borderId="0" xfId="0" applyAlignment="1">
      <alignment vertical="center" wrapText="1"/>
    </xf>
    <xf numFmtId="0" fontId="9" fillId="0" borderId="10" xfId="0" applyFont="1" applyBorder="1" applyAlignment="1">
      <alignment horizontal="left" vertical="center" wrapText="1"/>
    </xf>
    <xf numFmtId="0" fontId="8" fillId="0" borderId="10" xfId="0" applyFont="1" applyBorder="1" applyAlignment="1">
      <alignment vertical="center" wrapText="1"/>
    </xf>
    <xf numFmtId="0" fontId="9" fillId="0" borderId="3" xfId="0" applyFont="1" applyBorder="1" applyAlignment="1">
      <alignment horizontal="left" vertical="center" wrapText="1"/>
    </xf>
    <xf numFmtId="0" fontId="5" fillId="2" borderId="3" xfId="0" applyFont="1" applyFill="1" applyBorder="1" applyAlignment="1">
      <alignment vertical="center" wrapText="1"/>
    </xf>
    <xf numFmtId="0" fontId="6" fillId="0" borderId="3" xfId="1" applyFont="1" applyBorder="1" applyAlignment="1">
      <alignment horizontal="left" vertical="center" wrapText="1"/>
    </xf>
    <xf numFmtId="0" fontId="8" fillId="0" borderId="3" xfId="0" applyFont="1" applyBorder="1" applyAlignment="1">
      <alignment horizontal="left" vertical="center" wrapText="1"/>
    </xf>
    <xf numFmtId="0" fontId="2" fillId="0" borderId="3" xfId="0" applyFont="1" applyBorder="1" applyAlignment="1">
      <alignment vertical="center" wrapText="1"/>
    </xf>
    <xf numFmtId="0" fontId="6" fillId="0" borderId="1" xfId="1" applyFont="1" applyBorder="1" applyAlignment="1">
      <alignment horizontal="left" vertical="center" wrapText="1"/>
    </xf>
    <xf numFmtId="0" fontId="13" fillId="0" borderId="1" xfId="2" applyFont="1" applyBorder="1" applyAlignment="1">
      <alignment horizontal="center" vertical="center"/>
    </xf>
    <xf numFmtId="0" fontId="13" fillId="0" borderId="1" xfId="0" applyFont="1" applyBorder="1" applyAlignment="1">
      <alignment horizontal="center" vertical="center"/>
    </xf>
    <xf numFmtId="0" fontId="0" fillId="0" borderId="0" xfId="0" applyAlignment="1">
      <alignment horizontal="center" vertical="center" wrapText="1"/>
    </xf>
    <xf numFmtId="0" fontId="19" fillId="2" borderId="12" xfId="1" applyFont="1" applyFill="1" applyBorder="1" applyAlignment="1">
      <alignment horizontal="center" vertical="center" wrapText="1"/>
    </xf>
    <xf numFmtId="0" fontId="0" fillId="0" borderId="3" xfId="0" applyBorder="1" applyAlignment="1">
      <alignment vertical="center" wrapText="1"/>
    </xf>
    <xf numFmtId="0" fontId="10" fillId="0" borderId="0" xfId="0" applyFont="1" applyAlignment="1">
      <alignment horizontal="center" vertical="center"/>
    </xf>
    <xf numFmtId="0" fontId="5" fillId="2" borderId="7" xfId="0" applyFont="1" applyFill="1" applyBorder="1" applyAlignment="1">
      <alignment vertical="center" wrapText="1"/>
    </xf>
    <xf numFmtId="0" fontId="0" fillId="0" borderId="0" xfId="0" applyAlignment="1">
      <alignment horizontal="left"/>
    </xf>
    <xf numFmtId="0" fontId="5" fillId="2" borderId="11" xfId="0" applyFont="1" applyFill="1" applyBorder="1" applyAlignment="1">
      <alignment horizontal="left" vertical="center" wrapText="1"/>
    </xf>
    <xf numFmtId="0" fontId="0" fillId="0" borderId="1" xfId="0" applyBorder="1" applyAlignment="1">
      <alignment horizontal="left" vertical="center" wrapText="1"/>
    </xf>
    <xf numFmtId="0" fontId="8" fillId="0" borderId="11" xfId="0" applyFont="1" applyBorder="1" applyAlignment="1">
      <alignment horizontal="left" vertical="center" wrapText="1"/>
    </xf>
    <xf numFmtId="0" fontId="0" fillId="0" borderId="1" xfId="0" applyBorder="1" applyAlignment="1">
      <alignment vertical="center" wrapText="1"/>
    </xf>
    <xf numFmtId="0" fontId="0" fillId="0" borderId="11" xfId="0" applyBorder="1" applyAlignment="1">
      <alignment horizontal="left" vertical="center" wrapText="1"/>
    </xf>
    <xf numFmtId="0" fontId="6" fillId="0" borderId="10" xfId="3" applyFont="1" applyBorder="1" applyAlignment="1">
      <alignment horizontal="left" vertical="center" wrapText="1"/>
    </xf>
    <xf numFmtId="0" fontId="12" fillId="0" borderId="1" xfId="0" applyFont="1" applyBorder="1" applyAlignment="1">
      <alignment horizontal="center" vertical="center" wrapText="1"/>
    </xf>
    <xf numFmtId="0" fontId="8" fillId="0" borderId="3" xfId="0" applyFont="1" applyBorder="1" applyAlignment="1">
      <alignment horizontal="left" vertical="center"/>
    </xf>
    <xf numFmtId="0" fontId="8" fillId="0" borderId="3" xfId="1" applyFont="1" applyBorder="1" applyAlignment="1">
      <alignment horizontal="left" vertical="center"/>
    </xf>
    <xf numFmtId="0" fontId="22" fillId="0" borderId="11" xfId="0" applyFont="1" applyBorder="1" applyAlignment="1">
      <alignment horizontal="left" vertical="center"/>
    </xf>
    <xf numFmtId="0" fontId="8" fillId="0" borderId="4" xfId="1" applyFont="1" applyBorder="1" applyAlignment="1">
      <alignment horizontal="left" vertical="center"/>
    </xf>
    <xf numFmtId="0" fontId="8" fillId="0" borderId="3" xfId="3" applyFont="1" applyBorder="1" applyAlignment="1">
      <alignment horizontal="left" vertical="center" wrapText="1"/>
    </xf>
    <xf numFmtId="0" fontId="8" fillId="0" borderId="3" xfId="0" applyFont="1" applyBorder="1" applyAlignment="1">
      <alignment vertical="center" wrapText="1"/>
    </xf>
    <xf numFmtId="0" fontId="8" fillId="0" borderId="3" xfId="0" applyFont="1" applyBorder="1" applyAlignment="1">
      <alignment vertical="center"/>
    </xf>
    <xf numFmtId="0" fontId="8" fillId="0" borderId="13" xfId="1" applyFont="1" applyBorder="1" applyAlignment="1">
      <alignment horizontal="left" vertical="center"/>
    </xf>
    <xf numFmtId="0" fontId="8" fillId="0" borderId="11" xfId="1" applyFont="1" applyBorder="1" applyAlignment="1">
      <alignment horizontal="left" vertical="center"/>
    </xf>
    <xf numFmtId="0" fontId="22" fillId="0" borderId="11" xfId="1" applyFont="1" applyBorder="1" applyAlignment="1">
      <alignment horizontal="left" vertical="center"/>
    </xf>
    <xf numFmtId="0" fontId="22" fillId="0" borderId="2" xfId="1" applyFont="1" applyBorder="1" applyAlignment="1">
      <alignment horizontal="left" vertical="center"/>
    </xf>
    <xf numFmtId="0" fontId="22" fillId="0" borderId="5" xfId="1" applyFont="1" applyBorder="1" applyAlignment="1">
      <alignment horizontal="left" vertical="center"/>
    </xf>
    <xf numFmtId="0" fontId="0" fillId="0" borderId="6" xfId="0" applyBorder="1" applyAlignment="1">
      <alignment horizontal="left" vertical="center" wrapText="1"/>
    </xf>
    <xf numFmtId="0" fontId="0" fillId="0" borderId="11" xfId="0" applyBorder="1" applyAlignment="1">
      <alignment vertical="center" wrapText="1"/>
    </xf>
    <xf numFmtId="0" fontId="8" fillId="0" borderId="1" xfId="2" applyFont="1" applyBorder="1" applyAlignment="1">
      <alignment horizontal="left" vertical="center" wrapText="1"/>
    </xf>
    <xf numFmtId="0" fontId="6" fillId="0" borderId="11" xfId="3" applyFont="1" applyBorder="1" applyAlignment="1">
      <alignment horizontal="left" vertical="center" wrapText="1"/>
    </xf>
    <xf numFmtId="0" fontId="0" fillId="0" borderId="1" xfId="0" applyBorder="1" applyAlignment="1">
      <alignment vertical="center"/>
    </xf>
    <xf numFmtId="0" fontId="0" fillId="0" borderId="1" xfId="0" applyBorder="1" applyAlignment="1">
      <alignment horizontal="left" vertical="top" wrapText="1"/>
    </xf>
    <xf numFmtId="0" fontId="0" fillId="0" borderId="3" xfId="0" applyBorder="1" applyAlignment="1">
      <alignment horizontal="left" vertical="center" wrapText="1"/>
    </xf>
    <xf numFmtId="0" fontId="0" fillId="0" borderId="2" xfId="0" applyBorder="1" applyAlignment="1">
      <alignment horizontal="left" vertical="center" wrapText="1"/>
    </xf>
    <xf numFmtId="0" fontId="0" fillId="0" borderId="0" xfId="0" applyAlignment="1">
      <alignment horizontal="left" vertical="center" wrapText="1"/>
    </xf>
    <xf numFmtId="0" fontId="14" fillId="0" borderId="3" xfId="1" applyFont="1" applyBorder="1" applyAlignment="1">
      <alignment horizontal="left"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3" xfId="0" applyBorder="1" applyAlignment="1">
      <alignment vertical="top" wrapText="1"/>
    </xf>
    <xf numFmtId="0" fontId="8" fillId="0" borderId="1" xfId="2" applyFont="1" applyBorder="1" applyAlignment="1">
      <alignment horizontal="center" vertical="center" wrapText="1"/>
    </xf>
    <xf numFmtId="0" fontId="8" fillId="0" borderId="11" xfId="0" applyFont="1" applyBorder="1" applyAlignment="1">
      <alignment horizontal="center" vertical="center" wrapText="1"/>
    </xf>
    <xf numFmtId="0" fontId="8" fillId="0" borderId="0" xfId="0" applyFont="1" applyAlignment="1">
      <alignment horizontal="center" vertical="center" wrapText="1"/>
    </xf>
    <xf numFmtId="0" fontId="13" fillId="0" borderId="9"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11" xfId="0" applyFont="1" applyBorder="1" applyAlignment="1">
      <alignment horizontal="center" vertical="center"/>
    </xf>
    <xf numFmtId="0" fontId="13" fillId="0" borderId="9" xfId="0" applyFont="1" applyBorder="1" applyAlignment="1">
      <alignment horizontal="center" vertical="center"/>
    </xf>
    <xf numFmtId="0" fontId="5" fillId="2" borderId="1" xfId="0" applyFont="1" applyFill="1" applyBorder="1" applyAlignment="1">
      <alignment horizontal="center" vertical="center" wrapText="1"/>
    </xf>
    <xf numFmtId="0" fontId="0" fillId="0" borderId="14" xfId="0" applyBorder="1" applyAlignment="1">
      <alignment horizontal="left" vertical="center" wrapText="1"/>
    </xf>
    <xf numFmtId="0" fontId="10" fillId="2" borderId="11" xfId="0" applyFont="1" applyFill="1" applyBorder="1" applyAlignment="1">
      <alignment horizontal="center" vertical="center" wrapText="1"/>
    </xf>
    <xf numFmtId="0" fontId="9" fillId="0" borderId="13" xfId="0" applyFont="1" applyBorder="1" applyAlignment="1">
      <alignment horizontal="left" vertical="center" wrapText="1"/>
    </xf>
    <xf numFmtId="0" fontId="14" fillId="0" borderId="1" xfId="3" applyFont="1" applyBorder="1" applyAlignment="1">
      <alignment horizontal="left" vertical="center" wrapText="1"/>
    </xf>
    <xf numFmtId="0" fontId="0" fillId="0" borderId="10" xfId="0" applyBorder="1" applyAlignment="1">
      <alignment horizontal="center" vertical="center"/>
    </xf>
    <xf numFmtId="0" fontId="0" fillId="0" borderId="14" xfId="0" applyBorder="1" applyAlignment="1">
      <alignment horizontal="center" vertical="center"/>
    </xf>
    <xf numFmtId="0" fontId="4" fillId="0" borderId="11" xfId="2" applyBorder="1" applyAlignment="1">
      <alignment horizontal="center" vertical="center" wrapText="1"/>
    </xf>
    <xf numFmtId="0" fontId="0" fillId="0" borderId="10" xfId="0" applyBorder="1" applyAlignment="1">
      <alignment horizontal="left" vertical="center" wrapText="1"/>
    </xf>
    <xf numFmtId="0" fontId="14" fillId="0" borderId="10" xfId="0" applyFont="1" applyBorder="1" applyAlignment="1">
      <alignment horizontal="left" vertical="center" wrapText="1"/>
    </xf>
    <xf numFmtId="0" fontId="15" fillId="0" borderId="10" xfId="0" applyFont="1" applyBorder="1" applyAlignment="1">
      <alignment horizontal="left" vertical="center" wrapText="1"/>
    </xf>
    <xf numFmtId="0" fontId="8" fillId="0" borderId="3" xfId="1" applyFont="1" applyBorder="1" applyAlignment="1">
      <alignment horizontal="left" vertical="center" wrapText="1"/>
    </xf>
    <xf numFmtId="0" fontId="6" fillId="0" borderId="10" xfId="1" applyFont="1" applyBorder="1" applyAlignment="1">
      <alignment horizontal="left" vertical="center" wrapText="1"/>
    </xf>
    <xf numFmtId="0" fontId="0" fillId="0" borderId="10" xfId="0" applyBorder="1" applyAlignment="1">
      <alignment vertical="center" wrapText="1"/>
    </xf>
    <xf numFmtId="0" fontId="9" fillId="0" borderId="0" xfId="0" applyFont="1" applyAlignment="1">
      <alignment horizontal="left" vertical="center" wrapText="1"/>
    </xf>
    <xf numFmtId="0" fontId="8" fillId="0" borderId="13" xfId="0" applyFont="1" applyBorder="1" applyAlignment="1">
      <alignment horizontal="left" vertical="center" wrapText="1"/>
    </xf>
    <xf numFmtId="0" fontId="9" fillId="0" borderId="11" xfId="0" applyFont="1" applyBorder="1" applyAlignment="1">
      <alignment horizontal="left" vertical="center" wrapText="1"/>
    </xf>
    <xf numFmtId="16" fontId="0" fillId="0" borderId="10" xfId="0" quotePrefix="1" applyNumberFormat="1" applyBorder="1" applyAlignment="1">
      <alignment horizontal="left" vertical="center" wrapText="1"/>
    </xf>
    <xf numFmtId="0" fontId="8" fillId="0" borderId="3" xfId="2" applyFont="1" applyBorder="1" applyAlignment="1">
      <alignment horizontal="left" vertical="center" wrapText="1"/>
    </xf>
    <xf numFmtId="0" fontId="8" fillId="0" borderId="10" xfId="2" applyFont="1" applyBorder="1" applyAlignment="1">
      <alignment horizontal="left" vertical="center" wrapText="1"/>
    </xf>
    <xf numFmtId="0" fontId="14" fillId="0" borderId="1" xfId="0" applyFont="1" applyBorder="1" applyAlignment="1">
      <alignment horizontal="left" vertical="center" wrapText="1"/>
    </xf>
    <xf numFmtId="0" fontId="8" fillId="0" borderId="7" xfId="0" applyFont="1" applyBorder="1" applyAlignment="1">
      <alignment horizontal="left" vertical="center" wrapText="1"/>
    </xf>
    <xf numFmtId="0" fontId="26" fillId="0" borderId="1" xfId="0" applyFont="1" applyBorder="1" applyAlignment="1">
      <alignment horizontal="left" vertical="center" wrapText="1"/>
    </xf>
    <xf numFmtId="0" fontId="6" fillId="0" borderId="0" xfId="1" applyFont="1" applyAlignment="1">
      <alignment horizontal="left" vertical="center" wrapText="1"/>
    </xf>
    <xf numFmtId="0" fontId="8" fillId="0" borderId="10" xfId="0" applyFont="1" applyBorder="1" applyAlignment="1">
      <alignment horizontal="left" vertical="center" wrapText="1"/>
    </xf>
    <xf numFmtId="0" fontId="26" fillId="0" borderId="10" xfId="0" applyFont="1" applyBorder="1" applyAlignment="1">
      <alignment horizontal="left" vertical="center" wrapText="1"/>
    </xf>
    <xf numFmtId="0" fontId="8" fillId="0" borderId="4" xfId="0" applyFont="1" applyBorder="1" applyAlignment="1">
      <alignment horizontal="left" vertical="center" wrapText="1"/>
    </xf>
    <xf numFmtId="49" fontId="0" fillId="0" borderId="1" xfId="0" applyNumberFormat="1" applyBorder="1" applyAlignment="1">
      <alignment horizontal="left" vertical="center" wrapText="1"/>
    </xf>
    <xf numFmtId="0" fontId="27" fillId="0" borderId="10" xfId="0" applyFont="1" applyBorder="1" applyAlignment="1">
      <alignment vertical="center"/>
    </xf>
    <xf numFmtId="0" fontId="28" fillId="0" borderId="1" xfId="0" applyFont="1" applyBorder="1" applyAlignment="1">
      <alignment vertical="center" wrapText="1"/>
    </xf>
    <xf numFmtId="0" fontId="14" fillId="0" borderId="11" xfId="0" applyFont="1" applyBorder="1" applyAlignment="1">
      <alignment horizontal="left" vertical="center" wrapText="1"/>
    </xf>
    <xf numFmtId="0" fontId="0" fillId="0" borderId="15" xfId="0" applyBorder="1" applyAlignment="1">
      <alignment horizontal="left" vertical="center" wrapText="1"/>
    </xf>
    <xf numFmtId="0" fontId="0" fillId="0" borderId="11" xfId="0" applyBorder="1" applyAlignment="1">
      <alignment vertical="center"/>
    </xf>
    <xf numFmtId="0" fontId="8" fillId="0" borderId="11" xfId="2" applyFont="1" applyBorder="1" applyAlignment="1">
      <alignment horizontal="left" vertical="center" wrapText="1"/>
    </xf>
    <xf numFmtId="0" fontId="14" fillId="0" borderId="11" xfId="3" applyFont="1" applyBorder="1" applyAlignment="1">
      <alignment horizontal="left" vertical="center" wrapText="1"/>
    </xf>
    <xf numFmtId="0" fontId="28" fillId="0" borderId="11" xfId="0" applyFont="1" applyBorder="1" applyAlignment="1">
      <alignment vertical="center" wrapText="1"/>
    </xf>
    <xf numFmtId="0" fontId="0" fillId="0" borderId="11" xfId="0" applyBorder="1" applyAlignment="1">
      <alignment horizontal="left" vertical="top" wrapText="1"/>
    </xf>
    <xf numFmtId="0" fontId="5" fillId="2" borderId="11" xfId="0" applyFont="1" applyFill="1" applyBorder="1" applyAlignment="1">
      <alignment horizontal="center" vertical="center" wrapText="1"/>
    </xf>
    <xf numFmtId="0" fontId="8" fillId="0" borderId="11" xfId="2" applyFont="1" applyBorder="1" applyAlignment="1">
      <alignment horizontal="center" vertical="center" wrapText="1"/>
    </xf>
    <xf numFmtId="0" fontId="8" fillId="0" borderId="11" xfId="2" applyFont="1" applyBorder="1" applyAlignment="1">
      <alignment horizontal="center" vertical="center"/>
    </xf>
    <xf numFmtId="0" fontId="8" fillId="0" borderId="14" xfId="0" applyFont="1" applyBorder="1" applyAlignment="1">
      <alignment horizontal="center" vertical="center" wrapText="1"/>
    </xf>
    <xf numFmtId="0" fontId="4" fillId="0" borderId="11" xfId="2" applyBorder="1" applyAlignment="1">
      <alignment horizontal="left" vertical="center"/>
    </xf>
    <xf numFmtId="0" fontId="4" fillId="0" borderId="13" xfId="2" applyFill="1" applyBorder="1" applyAlignment="1">
      <alignment vertical="center"/>
    </xf>
    <xf numFmtId="0" fontId="4" fillId="0" borderId="13" xfId="2" applyBorder="1" applyAlignment="1">
      <alignment vertical="center"/>
    </xf>
    <xf numFmtId="0" fontId="4" fillId="0" borderId="13" xfId="2" applyBorder="1" applyAlignment="1">
      <alignment horizontal="left" vertical="center"/>
    </xf>
    <xf numFmtId="0" fontId="4" fillId="3" borderId="13" xfId="2" applyFill="1" applyBorder="1" applyAlignment="1">
      <alignment horizontal="left" vertical="center" wrapText="1"/>
    </xf>
    <xf numFmtId="0" fontId="4" fillId="0" borderId="0" xfId="2" applyAlignment="1">
      <alignment vertical="center"/>
    </xf>
    <xf numFmtId="0" fontId="4" fillId="0" borderId="0" xfId="2" applyBorder="1" applyAlignment="1">
      <alignment vertical="center"/>
    </xf>
    <xf numFmtId="0" fontId="4" fillId="0" borderId="13" xfId="2" applyFill="1" applyBorder="1" applyAlignment="1">
      <alignment horizontal="left" vertical="center" wrapText="1"/>
    </xf>
    <xf numFmtId="11" fontId="4" fillId="0" borderId="11" xfId="2" applyNumberFormat="1" applyBorder="1" applyAlignment="1">
      <alignment horizontal="left" vertical="center"/>
    </xf>
    <xf numFmtId="0" fontId="4" fillId="0" borderId="11" xfId="2" applyBorder="1" applyAlignment="1">
      <alignment vertical="center"/>
    </xf>
    <xf numFmtId="0" fontId="4" fillId="0" borderId="16" xfId="2" applyBorder="1" applyAlignment="1">
      <alignment vertical="center"/>
    </xf>
    <xf numFmtId="0" fontId="4" fillId="0" borderId="14" xfId="2" applyBorder="1" applyAlignment="1">
      <alignment horizontal="left" vertical="center"/>
    </xf>
    <xf numFmtId="0" fontId="4" fillId="3" borderId="11" xfId="2" applyFill="1" applyBorder="1" applyAlignment="1">
      <alignment horizontal="left" vertical="center" wrapText="1"/>
    </xf>
    <xf numFmtId="0" fontId="4" fillId="0" borderId="4" xfId="2" applyBorder="1" applyAlignment="1">
      <alignment vertical="center"/>
    </xf>
  </cellXfs>
  <cellStyles count="4">
    <cellStyle name="Hyperlink" xfId="2" builtinId="8"/>
    <cellStyle name="Normal" xfId="0" builtinId="0"/>
    <cellStyle name="Normal_main" xfId="3" xr:uid="{D38A7701-32DA-40CB-B15B-82BBAB58809C}"/>
    <cellStyle name="Normal_Sheet1" xfId="1" xr:uid="{897B99D7-749D-4969-94C0-35C31B6B75B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www.ncbi.nlm.nih.gov/gene/23200" TargetMode="External"/><Relationship Id="rId170" Type="http://schemas.openxmlformats.org/officeDocument/2006/relationships/hyperlink" Target="https://pubmed.ncbi.nlm.nih.gov/?term=27322682%5Buid%5D" TargetMode="External"/><Relationship Id="rId987" Type="http://schemas.openxmlformats.org/officeDocument/2006/relationships/hyperlink" Target="https://www.ncbi.nlm.nih.gov/gene/7507" TargetMode="External"/><Relationship Id="rId2668" Type="http://schemas.openxmlformats.org/officeDocument/2006/relationships/hyperlink" Target="https://www.uniprot.org/uniprot/P02461" TargetMode="External"/><Relationship Id="rId847" Type="http://schemas.openxmlformats.org/officeDocument/2006/relationships/hyperlink" Target="https://pubmed.ncbi.nlm.nih.gov/?term=21617853%5Buid%5D" TargetMode="External"/><Relationship Id="rId1477" Type="http://schemas.openxmlformats.org/officeDocument/2006/relationships/hyperlink" Target="https://www.ncbi.nlm.nih.gov/gene/3696" TargetMode="External"/><Relationship Id="rId1684" Type="http://schemas.openxmlformats.org/officeDocument/2006/relationships/hyperlink" Target="https://www.ncbi.nlm.nih.gov/gene/1612" TargetMode="External"/><Relationship Id="rId1891" Type="http://schemas.openxmlformats.org/officeDocument/2006/relationships/hyperlink" Target="https://www.uniprot.org/uniprot/P48637" TargetMode="External"/><Relationship Id="rId2528" Type="http://schemas.openxmlformats.org/officeDocument/2006/relationships/hyperlink" Target="https://www.uniprot.org/uniprot/P13378" TargetMode="External"/><Relationship Id="rId2735" Type="http://schemas.openxmlformats.org/officeDocument/2006/relationships/hyperlink" Target="https://www.uniprot.org/uniprot/Q14457" TargetMode="External"/><Relationship Id="rId707" Type="http://schemas.openxmlformats.org/officeDocument/2006/relationships/hyperlink" Target="https://pubmed.ncbi.nlm.nih.gov/?term=22336585%2C%2023842948%2C%2026482039%2C%2025277379%2C%2020202822%20%5Buid%5D" TargetMode="External"/><Relationship Id="rId914" Type="http://schemas.openxmlformats.org/officeDocument/2006/relationships/hyperlink" Target="https://pubmed.ncbi.nlm.nih.gov/?term=25634215%2C%2012807748%2C%2020028083%2C%2030386247%2C%2022174370%2C%2030628719%2C%2028746345%5Buid%5D" TargetMode="External"/><Relationship Id="rId1337" Type="http://schemas.openxmlformats.org/officeDocument/2006/relationships/hyperlink" Target="https://www.ncbi.nlm.nih.gov/gene/4851" TargetMode="External"/><Relationship Id="rId1544" Type="http://schemas.openxmlformats.org/officeDocument/2006/relationships/hyperlink" Target="https://www.ncbi.nlm.nih.gov/gene/2937" TargetMode="External"/><Relationship Id="rId1751" Type="http://schemas.openxmlformats.org/officeDocument/2006/relationships/hyperlink" Target="https://www.ncbi.nlm.nih.gov/gene/29126" TargetMode="External"/><Relationship Id="rId2802" Type="http://schemas.openxmlformats.org/officeDocument/2006/relationships/hyperlink" Target="https://www.uniprot.org/uniprot/O15438" TargetMode="External"/><Relationship Id="rId43" Type="http://schemas.openxmlformats.org/officeDocument/2006/relationships/hyperlink" Target="https://pubmed.ncbi.nlm.nih.gov/?term=26049416%2C%2033423038%5Buid%5D" TargetMode="External"/><Relationship Id="rId1404" Type="http://schemas.openxmlformats.org/officeDocument/2006/relationships/hyperlink" Target="https://www.ncbi.nlm.nih.gov/gene/4233" TargetMode="External"/><Relationship Id="rId1611" Type="http://schemas.openxmlformats.org/officeDocument/2006/relationships/hyperlink" Target="https://www.ncbi.nlm.nih.gov/gene/23172" TargetMode="External"/><Relationship Id="rId497" Type="http://schemas.openxmlformats.org/officeDocument/2006/relationships/hyperlink" Target="https://pubmed.ncbi.nlm.nih.gov/?term=21775533%5Buid%5D" TargetMode="External"/><Relationship Id="rId2178" Type="http://schemas.openxmlformats.org/officeDocument/2006/relationships/hyperlink" Target="https://www.uniprot.org/uniprot/Q15672" TargetMode="External"/><Relationship Id="rId2385" Type="http://schemas.openxmlformats.org/officeDocument/2006/relationships/hyperlink" Target="https://www.uniprot.org/uniprot/Q96D31" TargetMode="External"/><Relationship Id="rId357" Type="http://schemas.openxmlformats.org/officeDocument/2006/relationships/hyperlink" Target="https://pubmed.ncbi.nlm.nih.gov/?term=26337086%5Buid%5D" TargetMode="External"/><Relationship Id="rId1194" Type="http://schemas.openxmlformats.org/officeDocument/2006/relationships/hyperlink" Target="https://www.ncbi.nlm.nih.gov/gene/5982" TargetMode="External"/><Relationship Id="rId2038" Type="http://schemas.openxmlformats.org/officeDocument/2006/relationships/hyperlink" Target="https://www.uniprot.org/uniprot/P21333" TargetMode="External"/><Relationship Id="rId2592" Type="http://schemas.openxmlformats.org/officeDocument/2006/relationships/hyperlink" Target="https://www.uniprot.org/uniprot/Q9NVI1" TargetMode="External"/><Relationship Id="rId217" Type="http://schemas.openxmlformats.org/officeDocument/2006/relationships/hyperlink" Target="https://pubmed.ncbi.nlm.nih.gov/?term=28178653%5Buid%5D" TargetMode="External"/><Relationship Id="rId564" Type="http://schemas.openxmlformats.org/officeDocument/2006/relationships/hyperlink" Target="https://pubmed.ncbi.nlm.nih.gov/?term=24515769%5Buid%5D" TargetMode="External"/><Relationship Id="rId771" Type="http://schemas.openxmlformats.org/officeDocument/2006/relationships/hyperlink" Target="https://pubmed.ncbi.nlm.nih.gov/?term=28138029%5Buid%5D" TargetMode="External"/><Relationship Id="rId2245" Type="http://schemas.openxmlformats.org/officeDocument/2006/relationships/hyperlink" Target="https://www.uniprot.org/uniprot/Q9NPD5" TargetMode="External"/><Relationship Id="rId2452" Type="http://schemas.openxmlformats.org/officeDocument/2006/relationships/hyperlink" Target="https://www.uniprot.org/uniprot/O15151" TargetMode="External"/><Relationship Id="rId424" Type="http://schemas.openxmlformats.org/officeDocument/2006/relationships/hyperlink" Target="https://pubmed.ncbi.nlm.nih.gov/?term=28721072%2C%2024782986%2C%2024764577%5Buid%5D" TargetMode="External"/><Relationship Id="rId631" Type="http://schemas.openxmlformats.org/officeDocument/2006/relationships/hyperlink" Target="https://pubmed.ncbi.nlm.nih.gov/?term=25915207%5Buid%5D" TargetMode="External"/><Relationship Id="rId1054" Type="http://schemas.openxmlformats.org/officeDocument/2006/relationships/hyperlink" Target="https://www.ncbi.nlm.nih.gov/gene/30012" TargetMode="External"/><Relationship Id="rId1261" Type="http://schemas.openxmlformats.org/officeDocument/2006/relationships/hyperlink" Target="https://www.ncbi.nlm.nih.gov/gene/51426" TargetMode="External"/><Relationship Id="rId2105" Type="http://schemas.openxmlformats.org/officeDocument/2006/relationships/hyperlink" Target="https://www.uniprot.org/uniprot/Q9H461" TargetMode="External"/><Relationship Id="rId2312" Type="http://schemas.openxmlformats.org/officeDocument/2006/relationships/hyperlink" Target="https://www.uniprot.org/uniprot/P26045" TargetMode="External"/><Relationship Id="rId1121" Type="http://schemas.openxmlformats.org/officeDocument/2006/relationships/hyperlink" Target="https://www.ncbi.nlm.nih.gov/gene/4089" TargetMode="External"/><Relationship Id="rId1938" Type="http://schemas.openxmlformats.org/officeDocument/2006/relationships/hyperlink" Target="https://www.uniprot.org/uniprot/P14406" TargetMode="External"/><Relationship Id="rId281" Type="http://schemas.openxmlformats.org/officeDocument/2006/relationships/hyperlink" Target="https://pubmed.ncbi.nlm.nih.gov/?term=33423038%5Buid%5D" TargetMode="External"/><Relationship Id="rId141" Type="http://schemas.openxmlformats.org/officeDocument/2006/relationships/hyperlink" Target="https://pubmed.ncbi.nlm.nih.gov/?term=28440503%2C%2027276062%5Buid%5D" TargetMode="External"/><Relationship Id="rId7" Type="http://schemas.openxmlformats.org/officeDocument/2006/relationships/hyperlink" Target="https://pubmed.ncbi.nlm.nih.gov/?term=24176985,11223551" TargetMode="External"/><Relationship Id="rId2779" Type="http://schemas.openxmlformats.org/officeDocument/2006/relationships/hyperlink" Target="https://www.uniprot.org/uniprot/P30838" TargetMode="External"/><Relationship Id="rId958" Type="http://schemas.openxmlformats.org/officeDocument/2006/relationships/hyperlink" Target="https://www.ncbi.nlm.nih.gov/gene/3551" TargetMode="External"/><Relationship Id="rId1588" Type="http://schemas.openxmlformats.org/officeDocument/2006/relationships/hyperlink" Target="https://www.ncbi.nlm.nih.gov/gene/2271" TargetMode="External"/><Relationship Id="rId1795" Type="http://schemas.openxmlformats.org/officeDocument/2006/relationships/hyperlink" Target="https://www.ncbi.nlm.nih.gov/gene/329" TargetMode="External"/><Relationship Id="rId2639" Type="http://schemas.openxmlformats.org/officeDocument/2006/relationships/hyperlink" Target="https://www.uniprot.org/uniprot/P26358" TargetMode="External"/><Relationship Id="rId87" Type="http://schemas.openxmlformats.org/officeDocument/2006/relationships/hyperlink" Target="https://pubmed.ncbi.nlm.nih.gov/?term=31003775%2C%2024277158%5Buid%5D" TargetMode="External"/><Relationship Id="rId818" Type="http://schemas.openxmlformats.org/officeDocument/2006/relationships/hyperlink" Target="https://pubmed.ncbi.nlm.nih.gov/?term=23934659%5Buid%5D" TargetMode="External"/><Relationship Id="rId1448" Type="http://schemas.openxmlformats.org/officeDocument/2006/relationships/hyperlink" Target="https://www.ncbi.nlm.nih.gov/gene/3932" TargetMode="External"/><Relationship Id="rId1655" Type="http://schemas.openxmlformats.org/officeDocument/2006/relationships/hyperlink" Target="https://www.ncbi.nlm.nih.gov/gene/1874" TargetMode="External"/><Relationship Id="rId2706" Type="http://schemas.openxmlformats.org/officeDocument/2006/relationships/hyperlink" Target="https://www.uniprot.org/uniprot/P13501" TargetMode="External"/><Relationship Id="rId1308" Type="http://schemas.openxmlformats.org/officeDocument/2006/relationships/hyperlink" Target="https://www.ncbi.nlm.nih.gov/gene/57326" TargetMode="External"/><Relationship Id="rId1862" Type="http://schemas.openxmlformats.org/officeDocument/2006/relationships/hyperlink" Target="https://www.ncbi.nlm.nih.gov/gene/8644" TargetMode="External"/><Relationship Id="rId1515" Type="http://schemas.openxmlformats.org/officeDocument/2006/relationships/hyperlink" Target="https://www.ncbi.nlm.nih.gov/gene/3213" TargetMode="External"/><Relationship Id="rId1722" Type="http://schemas.openxmlformats.org/officeDocument/2006/relationships/hyperlink" Target="https://www.ncbi.nlm.nih.gov/gene/1147" TargetMode="External"/><Relationship Id="rId14" Type="http://schemas.openxmlformats.org/officeDocument/2006/relationships/hyperlink" Target="https://pubmed.ncbi.nlm.nih.gov/?term=23117882%2C%2010098743%2C%2023660976%5Buid%5D" TargetMode="External"/><Relationship Id="rId2289" Type="http://schemas.openxmlformats.org/officeDocument/2006/relationships/hyperlink" Target="https://www.uniprot.org/uniprot/O43665" TargetMode="External"/><Relationship Id="rId2496" Type="http://schemas.openxmlformats.org/officeDocument/2006/relationships/hyperlink" Target="https://www.uniprot.org/uniprot/Q14145" TargetMode="External"/><Relationship Id="rId468" Type="http://schemas.openxmlformats.org/officeDocument/2006/relationships/hyperlink" Target="https://pubmed.ncbi.nlm.nih.gov/?term=24597627%5Buid%5D" TargetMode="External"/><Relationship Id="rId675" Type="http://schemas.openxmlformats.org/officeDocument/2006/relationships/hyperlink" Target="https://pubmed.ncbi.nlm.nih.gov/?term=32494165%2C%2030464528%5Buid%5D" TargetMode="External"/><Relationship Id="rId882" Type="http://schemas.openxmlformats.org/officeDocument/2006/relationships/hyperlink" Target="https://pubmed.ncbi.nlm.nih.gov/?term=10490269%5Buid%5D" TargetMode="External"/><Relationship Id="rId1098" Type="http://schemas.openxmlformats.org/officeDocument/2006/relationships/hyperlink" Target="https://www.ncbi.nlm.nih.gov/gene/6732" TargetMode="External"/><Relationship Id="rId2149" Type="http://schemas.openxmlformats.org/officeDocument/2006/relationships/hyperlink" Target="https://www.uniprot.org/uniprot/P13010" TargetMode="External"/><Relationship Id="rId2356" Type="http://schemas.openxmlformats.org/officeDocument/2006/relationships/hyperlink" Target="https://www.uniprot.org/uniprot/Q9P1W9" TargetMode="External"/><Relationship Id="rId2563" Type="http://schemas.openxmlformats.org/officeDocument/2006/relationships/hyperlink" Target="https://www.uniprot.org/uniprot/Q9H3C7" TargetMode="External"/><Relationship Id="rId2770" Type="http://schemas.openxmlformats.org/officeDocument/2006/relationships/hyperlink" Target="https://www.uniprot.org/uniprot/O14497" TargetMode="External"/><Relationship Id="rId328" Type="http://schemas.openxmlformats.org/officeDocument/2006/relationships/hyperlink" Target="https://pubmed.ncbi.nlm.nih.gov/?term=29580231%2C%2025490861%2C%2026018318%5Buid%5D" TargetMode="External"/><Relationship Id="rId535" Type="http://schemas.openxmlformats.org/officeDocument/2006/relationships/hyperlink" Target="https://pubmed.ncbi.nlm.nih.gov/?term=18176604%2C%2024977712%2C%2025308861%5Buid%5D" TargetMode="External"/><Relationship Id="rId742" Type="http://schemas.openxmlformats.org/officeDocument/2006/relationships/hyperlink" Target="https://pubmed.ncbi.nlm.nih.gov/?term=26548925%2C%2023002208%5Buid%5D" TargetMode="External"/><Relationship Id="rId1165" Type="http://schemas.openxmlformats.org/officeDocument/2006/relationships/hyperlink" Target="https://www.ncbi.nlm.nih.gov/gene/6285" TargetMode="External"/><Relationship Id="rId1372" Type="http://schemas.openxmlformats.org/officeDocument/2006/relationships/hyperlink" Target="https://www.ncbi.nlm.nih.gov/gene/2475" TargetMode="External"/><Relationship Id="rId2009" Type="http://schemas.openxmlformats.org/officeDocument/2006/relationships/hyperlink" Target="https://www.uniprot.org/uniprot/P60953" TargetMode="External"/><Relationship Id="rId2216" Type="http://schemas.openxmlformats.org/officeDocument/2006/relationships/hyperlink" Target="https://www.uniprot.org/uniprot/Q9UGT4" TargetMode="External"/><Relationship Id="rId2423" Type="http://schemas.openxmlformats.org/officeDocument/2006/relationships/hyperlink" Target="https://www.uniprot.org/uniprot/Q8WXI7" TargetMode="External"/><Relationship Id="rId2630" Type="http://schemas.openxmlformats.org/officeDocument/2006/relationships/hyperlink" Target="https://www.uniprot.org/uniprot/Q96AV8" TargetMode="External"/><Relationship Id="rId602" Type="http://schemas.openxmlformats.org/officeDocument/2006/relationships/hyperlink" Target="https://pubmed.ncbi.nlm.nih.gov/?term=22854025%2C%2023287530%5Buid%5D" TargetMode="External"/><Relationship Id="rId1025" Type="http://schemas.openxmlformats.org/officeDocument/2006/relationships/hyperlink" Target="https://www.ncbi.nlm.nih.gov/gene/7216" TargetMode="External"/><Relationship Id="rId1232" Type="http://schemas.openxmlformats.org/officeDocument/2006/relationships/hyperlink" Target="https://www.ncbi.nlm.nih.gov/gene/5724" TargetMode="External"/><Relationship Id="rId185" Type="http://schemas.openxmlformats.org/officeDocument/2006/relationships/hyperlink" Target="https://pubmed.ncbi.nlm.nih.gov/?term=12726863%5Buid%5D" TargetMode="External"/><Relationship Id="rId1909" Type="http://schemas.openxmlformats.org/officeDocument/2006/relationships/hyperlink" Target="https://www.uniprot.org/uniprot/P09237" TargetMode="External"/><Relationship Id="rId392" Type="http://schemas.openxmlformats.org/officeDocument/2006/relationships/hyperlink" Target="https://pubmed.ncbi.nlm.nih.gov/?term=23832872%2C%2018271937%5Buid%5D" TargetMode="External"/><Relationship Id="rId2073" Type="http://schemas.openxmlformats.org/officeDocument/2006/relationships/hyperlink" Target="https://www.uniprot.org/uniprot/Q96GD0" TargetMode="External"/><Relationship Id="rId2280" Type="http://schemas.openxmlformats.org/officeDocument/2006/relationships/hyperlink" Target="https://www.uniprot.org/uniprot/P62701" TargetMode="External"/><Relationship Id="rId252" Type="http://schemas.openxmlformats.org/officeDocument/2006/relationships/hyperlink" Target="https://pubmed.ncbi.nlm.nih.gov/?term=28117895%2C%209819442%2C%2022555068%2C%2011175261%5Buid%5D" TargetMode="External"/><Relationship Id="rId2140" Type="http://schemas.openxmlformats.org/officeDocument/2006/relationships/hyperlink" Target="https://www.uniprot.org/uniprot/P37275" TargetMode="External"/><Relationship Id="rId112" Type="http://schemas.openxmlformats.org/officeDocument/2006/relationships/hyperlink" Target="https://pubmed.ncbi.nlm.nih.gov/?term=22771308%2C%2016544101%2C%2023692256%5Buid%5D" TargetMode="External"/><Relationship Id="rId1699" Type="http://schemas.openxmlformats.org/officeDocument/2006/relationships/hyperlink" Target="https://www.ncbi.nlm.nih.gov/gene/1499" TargetMode="External"/><Relationship Id="rId2000" Type="http://schemas.openxmlformats.org/officeDocument/2006/relationships/hyperlink" Target="https://www.uniprot.org/uniprot/P52747" TargetMode="External"/><Relationship Id="rId929" Type="http://schemas.openxmlformats.org/officeDocument/2006/relationships/hyperlink" Target="https://pubmed.ncbi.nlm.nih.gov/?term=29970878%2C%2019208743%5Buid%5D" TargetMode="External"/><Relationship Id="rId1559" Type="http://schemas.openxmlformats.org/officeDocument/2006/relationships/hyperlink" Target="https://www.ncbi.nlm.nih.gov/gene/2736" TargetMode="External"/><Relationship Id="rId1766" Type="http://schemas.openxmlformats.org/officeDocument/2006/relationships/hyperlink" Target="https://www.ncbi.nlm.nih.gov/gene/842" TargetMode="External"/><Relationship Id="rId1973" Type="http://schemas.openxmlformats.org/officeDocument/2006/relationships/hyperlink" Target="https://www.uniprot.org/uniprot/Q15726" TargetMode="External"/><Relationship Id="rId58" Type="http://schemas.openxmlformats.org/officeDocument/2006/relationships/hyperlink" Target="https://pubmed.ncbi.nlm.nih.gov/28553083,24817946" TargetMode="External"/><Relationship Id="rId1419" Type="http://schemas.openxmlformats.org/officeDocument/2006/relationships/hyperlink" Target="https://www.ncbi.nlm.nih.gov/gene/6300" TargetMode="External"/><Relationship Id="rId1626" Type="http://schemas.openxmlformats.org/officeDocument/2006/relationships/hyperlink" Target="https://www.ncbi.nlm.nih.gov/gene/2072" TargetMode="External"/><Relationship Id="rId1833" Type="http://schemas.openxmlformats.org/officeDocument/2006/relationships/hyperlink" Target="https://www.ncbi.nlm.nih.gov/gene/9140" TargetMode="External"/><Relationship Id="rId1900" Type="http://schemas.openxmlformats.org/officeDocument/2006/relationships/hyperlink" Target="https://www.uniprot.org/uniprot/O14641" TargetMode="External"/><Relationship Id="rId579" Type="http://schemas.openxmlformats.org/officeDocument/2006/relationships/hyperlink" Target="https://pubmed.ncbi.nlm.nih.gov/?term=25560489%2C%2023877225%2C%2029391894%5Buid%5D" TargetMode="External"/><Relationship Id="rId786" Type="http://schemas.openxmlformats.org/officeDocument/2006/relationships/hyperlink" Target="https://pubmed.ncbi.nlm.nih.gov/?term=22429801%2C%2020823140%5Buid%5D" TargetMode="External"/><Relationship Id="rId993" Type="http://schemas.openxmlformats.org/officeDocument/2006/relationships/hyperlink" Target="https://www.ncbi.nlm.nih.gov/gene/51741" TargetMode="External"/><Relationship Id="rId2467" Type="http://schemas.openxmlformats.org/officeDocument/2006/relationships/hyperlink" Target="https://www.uniprot.org/uniprot/Q02750" TargetMode="External"/><Relationship Id="rId2674" Type="http://schemas.openxmlformats.org/officeDocument/2006/relationships/hyperlink" Target="https://www.uniprot.org/uniprot/O00299" TargetMode="External"/><Relationship Id="rId439" Type="http://schemas.openxmlformats.org/officeDocument/2006/relationships/hyperlink" Target="https://pubmed.ncbi.nlm.nih.gov/?term=27296948%2C%2028108288%5Buid%5D" TargetMode="External"/><Relationship Id="rId646" Type="http://schemas.openxmlformats.org/officeDocument/2006/relationships/hyperlink" Target="https://pubmed.ncbi.nlm.nih.gov/?term=19583808%5Buid%5D" TargetMode="External"/><Relationship Id="rId1069" Type="http://schemas.openxmlformats.org/officeDocument/2006/relationships/hyperlink" Target="https://www.ncbi.nlm.nih.gov/gene/7042" TargetMode="External"/><Relationship Id="rId1276" Type="http://schemas.openxmlformats.org/officeDocument/2006/relationships/hyperlink" Target="https://www.ncbi.nlm.nih.gov/gene/9373" TargetMode="External"/><Relationship Id="rId1483" Type="http://schemas.openxmlformats.org/officeDocument/2006/relationships/hyperlink" Target="https://www.ncbi.nlm.nih.gov/gene/3708" TargetMode="External"/><Relationship Id="rId2327" Type="http://schemas.openxmlformats.org/officeDocument/2006/relationships/hyperlink" Target="https://www.uniprot.org/uniprot/P05771" TargetMode="External"/><Relationship Id="rId506" Type="http://schemas.openxmlformats.org/officeDocument/2006/relationships/hyperlink" Target="https://pubmed.ncbi.nlm.nih.gov/?term=27072580%5Buid%5D" TargetMode="External"/><Relationship Id="rId853" Type="http://schemas.openxmlformats.org/officeDocument/2006/relationships/hyperlink" Target="https://pubmed.ncbi.nlm.nih.gov/?term=24767861%2C%2030944654%2C%2030107189%5Buid%5D" TargetMode="External"/><Relationship Id="rId1136" Type="http://schemas.openxmlformats.org/officeDocument/2006/relationships/hyperlink" Target="https://www.ncbi.nlm.nih.gov/gene/6576" TargetMode="External"/><Relationship Id="rId1690" Type="http://schemas.openxmlformats.org/officeDocument/2006/relationships/hyperlink" Target="https://www.ncbi.nlm.nih.gov/gene/1545" TargetMode="External"/><Relationship Id="rId2534" Type="http://schemas.openxmlformats.org/officeDocument/2006/relationships/hyperlink" Target="https://www.uniprot.org/uniprot/P04035" TargetMode="External"/><Relationship Id="rId2741" Type="http://schemas.openxmlformats.org/officeDocument/2006/relationships/hyperlink" Target="https://www.uniprot.org/uniprot/Q9BXH1" TargetMode="External"/><Relationship Id="rId713" Type="http://schemas.openxmlformats.org/officeDocument/2006/relationships/hyperlink" Target="https://pubmed.ncbi.nlm.nih.gov/?term=29719173%5Buid%5D" TargetMode="External"/><Relationship Id="rId920" Type="http://schemas.openxmlformats.org/officeDocument/2006/relationships/hyperlink" Target="https://pubmed.ncbi.nlm.nih.gov/?term=11925933%2C%2024044516%2C%2028399858%2C%2023181744%2C%2011095672%5Buid%5D" TargetMode="External"/><Relationship Id="rId1343" Type="http://schemas.openxmlformats.org/officeDocument/2006/relationships/hyperlink" Target="https://www.ncbi.nlm.nih.gov/gene/4791" TargetMode="External"/><Relationship Id="rId1550" Type="http://schemas.openxmlformats.org/officeDocument/2006/relationships/hyperlink" Target="https://www.ncbi.nlm.nih.gov/gene/26585" TargetMode="External"/><Relationship Id="rId2601" Type="http://schemas.openxmlformats.org/officeDocument/2006/relationships/hyperlink" Target="https://www.uniprot.org/uniprot/Q92567" TargetMode="External"/><Relationship Id="rId1203" Type="http://schemas.openxmlformats.org/officeDocument/2006/relationships/hyperlink" Target="https://www.ncbi.nlm.nih.gov/gene/27303" TargetMode="External"/><Relationship Id="rId1410" Type="http://schemas.openxmlformats.org/officeDocument/2006/relationships/hyperlink" Target="https://www.ncbi.nlm.nih.gov/gene/84515" TargetMode="External"/><Relationship Id="rId296" Type="http://schemas.openxmlformats.org/officeDocument/2006/relationships/hyperlink" Target="https://pubmed.ncbi.nlm.nih.gov/?term=20508725%5Buid%5D" TargetMode="External"/><Relationship Id="rId2184" Type="http://schemas.openxmlformats.org/officeDocument/2006/relationships/hyperlink" Target="https://www.uniprot.org/uniprot/O15350" TargetMode="External"/><Relationship Id="rId2391" Type="http://schemas.openxmlformats.org/officeDocument/2006/relationships/hyperlink" Target="https://www.uniprot.org/uniprot/P21589" TargetMode="External"/><Relationship Id="rId156" Type="http://schemas.openxmlformats.org/officeDocument/2006/relationships/hyperlink" Target="https://pubmed.ncbi.nlm.nih.gov/?term=25557169%2C%2011585414%20%5Buid%5D" TargetMode="External"/><Relationship Id="rId363" Type="http://schemas.openxmlformats.org/officeDocument/2006/relationships/hyperlink" Target="https://pubmed.ncbi.nlm.nih.gov/?term=28989055%5Buid%5D" TargetMode="External"/><Relationship Id="rId570" Type="http://schemas.openxmlformats.org/officeDocument/2006/relationships/hyperlink" Target="https://pubmed.ncbi.nlm.nih.gov/?term=26629888%5Buid%5D" TargetMode="External"/><Relationship Id="rId2044" Type="http://schemas.openxmlformats.org/officeDocument/2006/relationships/hyperlink" Target="https://www.uniprot.org/uniprot/P43115" TargetMode="External"/><Relationship Id="rId2251" Type="http://schemas.openxmlformats.org/officeDocument/2006/relationships/hyperlink" Target="https://www.uniprot.org/uniprot/O15431" TargetMode="External"/><Relationship Id="rId223" Type="http://schemas.openxmlformats.org/officeDocument/2006/relationships/hyperlink" Target="https://pubmed.ncbi.nlm.nih.gov/?term=26093488%5Buid%5D" TargetMode="External"/><Relationship Id="rId430" Type="http://schemas.openxmlformats.org/officeDocument/2006/relationships/hyperlink" Target="https://pubmed.ncbi.nlm.nih.gov/?term=29298824%5Buid%5D" TargetMode="External"/><Relationship Id="rId1060" Type="http://schemas.openxmlformats.org/officeDocument/2006/relationships/hyperlink" Target="https://www.ncbi.nlm.nih.gov/gene/57103" TargetMode="External"/><Relationship Id="rId2111" Type="http://schemas.openxmlformats.org/officeDocument/2006/relationships/hyperlink" Target="https://www.uniprot.org/uniprot/P11166" TargetMode="External"/><Relationship Id="rId1877" Type="http://schemas.openxmlformats.org/officeDocument/2006/relationships/hyperlink" Target="https://www.ncbi.nlm.nih.gov/gene/9429" TargetMode="External"/><Relationship Id="rId1737" Type="http://schemas.openxmlformats.org/officeDocument/2006/relationships/hyperlink" Target="https://www.ncbi.nlm.nih.gov/gene/1017" TargetMode="External"/><Relationship Id="rId1944" Type="http://schemas.openxmlformats.org/officeDocument/2006/relationships/hyperlink" Target="https://www.uniprot.org/uniprot/P00558" TargetMode="External"/><Relationship Id="rId29" Type="http://schemas.openxmlformats.org/officeDocument/2006/relationships/hyperlink" Target="https://pubmed.ncbi.nlm.nih.gov/?term=20032415%2C%2027935869%2C%2028664915%5Buid%5D" TargetMode="External"/><Relationship Id="rId1804" Type="http://schemas.openxmlformats.org/officeDocument/2006/relationships/hyperlink" Target="https://www.ncbi.nlm.nih.gov/gene/598" TargetMode="External"/><Relationship Id="rId897" Type="http://schemas.openxmlformats.org/officeDocument/2006/relationships/hyperlink" Target="https://pubmed.ncbi.nlm.nih.gov/?term=32678307%5Buid%5D" TargetMode="External"/><Relationship Id="rId2578" Type="http://schemas.openxmlformats.org/officeDocument/2006/relationships/hyperlink" Target="https://www.uniprot.org/uniprot/P53539" TargetMode="External"/><Relationship Id="rId2785" Type="http://schemas.openxmlformats.org/officeDocument/2006/relationships/hyperlink" Target="https://www.uniprot.org/uniprot/P52895" TargetMode="External"/><Relationship Id="rId757" Type="http://schemas.openxmlformats.org/officeDocument/2006/relationships/hyperlink" Target="https://pubmed.ncbi.nlm.nih.gov/?term=28138029%5Buid%5D" TargetMode="External"/><Relationship Id="rId964" Type="http://schemas.openxmlformats.org/officeDocument/2006/relationships/hyperlink" Target="https://www.ncbi.nlm.nih.gov/gene/8140" TargetMode="External"/><Relationship Id="rId1387" Type="http://schemas.openxmlformats.org/officeDocument/2006/relationships/hyperlink" Target="https://www.ncbi.nlm.nih.gov/gene/4318" TargetMode="External"/><Relationship Id="rId1594" Type="http://schemas.openxmlformats.org/officeDocument/2006/relationships/hyperlink" Target="https://www.ncbi.nlm.nih.gov/gene/2197" TargetMode="External"/><Relationship Id="rId2438" Type="http://schemas.openxmlformats.org/officeDocument/2006/relationships/hyperlink" Target="https://www.uniprot.org/uniprot/P51948" TargetMode="External"/><Relationship Id="rId2645" Type="http://schemas.openxmlformats.org/officeDocument/2006/relationships/hyperlink" Target="https://www.uniprot.org/uniprot/Q08345" TargetMode="External"/><Relationship Id="rId93" Type="http://schemas.openxmlformats.org/officeDocument/2006/relationships/hyperlink" Target="https://pubmed.ncbi.nlm.nih.gov/?term=25876658%2C%2023423709%5Buid%5D" TargetMode="External"/><Relationship Id="rId617" Type="http://schemas.openxmlformats.org/officeDocument/2006/relationships/hyperlink" Target="https://pubmed.ncbi.nlm.nih.gov/?term=29327155%5Buid%5D" TargetMode="External"/><Relationship Id="rId824" Type="http://schemas.openxmlformats.org/officeDocument/2006/relationships/hyperlink" Target="https://pubmed.ncbi.nlm.nih.gov/?term=25369529%5Buid%5D" TargetMode="External"/><Relationship Id="rId1247" Type="http://schemas.openxmlformats.org/officeDocument/2006/relationships/hyperlink" Target="https://www.ncbi.nlm.nih.gov/gene/5563" TargetMode="External"/><Relationship Id="rId1454" Type="http://schemas.openxmlformats.org/officeDocument/2006/relationships/hyperlink" Target="https://www.ncbi.nlm.nih.gov/gene/3875" TargetMode="External"/><Relationship Id="rId1661" Type="http://schemas.openxmlformats.org/officeDocument/2006/relationships/hyperlink" Target="https://www.ncbi.nlm.nih.gov/gene/1856" TargetMode="External"/><Relationship Id="rId2505" Type="http://schemas.openxmlformats.org/officeDocument/2006/relationships/hyperlink" Target="https://www.uniprot.org/uniprot/O43736" TargetMode="External"/><Relationship Id="rId2712" Type="http://schemas.openxmlformats.org/officeDocument/2006/relationships/hyperlink" Target="https://www.uniprot.org/uniprot/Q14790" TargetMode="External"/><Relationship Id="rId1107" Type="http://schemas.openxmlformats.org/officeDocument/2006/relationships/hyperlink" Target="https://www.ncbi.nlm.nih.gov/gene/30812" TargetMode="External"/><Relationship Id="rId1314" Type="http://schemas.openxmlformats.org/officeDocument/2006/relationships/hyperlink" Target="https://www.ncbi.nlm.nih.gov/gene/8505" TargetMode="External"/><Relationship Id="rId1521" Type="http://schemas.openxmlformats.org/officeDocument/2006/relationships/hyperlink" Target="https://www.ncbi.nlm.nih.gov/gene/3156" TargetMode="External"/><Relationship Id="rId20" Type="http://schemas.openxmlformats.org/officeDocument/2006/relationships/hyperlink" Target="https://pubmed.ncbi.nlm.nih.gov/?term=24935471%2C%2028703811%5Buid%5D" TargetMode="External"/><Relationship Id="rId2088" Type="http://schemas.openxmlformats.org/officeDocument/2006/relationships/hyperlink" Target="https://www.uniprot.org/uniprot/Q00056" TargetMode="External"/><Relationship Id="rId2295" Type="http://schemas.openxmlformats.org/officeDocument/2006/relationships/hyperlink" Target="https://www.uniprot.org/uniprot/Q04206" TargetMode="External"/><Relationship Id="rId267" Type="http://schemas.openxmlformats.org/officeDocument/2006/relationships/hyperlink" Target="https://pubmed.ncbi.nlm.nih.gov/?term=25634215%2C%2011516928%2C%2015882455%2C%2025069034%5Buid%5D" TargetMode="External"/><Relationship Id="rId474" Type="http://schemas.openxmlformats.org/officeDocument/2006/relationships/hyperlink" Target="https://pubmed.ncbi.nlm.nih.gov/?term=25408231%5Buid%5D" TargetMode="External"/><Relationship Id="rId2155" Type="http://schemas.openxmlformats.org/officeDocument/2006/relationships/hyperlink" Target="https://www.uniprot.org/uniprot/Q01831" TargetMode="External"/><Relationship Id="rId127" Type="http://schemas.openxmlformats.org/officeDocument/2006/relationships/hyperlink" Target="https://pubmed.ncbi.nlm.nih.gov/?term=26503358%5Buid%5D" TargetMode="External"/><Relationship Id="rId681" Type="http://schemas.openxmlformats.org/officeDocument/2006/relationships/hyperlink" Target="https://pubmed.ncbi.nlm.nih.gov/?term=20028083%2C%2028473198%5Buid%5D" TargetMode="External"/><Relationship Id="rId2362" Type="http://schemas.openxmlformats.org/officeDocument/2006/relationships/hyperlink" Target="https://www.uniprot.org/uniprot/P35232" TargetMode="External"/><Relationship Id="rId334" Type="http://schemas.openxmlformats.org/officeDocument/2006/relationships/hyperlink" Target="https://pubmed.ncbi.nlm.nih.gov/?term=31697978%2C%2022142828%5Buid%5D" TargetMode="External"/><Relationship Id="rId541" Type="http://schemas.openxmlformats.org/officeDocument/2006/relationships/hyperlink" Target="https://pubmed.ncbi.nlm.nih.gov/?term=25579119%5Buid%5D" TargetMode="External"/><Relationship Id="rId1171" Type="http://schemas.openxmlformats.org/officeDocument/2006/relationships/hyperlink" Target="https://www.ncbi.nlm.nih.gov/gene/3921" TargetMode="External"/><Relationship Id="rId2015" Type="http://schemas.openxmlformats.org/officeDocument/2006/relationships/hyperlink" Target="https://www.uniprot.org/uniprot/P37173" TargetMode="External"/><Relationship Id="rId2222" Type="http://schemas.openxmlformats.org/officeDocument/2006/relationships/hyperlink" Target="https://www.uniprot.org/uniprot/P42229" TargetMode="External"/><Relationship Id="rId401" Type="http://schemas.openxmlformats.org/officeDocument/2006/relationships/hyperlink" Target="https://pubmed.ncbi.nlm.nih.gov/?term=24854552%2C%2032020377%5Buid%5D" TargetMode="External"/><Relationship Id="rId1031" Type="http://schemas.openxmlformats.org/officeDocument/2006/relationships/hyperlink" Target="https://www.ncbi.nlm.nih.gov/gene/7186" TargetMode="External"/><Relationship Id="rId1988" Type="http://schemas.openxmlformats.org/officeDocument/2006/relationships/hyperlink" Target="https://www.uniprot.org/uniprot/Q8N9R8" TargetMode="External"/><Relationship Id="rId1848" Type="http://schemas.openxmlformats.org/officeDocument/2006/relationships/hyperlink" Target="https://www.ncbi.nlm.nih.gov/gene/317" TargetMode="External"/><Relationship Id="rId191" Type="http://schemas.openxmlformats.org/officeDocument/2006/relationships/hyperlink" Target="https://pubmed.ncbi.nlm.nih.gov/?term=29372560%2C%2022005523%5Buid%5D" TargetMode="External"/><Relationship Id="rId1708" Type="http://schemas.openxmlformats.org/officeDocument/2006/relationships/hyperlink" Target="https://www.ncbi.nlm.nih.gov/gene/1293" TargetMode="External"/><Relationship Id="rId1915" Type="http://schemas.openxmlformats.org/officeDocument/2006/relationships/hyperlink" Target="https://www.uniprot.org/uniprot/P51449" TargetMode="External"/><Relationship Id="rId2689" Type="http://schemas.openxmlformats.org/officeDocument/2006/relationships/hyperlink" Target="https://www.uniprot.org/uniprot/P38936" TargetMode="External"/><Relationship Id="rId868" Type="http://schemas.openxmlformats.org/officeDocument/2006/relationships/hyperlink" Target="https://pubmed.ncbi.nlm.nih.gov/?term=30127981%2C%2026313152%2C%2021837762%2C%2015292937%5Buid%5D" TargetMode="External"/><Relationship Id="rId1498" Type="http://schemas.openxmlformats.org/officeDocument/2006/relationships/hyperlink" Target="https://www.ncbi.nlm.nih.gov/gene/3480" TargetMode="External"/><Relationship Id="rId2549" Type="http://schemas.openxmlformats.org/officeDocument/2006/relationships/hyperlink" Target="https://www.uniprot.org/uniprot/P09211" TargetMode="External"/><Relationship Id="rId2756" Type="http://schemas.openxmlformats.org/officeDocument/2006/relationships/hyperlink" Target="https://www.uniprot.org/uniprot/P21283" TargetMode="External"/><Relationship Id="rId728" Type="http://schemas.openxmlformats.org/officeDocument/2006/relationships/hyperlink" Target="https://pubmed.ncbi.nlm.nih.gov/?term=26293895%5Buid%5D" TargetMode="External"/><Relationship Id="rId935" Type="http://schemas.openxmlformats.org/officeDocument/2006/relationships/hyperlink" Target="https://pubmed.ncbi.nlm.nih.gov/16044341" TargetMode="External"/><Relationship Id="rId1358" Type="http://schemas.openxmlformats.org/officeDocument/2006/relationships/hyperlink" Target="https://www.ncbi.nlm.nih.gov/gene/9476" TargetMode="External"/><Relationship Id="rId1565" Type="http://schemas.openxmlformats.org/officeDocument/2006/relationships/hyperlink" Target="https://www.ncbi.nlm.nih.gov/gene/9518" TargetMode="External"/><Relationship Id="rId1772" Type="http://schemas.openxmlformats.org/officeDocument/2006/relationships/hyperlink" Target="https://www.ncbi.nlm.nih.gov/gene/835" TargetMode="External"/><Relationship Id="rId2409" Type="http://schemas.openxmlformats.org/officeDocument/2006/relationships/hyperlink" Target="https://www.uniprot.org/uniprot/Q969S2" TargetMode="External"/><Relationship Id="rId2616" Type="http://schemas.openxmlformats.org/officeDocument/2006/relationships/hyperlink" Target="https://www.uniprot.org/uniprot/P04626" TargetMode="External"/><Relationship Id="rId64" Type="http://schemas.openxmlformats.org/officeDocument/2006/relationships/hyperlink" Target="https://pubmed.ncbi.nlm.nih.gov/?term=23585472%5Buid%5D" TargetMode="External"/><Relationship Id="rId1218" Type="http://schemas.openxmlformats.org/officeDocument/2006/relationships/hyperlink" Target="https://www.ncbi.nlm.nih.gov/gene/5879" TargetMode="External"/><Relationship Id="rId1425" Type="http://schemas.openxmlformats.org/officeDocument/2006/relationships/hyperlink" Target="https://www.ncbi.nlm.nih.gov/gene/6416" TargetMode="External"/><Relationship Id="rId1632" Type="http://schemas.openxmlformats.org/officeDocument/2006/relationships/hyperlink" Target="https://www.ncbi.nlm.nih.gov/gene/2064" TargetMode="External"/><Relationship Id="rId2199" Type="http://schemas.openxmlformats.org/officeDocument/2006/relationships/hyperlink" Target="https://www.uniprot.org/uniprot/O00206" TargetMode="External"/><Relationship Id="rId378" Type="http://schemas.openxmlformats.org/officeDocument/2006/relationships/hyperlink" Target="https://pubmed.ncbi.nlm.nih.gov/?term=31037158%5Buid%5D" TargetMode="External"/><Relationship Id="rId585" Type="http://schemas.openxmlformats.org/officeDocument/2006/relationships/hyperlink" Target="https://pubmed.ncbi.nlm.nih.gov/?term=27170529%2C%2022526154%2C%2021747690%20%5Buid%5D" TargetMode="External"/><Relationship Id="rId792" Type="http://schemas.openxmlformats.org/officeDocument/2006/relationships/hyperlink" Target="https://pubmed.ncbi.nlm.nih.gov/?term=30777052%5Buid%5D" TargetMode="External"/><Relationship Id="rId2059" Type="http://schemas.openxmlformats.org/officeDocument/2006/relationships/hyperlink" Target="https://www.uniprot.org/uniprot/P62736" TargetMode="External"/><Relationship Id="rId2266" Type="http://schemas.openxmlformats.org/officeDocument/2006/relationships/hyperlink" Target="https://www.uniprot.org/uniprot/P29508" TargetMode="External"/><Relationship Id="rId2473" Type="http://schemas.openxmlformats.org/officeDocument/2006/relationships/hyperlink" Target="https://www.uniprot.org/uniprot/Q6ZN28" TargetMode="External"/><Relationship Id="rId2680" Type="http://schemas.openxmlformats.org/officeDocument/2006/relationships/hyperlink" Target="https://www.uniprot.org/uniprot/Q9UQN3" TargetMode="External"/><Relationship Id="rId238" Type="http://schemas.openxmlformats.org/officeDocument/2006/relationships/hyperlink" Target="https://pubmed.ncbi.nlm.nih.gov/?term=17200349%2C%2030032296%5Buid%5D" TargetMode="External"/><Relationship Id="rId445" Type="http://schemas.openxmlformats.org/officeDocument/2006/relationships/hyperlink" Target="https://pubmed.ncbi.nlm.nih.gov/?term=24434152%2C%2026125866%5Buid%5D" TargetMode="External"/><Relationship Id="rId652" Type="http://schemas.openxmlformats.org/officeDocument/2006/relationships/hyperlink" Target="https://pubmed.ncbi.nlm.nih.gov/?term=29212260%2C%2022728651%2C%2020196784%5Buid%5D" TargetMode="External"/><Relationship Id="rId1075" Type="http://schemas.openxmlformats.org/officeDocument/2006/relationships/hyperlink" Target="https://www.ncbi.nlm.nih.gov/gene/7015" TargetMode="External"/><Relationship Id="rId1282" Type="http://schemas.openxmlformats.org/officeDocument/2006/relationships/hyperlink" Target="https://www.ncbi.nlm.nih.gov/gene/5296" TargetMode="External"/><Relationship Id="rId2126" Type="http://schemas.openxmlformats.org/officeDocument/2006/relationships/hyperlink" Target="https://www.uniprot.org/uniprot/P49841" TargetMode="External"/><Relationship Id="rId2333" Type="http://schemas.openxmlformats.org/officeDocument/2006/relationships/hyperlink" Target="https://www.uniprot.org/uniprot/Q13131" TargetMode="External"/><Relationship Id="rId2540" Type="http://schemas.openxmlformats.org/officeDocument/2006/relationships/hyperlink" Target="https://www.uniprot.org/uniprot/Q8TDG4" TargetMode="External"/><Relationship Id="rId305" Type="http://schemas.openxmlformats.org/officeDocument/2006/relationships/hyperlink" Target="https://pubmed.ncbi.nlm.nih.gov/?term=22051193%5Buid%5D" TargetMode="External"/><Relationship Id="rId512" Type="http://schemas.openxmlformats.org/officeDocument/2006/relationships/hyperlink" Target="https://pubmed.ncbi.nlm.nih.gov/?term=30477538%2C%2010673506%2C%2033272245%5Buid%5D" TargetMode="External"/><Relationship Id="rId1142" Type="http://schemas.openxmlformats.org/officeDocument/2006/relationships/hyperlink" Target="https://www.ncbi.nlm.nih.gov/gene/6573" TargetMode="External"/><Relationship Id="rId2400" Type="http://schemas.openxmlformats.org/officeDocument/2006/relationships/hyperlink" Target="https://www.uniprot.org/uniprot/P35228" TargetMode="External"/><Relationship Id="rId1002" Type="http://schemas.openxmlformats.org/officeDocument/2006/relationships/hyperlink" Target="https://www.ncbi.nlm.nih.gov/gene/7405" TargetMode="External"/><Relationship Id="rId1959" Type="http://schemas.openxmlformats.org/officeDocument/2006/relationships/hyperlink" Target="https://www.uniprot.org/uniprot/Q8TCB7" TargetMode="External"/><Relationship Id="rId1819" Type="http://schemas.openxmlformats.org/officeDocument/2006/relationships/hyperlink" Target="https://www.ncbi.nlm.nih.gov/gene/538" TargetMode="External"/><Relationship Id="rId2190" Type="http://schemas.openxmlformats.org/officeDocument/2006/relationships/hyperlink" Target="https://www.uniprot.org/uniprot/Q13472" TargetMode="External"/><Relationship Id="rId162" Type="http://schemas.openxmlformats.org/officeDocument/2006/relationships/hyperlink" Target="https://pubmed.ncbi.nlm.nih.gov/?term=22289679%2C%2019239430%5Buid%5D" TargetMode="External"/><Relationship Id="rId2050" Type="http://schemas.openxmlformats.org/officeDocument/2006/relationships/hyperlink" Target="https://www.uniprot.org/uniprot/P05556" TargetMode="External"/><Relationship Id="rId979" Type="http://schemas.openxmlformats.org/officeDocument/2006/relationships/hyperlink" Target="https://www.ncbi.nlm.nih.gov/gene/2547" TargetMode="External"/><Relationship Id="rId839" Type="http://schemas.openxmlformats.org/officeDocument/2006/relationships/hyperlink" Target="https://pubmed.ncbi.nlm.nih.gov/?term=27779244%2C%2019052713%2C%2020051827%2C%2023463593%5Buid%5D" TargetMode="External"/><Relationship Id="rId1469" Type="http://schemas.openxmlformats.org/officeDocument/2006/relationships/hyperlink" Target="https://www.ncbi.nlm.nih.gov/gene/10524" TargetMode="External"/><Relationship Id="rId1676" Type="http://schemas.openxmlformats.org/officeDocument/2006/relationships/hyperlink" Target="https://www.ncbi.nlm.nih.gov/gene/780" TargetMode="External"/><Relationship Id="rId1883" Type="http://schemas.openxmlformats.org/officeDocument/2006/relationships/hyperlink" Target="https://www.ncbi.nlm.nih.gov/gene/1244" TargetMode="External"/><Relationship Id="rId2727" Type="http://schemas.openxmlformats.org/officeDocument/2006/relationships/hyperlink" Target="https://www.uniprot.org/uniprot/Q9UMX3" TargetMode="External"/><Relationship Id="rId906" Type="http://schemas.openxmlformats.org/officeDocument/2006/relationships/hyperlink" Target="https://pubmed.ncbi.nlm.nih.gov/?term=24389815%2C%2025354091%2C%2027184254%2C%2027862665%5Buid%5D" TargetMode="External"/><Relationship Id="rId1329" Type="http://schemas.openxmlformats.org/officeDocument/2006/relationships/hyperlink" Target="https://www.ncbi.nlm.nih.gov/gene/8828" TargetMode="External"/><Relationship Id="rId1536" Type="http://schemas.openxmlformats.org/officeDocument/2006/relationships/hyperlink" Target="https://www.ncbi.nlm.nih.gov/gene/1839" TargetMode="External"/><Relationship Id="rId1743" Type="http://schemas.openxmlformats.org/officeDocument/2006/relationships/hyperlink" Target="https://www.ncbi.nlm.nih.gov/gene/998" TargetMode="External"/><Relationship Id="rId1950" Type="http://schemas.openxmlformats.org/officeDocument/2006/relationships/hyperlink" Target="https://www.uniprot.org/uniprot/Q13618" TargetMode="External"/><Relationship Id="rId35" Type="http://schemas.openxmlformats.org/officeDocument/2006/relationships/hyperlink" Target="https://pubmed.ncbi.nlm.nih.gov/?term=21285982%2C%2022826605%2C%2029415318%5Buid%5D" TargetMode="External"/><Relationship Id="rId1603" Type="http://schemas.openxmlformats.org/officeDocument/2006/relationships/hyperlink" Target="https://www.ncbi.nlm.nih.gov/gene/2189" TargetMode="External"/><Relationship Id="rId1810" Type="http://schemas.openxmlformats.org/officeDocument/2006/relationships/hyperlink" Target="https://www.ncbi.nlm.nih.gov/gene/8314" TargetMode="External"/><Relationship Id="rId489" Type="http://schemas.openxmlformats.org/officeDocument/2006/relationships/hyperlink" Target="https://pubmed.ncbi.nlm.nih.gov/?term=31791583%5Buid%5D" TargetMode="External"/><Relationship Id="rId696" Type="http://schemas.openxmlformats.org/officeDocument/2006/relationships/hyperlink" Target="https://pubmed.ncbi.nlm.nih.gov/?term=16978399%2C%2025538733%2C%2021571861%2C%2024688722%2C%2016227411%5Buid%5D" TargetMode="External"/><Relationship Id="rId2377" Type="http://schemas.openxmlformats.org/officeDocument/2006/relationships/hyperlink" Target="https://www.uniprot.org/uniprot/Q9UGN5" TargetMode="External"/><Relationship Id="rId2584" Type="http://schemas.openxmlformats.org/officeDocument/2006/relationships/hyperlink" Target="https://www.uniprot.org/uniprot/Q969P5" TargetMode="External"/><Relationship Id="rId2791" Type="http://schemas.openxmlformats.org/officeDocument/2006/relationships/hyperlink" Target="https://www.uniprot.org/uniprot/P78536" TargetMode="External"/><Relationship Id="rId349" Type="http://schemas.openxmlformats.org/officeDocument/2006/relationships/hyperlink" Target="https://pubmed.ncbi.nlm.nih.gov/?term=31783581%2C%2028219206%5Buid%5D" TargetMode="External"/><Relationship Id="rId556" Type="http://schemas.openxmlformats.org/officeDocument/2006/relationships/hyperlink" Target="https://pubmed.ncbi.nlm.nih.gov/?term=28416770%5Buid%5D" TargetMode="External"/><Relationship Id="rId763" Type="http://schemas.openxmlformats.org/officeDocument/2006/relationships/hyperlink" Target="https://pubmed.ncbi.nlm.nih.gov/?term=30334452%2C%2026513225%5Buid%5D" TargetMode="External"/><Relationship Id="rId1186" Type="http://schemas.openxmlformats.org/officeDocument/2006/relationships/hyperlink" Target="https://www.ncbi.nlm.nih.gov/gene/8635" TargetMode="External"/><Relationship Id="rId1393" Type="http://schemas.openxmlformats.org/officeDocument/2006/relationships/hyperlink" Target="https://www.ncbi.nlm.nih.gov/gene/4311" TargetMode="External"/><Relationship Id="rId2237" Type="http://schemas.openxmlformats.org/officeDocument/2006/relationships/hyperlink" Target="https://www.uniprot.org/uniprot/Q9HAU4" TargetMode="External"/><Relationship Id="rId2444" Type="http://schemas.openxmlformats.org/officeDocument/2006/relationships/hyperlink" Target="https://www.uniprot.org/uniprot/O75030" TargetMode="External"/><Relationship Id="rId209" Type="http://schemas.openxmlformats.org/officeDocument/2006/relationships/hyperlink" Target="https://pubmed.ncbi.nlm.nih.gov/?term=29048400%2C%2015572677%5Buid%5D" TargetMode="External"/><Relationship Id="rId416" Type="http://schemas.openxmlformats.org/officeDocument/2006/relationships/hyperlink" Target="https://pubmed.ncbi.nlm.nih.gov/?term=28328815%2C%2030930993%5Buid%5D" TargetMode="External"/><Relationship Id="rId970" Type="http://schemas.openxmlformats.org/officeDocument/2006/relationships/hyperlink" Target="https://www.ncbi.nlm.nih.gov/gene/6935" TargetMode="External"/><Relationship Id="rId1046" Type="http://schemas.openxmlformats.org/officeDocument/2006/relationships/hyperlink" Target="https://www.ncbi.nlm.nih.gov/gene/8797" TargetMode="External"/><Relationship Id="rId1253" Type="http://schemas.openxmlformats.org/officeDocument/2006/relationships/hyperlink" Target="https://www.ncbi.nlm.nih.gov/gene/5493" TargetMode="External"/><Relationship Id="rId2651" Type="http://schemas.openxmlformats.org/officeDocument/2006/relationships/hyperlink" Target="https://www.uniprot.org/uniprot/Q9UER7" TargetMode="External"/><Relationship Id="rId623" Type="http://schemas.openxmlformats.org/officeDocument/2006/relationships/hyperlink" Target="https://pubmed.ncbi.nlm.nih.gov/?term=19258036%2C%2019276398%5Buid%5D" TargetMode="External"/><Relationship Id="rId830" Type="http://schemas.openxmlformats.org/officeDocument/2006/relationships/hyperlink" Target="https://pubmed.ncbi.nlm.nih.gov/?term=11968124%2C%2019259415%2C%209381969%2C%207637237%5Buid%5D" TargetMode="External"/><Relationship Id="rId1460" Type="http://schemas.openxmlformats.org/officeDocument/2006/relationships/hyperlink" Target="https://www.ncbi.nlm.nih.gov/gene/3815" TargetMode="External"/><Relationship Id="rId2304" Type="http://schemas.openxmlformats.org/officeDocument/2006/relationships/hyperlink" Target="https://www.uniprot.org/uniprot/P43351" TargetMode="External"/><Relationship Id="rId2511" Type="http://schemas.openxmlformats.org/officeDocument/2006/relationships/hyperlink" Target="https://www.uniprot.org/uniprot/P08887" TargetMode="External"/><Relationship Id="rId1113" Type="http://schemas.openxmlformats.org/officeDocument/2006/relationships/hyperlink" Target="https://www.ncbi.nlm.nih.gov/gene/6591" TargetMode="External"/><Relationship Id="rId1320" Type="http://schemas.openxmlformats.org/officeDocument/2006/relationships/hyperlink" Target="https://www.ncbi.nlm.nih.gov/gene/5058" TargetMode="External"/><Relationship Id="rId2094" Type="http://schemas.openxmlformats.org/officeDocument/2006/relationships/hyperlink" Target="https://www.uniprot.org/uniprot/Q02413" TargetMode="External"/><Relationship Id="rId273" Type="http://schemas.openxmlformats.org/officeDocument/2006/relationships/hyperlink" Target="https://pubmed.ncbi.nlm.nih.gov/?term=15252143%2C%2029950928%2C%20%2029974077%2C%2011066046%5Buid%5D" TargetMode="External"/><Relationship Id="rId480" Type="http://schemas.openxmlformats.org/officeDocument/2006/relationships/hyperlink" Target="https://pubmed.ncbi.nlm.nih.gov/?term=21996734%2C%2022584435%2C%2020651982%5Buid%5D" TargetMode="External"/><Relationship Id="rId2161" Type="http://schemas.openxmlformats.org/officeDocument/2006/relationships/hyperlink" Target="https://www.uniprot.org/uniprot/Q9NZC7" TargetMode="External"/><Relationship Id="rId133" Type="http://schemas.openxmlformats.org/officeDocument/2006/relationships/hyperlink" Target="https://pubmed.ncbi.nlm.nih.gov/?term=26983899%5Buid%5D" TargetMode="External"/><Relationship Id="rId340" Type="http://schemas.openxmlformats.org/officeDocument/2006/relationships/hyperlink" Target="https://pubmed.ncbi.nlm.nih.gov/?term=29669295%5Buid%5D" TargetMode="External"/><Relationship Id="rId2021" Type="http://schemas.openxmlformats.org/officeDocument/2006/relationships/hyperlink" Target="https://www.uniprot.org/uniprot/Q96PU5" TargetMode="External"/><Relationship Id="rId200" Type="http://schemas.openxmlformats.org/officeDocument/2006/relationships/hyperlink" Target="https://pubmed.ncbi.nlm.nih.gov/?term=28721072%5Buid%5D" TargetMode="External"/><Relationship Id="rId1787" Type="http://schemas.openxmlformats.org/officeDocument/2006/relationships/hyperlink" Target="https://www.ncbi.nlm.nih.gov/gene/664" TargetMode="External"/><Relationship Id="rId1994" Type="http://schemas.openxmlformats.org/officeDocument/2006/relationships/hyperlink" Target="https://www.uniprot.org/uniprot/Q9UJA3" TargetMode="External"/><Relationship Id="rId79" Type="http://schemas.openxmlformats.org/officeDocument/2006/relationships/hyperlink" Target="https://pubmed.ncbi.nlm.nih.gov/?term=24992675%2C%2028628188%5Buid%5D" TargetMode="External"/><Relationship Id="rId1647" Type="http://schemas.openxmlformats.org/officeDocument/2006/relationships/hyperlink" Target="https://www.ncbi.nlm.nih.gov/gene/9451" TargetMode="External"/><Relationship Id="rId1854" Type="http://schemas.openxmlformats.org/officeDocument/2006/relationships/hyperlink" Target="https://www.ncbi.nlm.nih.gov/gene/55626" TargetMode="External"/><Relationship Id="rId1507" Type="http://schemas.openxmlformats.org/officeDocument/2006/relationships/hyperlink" Target="https://www.ncbi.nlm.nih.gov/gene/3326" TargetMode="External"/><Relationship Id="rId1714" Type="http://schemas.openxmlformats.org/officeDocument/2006/relationships/hyperlink" Target="https://www.ncbi.nlm.nih.gov/gene/9575" TargetMode="External"/><Relationship Id="rId1921" Type="http://schemas.openxmlformats.org/officeDocument/2006/relationships/hyperlink" Target="https://www.uniprot.org/uniprot/Q16552" TargetMode="External"/><Relationship Id="rId2488" Type="http://schemas.openxmlformats.org/officeDocument/2006/relationships/hyperlink" Target="https://www.uniprot.org/uniprot/P05787" TargetMode="External"/><Relationship Id="rId1297" Type="http://schemas.openxmlformats.org/officeDocument/2006/relationships/hyperlink" Target="https://www.ncbi.nlm.nih.gov/gene/8566" TargetMode="External"/><Relationship Id="rId2695" Type="http://schemas.openxmlformats.org/officeDocument/2006/relationships/hyperlink" Target="https://www.uniprot.org/uniprot/P12830" TargetMode="External"/><Relationship Id="rId667" Type="http://schemas.openxmlformats.org/officeDocument/2006/relationships/hyperlink" Target="https://pubmed.ncbi.nlm.nih.gov/?term=24921917%5Buid%5D" TargetMode="External"/><Relationship Id="rId874" Type="http://schemas.openxmlformats.org/officeDocument/2006/relationships/hyperlink" Target="https://pubmed.ncbi.nlm.nih.gov/?term=31160576%5Buid%5D" TargetMode="External"/><Relationship Id="rId2348" Type="http://schemas.openxmlformats.org/officeDocument/2006/relationships/hyperlink" Target="https://www.uniprot.org/uniprot/P06746" TargetMode="External"/><Relationship Id="rId2555" Type="http://schemas.openxmlformats.org/officeDocument/2006/relationships/hyperlink" Target="https://www.uniprot.org/uniprot/O60565" TargetMode="External"/><Relationship Id="rId2762" Type="http://schemas.openxmlformats.org/officeDocument/2006/relationships/hyperlink" Target="https://www.uniprot.org/uniprot/Q9H1Y0" TargetMode="External"/><Relationship Id="rId527" Type="http://schemas.openxmlformats.org/officeDocument/2006/relationships/hyperlink" Target="https://pubmed.ncbi.nlm.nih.gov/?term=26550452%5Buid%5D" TargetMode="External"/><Relationship Id="rId734" Type="http://schemas.openxmlformats.org/officeDocument/2006/relationships/hyperlink" Target="https://pubmed.ncbi.nlm.nih.gov/?term=27501952%2C%2029956807%20%5Buid%5D" TargetMode="External"/><Relationship Id="rId941" Type="http://schemas.openxmlformats.org/officeDocument/2006/relationships/hyperlink" Target="https://www.ncbi.nlm.nih.gov/gene/4035" TargetMode="External"/><Relationship Id="rId1157" Type="http://schemas.openxmlformats.org/officeDocument/2006/relationships/hyperlink" Target="https://www.ncbi.nlm.nih.gov/gene/29843" TargetMode="External"/><Relationship Id="rId1364" Type="http://schemas.openxmlformats.org/officeDocument/2006/relationships/hyperlink" Target="https://www.ncbi.nlm.nih.gov/gene/4609" TargetMode="External"/><Relationship Id="rId1571" Type="http://schemas.openxmlformats.org/officeDocument/2006/relationships/hyperlink" Target="https://www.ncbi.nlm.nih.gov/gene/2551" TargetMode="External"/><Relationship Id="rId2208" Type="http://schemas.openxmlformats.org/officeDocument/2006/relationships/hyperlink" Target="https://www.uniprot.org/uniprot/P01137" TargetMode="External"/><Relationship Id="rId2415" Type="http://schemas.openxmlformats.org/officeDocument/2006/relationships/hyperlink" Target="https://www.uniprot.org/uniprot/Q9H9S0" TargetMode="External"/><Relationship Id="rId2622" Type="http://schemas.openxmlformats.org/officeDocument/2006/relationships/hyperlink" Target="https://www.uniprot.org/uniprot/Q13541" TargetMode="External"/><Relationship Id="rId70" Type="http://schemas.openxmlformats.org/officeDocument/2006/relationships/hyperlink" Target="https://pubmed.ncbi.nlm.nih.gov/?term=11519050%2C%2015547183%5Buid%5D" TargetMode="External"/><Relationship Id="rId801" Type="http://schemas.openxmlformats.org/officeDocument/2006/relationships/hyperlink" Target="https://pubmed.ncbi.nlm.nih.gov/?term=29466876%5Buid%5D" TargetMode="External"/><Relationship Id="rId1017" Type="http://schemas.openxmlformats.org/officeDocument/2006/relationships/hyperlink" Target="https://www.ncbi.nlm.nih.gov/gene/9352" TargetMode="External"/><Relationship Id="rId1224" Type="http://schemas.openxmlformats.org/officeDocument/2006/relationships/hyperlink" Target="https://www.ncbi.nlm.nih.gov/gene/5829" TargetMode="External"/><Relationship Id="rId1431" Type="http://schemas.openxmlformats.org/officeDocument/2006/relationships/hyperlink" Target="https://www.ncbi.nlm.nih.gov/gene/4118" TargetMode="External"/><Relationship Id="rId177" Type="http://schemas.openxmlformats.org/officeDocument/2006/relationships/hyperlink" Target="https://pubmed.ncbi.nlm.nih.gov/?term=27825122%2C%2029805518%5Buid%5D" TargetMode="External"/><Relationship Id="rId384" Type="http://schemas.openxmlformats.org/officeDocument/2006/relationships/hyperlink" Target="https://pubmed.ncbi.nlm.nih.gov/?term=27194715%2C%2030131848%5Buid%5D" TargetMode="External"/><Relationship Id="rId591" Type="http://schemas.openxmlformats.org/officeDocument/2006/relationships/hyperlink" Target="https://pubmed.ncbi.nlm.nih.gov/?term=28039608%5Buid%5D" TargetMode="External"/><Relationship Id="rId2065" Type="http://schemas.openxmlformats.org/officeDocument/2006/relationships/hyperlink" Target="https://www.uniprot.org/uniprot/P12644" TargetMode="External"/><Relationship Id="rId2272" Type="http://schemas.openxmlformats.org/officeDocument/2006/relationships/hyperlink" Target="https://www.uniprot.org/uniprot/P04271" TargetMode="External"/><Relationship Id="rId244" Type="http://schemas.openxmlformats.org/officeDocument/2006/relationships/hyperlink" Target="https://pubmed.ncbi.nlm.nih.gov/?term=25650716%5Buid%5D" TargetMode="External"/><Relationship Id="rId1081" Type="http://schemas.openxmlformats.org/officeDocument/2006/relationships/hyperlink" Target="https://www.ncbi.nlm.nih.gov/gene/6890" TargetMode="External"/><Relationship Id="rId451" Type="http://schemas.openxmlformats.org/officeDocument/2006/relationships/hyperlink" Target="https://pubmed.ncbi.nlm.nih.gov/?term=29168038%2C%2022909338%5Buid%5D" TargetMode="External"/><Relationship Id="rId2132" Type="http://schemas.openxmlformats.org/officeDocument/2006/relationships/hyperlink" Target="https://www.uniprot.org/uniprot/O43396" TargetMode="External"/><Relationship Id="rId104" Type="http://schemas.openxmlformats.org/officeDocument/2006/relationships/hyperlink" Target="https://pubmed.ncbi.nlm.nih.gov/?term=26235139%5Buid%5D" TargetMode="External"/><Relationship Id="rId311" Type="http://schemas.openxmlformats.org/officeDocument/2006/relationships/hyperlink" Target="https://pubmed.ncbi.nlm.nih.gov/?term=27633497%2C%2014734480%5Buid%5D" TargetMode="External"/><Relationship Id="rId1898" Type="http://schemas.openxmlformats.org/officeDocument/2006/relationships/hyperlink" Target="https://www.uniprot.org/uniprot/P29317" TargetMode="External"/><Relationship Id="rId1758" Type="http://schemas.openxmlformats.org/officeDocument/2006/relationships/hyperlink" Target="https://www.ncbi.nlm.nih.gov/gene/1490" TargetMode="External"/><Relationship Id="rId2809" Type="http://schemas.openxmlformats.org/officeDocument/2006/relationships/comments" Target="../comments1.xml"/><Relationship Id="rId1965" Type="http://schemas.openxmlformats.org/officeDocument/2006/relationships/hyperlink" Target="https://www.uniprot.org/uniprot/P56693" TargetMode="External"/><Relationship Id="rId1618" Type="http://schemas.openxmlformats.org/officeDocument/2006/relationships/hyperlink" Target="https://www.ncbi.nlm.nih.gov/gene/2146" TargetMode="External"/><Relationship Id="rId1825" Type="http://schemas.openxmlformats.org/officeDocument/2006/relationships/hyperlink" Target="https://www.ncbi.nlm.nih.gov/gene/523" TargetMode="External"/><Relationship Id="rId2599" Type="http://schemas.openxmlformats.org/officeDocument/2006/relationships/hyperlink" Target="https://www.uniprot.org/uniprot/O15360" TargetMode="External"/><Relationship Id="rId778" Type="http://schemas.openxmlformats.org/officeDocument/2006/relationships/hyperlink" Target="https://pubmed.ncbi.nlm.nih.gov/?term=21464321%2C%2030576517%2C%2019595721%5Buid%5D" TargetMode="External"/><Relationship Id="rId985" Type="http://schemas.openxmlformats.org/officeDocument/2006/relationships/hyperlink" Target="https://www.ncbi.nlm.nih.gov/gene/7514" TargetMode="External"/><Relationship Id="rId2459" Type="http://schemas.openxmlformats.org/officeDocument/2006/relationships/hyperlink" Target="https://www.uniprot.org/uniprot/O15264" TargetMode="External"/><Relationship Id="rId2666" Type="http://schemas.openxmlformats.org/officeDocument/2006/relationships/hyperlink" Target="https://www.uniprot.org/uniprot/P16220" TargetMode="External"/><Relationship Id="rId638" Type="http://schemas.openxmlformats.org/officeDocument/2006/relationships/hyperlink" Target="https://pubmed.ncbi.nlm.nih.gov/?term=28391554%2C%2029715472%5Buid%5D" TargetMode="External"/><Relationship Id="rId845" Type="http://schemas.openxmlformats.org/officeDocument/2006/relationships/hyperlink" Target="https://pubmed.ncbi.nlm.nih.gov/?term=20381954%5Buid%5D" TargetMode="External"/><Relationship Id="rId1268" Type="http://schemas.openxmlformats.org/officeDocument/2006/relationships/hyperlink" Target="https://www.ncbi.nlm.nih.gov/gene/5420" TargetMode="External"/><Relationship Id="rId1475" Type="http://schemas.openxmlformats.org/officeDocument/2006/relationships/hyperlink" Target="https://www.ncbi.nlm.nih.gov/gene/182" TargetMode="External"/><Relationship Id="rId1682" Type="http://schemas.openxmlformats.org/officeDocument/2006/relationships/hyperlink" Target="https://www.ncbi.nlm.nih.gov/gene/64858" TargetMode="External"/><Relationship Id="rId2319" Type="http://schemas.openxmlformats.org/officeDocument/2006/relationships/hyperlink" Target="https://www.uniprot.org/uniprot/P40306" TargetMode="External"/><Relationship Id="rId2526" Type="http://schemas.openxmlformats.org/officeDocument/2006/relationships/hyperlink" Target="https://www.uniprot.org/uniprot/P0DMV9" TargetMode="External"/><Relationship Id="rId2733" Type="http://schemas.openxmlformats.org/officeDocument/2006/relationships/hyperlink" Target="https://www.uniprot.org/uniprot/P55957" TargetMode="External"/><Relationship Id="rId705" Type="http://schemas.openxmlformats.org/officeDocument/2006/relationships/hyperlink" Target="https://pubmed.ncbi.nlm.nih.gov/?term=21044322%2C%2024475290%5Buid%5D" TargetMode="External"/><Relationship Id="rId1128" Type="http://schemas.openxmlformats.org/officeDocument/2006/relationships/hyperlink" Target="https://www.ncbi.nlm.nih.gov/gene/113235" TargetMode="External"/><Relationship Id="rId1335" Type="http://schemas.openxmlformats.org/officeDocument/2006/relationships/hyperlink" Target="https://www.ncbi.nlm.nih.gov/gene/79400" TargetMode="External"/><Relationship Id="rId1542" Type="http://schemas.openxmlformats.org/officeDocument/2006/relationships/hyperlink" Target="https://www.ncbi.nlm.nih.gov/gene/373156" TargetMode="External"/><Relationship Id="rId912" Type="http://schemas.openxmlformats.org/officeDocument/2006/relationships/hyperlink" Target="https://pubmed.ncbi.nlm.nih.gov/?term=22403616%2C%2029565481%5Buid%5D" TargetMode="External"/><Relationship Id="rId2800" Type="http://schemas.openxmlformats.org/officeDocument/2006/relationships/hyperlink" Target="https://www.uniprot.org/uniprot/O15440" TargetMode="External"/><Relationship Id="rId41" Type="http://schemas.openxmlformats.org/officeDocument/2006/relationships/hyperlink" Target="https://pubmed.ncbi.nlm.nih.gov/?term=19598262%2C%2024244679%5Buid%5D" TargetMode="External"/><Relationship Id="rId1402" Type="http://schemas.openxmlformats.org/officeDocument/2006/relationships/hyperlink" Target="https://www.ncbi.nlm.nih.gov/gene/4245" TargetMode="External"/><Relationship Id="rId288" Type="http://schemas.openxmlformats.org/officeDocument/2006/relationships/hyperlink" Target="https://pubmed.ncbi.nlm.nih.gov/?term=26385482%2C%2012692539%5Buid%5D" TargetMode="External"/><Relationship Id="rId495" Type="http://schemas.openxmlformats.org/officeDocument/2006/relationships/hyperlink" Target="https://pubmed.ncbi.nlm.nih.gov/?term=21127195%5Buid%5D" TargetMode="External"/><Relationship Id="rId2176" Type="http://schemas.openxmlformats.org/officeDocument/2006/relationships/hyperlink" Target="https://www.uniprot.org/uniprot/Q9NPD8" TargetMode="External"/><Relationship Id="rId2383" Type="http://schemas.openxmlformats.org/officeDocument/2006/relationships/hyperlink" Target="https://www.uniprot.org/uniprot/Q86YC2" TargetMode="External"/><Relationship Id="rId2590" Type="http://schemas.openxmlformats.org/officeDocument/2006/relationships/hyperlink" Target="https://www.uniprot.org/uniprot/Q8IYD8" TargetMode="External"/><Relationship Id="rId148" Type="http://schemas.openxmlformats.org/officeDocument/2006/relationships/hyperlink" Target="https://pubmed.ncbi.nlm.nih.gov/?term=27133165%5Buid%5D" TargetMode="External"/><Relationship Id="rId355" Type="http://schemas.openxmlformats.org/officeDocument/2006/relationships/hyperlink" Target="https://pubmed.ncbi.nlm.nih.gov/?term=25648141%2C%202898306%2C%2020200426%5Buid%5D" TargetMode="External"/><Relationship Id="rId562" Type="http://schemas.openxmlformats.org/officeDocument/2006/relationships/hyperlink" Target="https://pubmed.ncbi.nlm.nih.gov/?term=28416766%5Buid%5D" TargetMode="External"/><Relationship Id="rId1192" Type="http://schemas.openxmlformats.org/officeDocument/2006/relationships/hyperlink" Target="https://www.ncbi.nlm.nih.gov/gene/26575" TargetMode="External"/><Relationship Id="rId2036" Type="http://schemas.openxmlformats.org/officeDocument/2006/relationships/hyperlink" Target="https://www.uniprot.org/uniprot/O43318" TargetMode="External"/><Relationship Id="rId2243" Type="http://schemas.openxmlformats.org/officeDocument/2006/relationships/hyperlink" Target="https://www.uniprot.org/uniprot/Q8IY92" TargetMode="External"/><Relationship Id="rId2450" Type="http://schemas.openxmlformats.org/officeDocument/2006/relationships/hyperlink" Target="https://www.uniprot.org/uniprot/O00255" TargetMode="External"/><Relationship Id="rId215" Type="http://schemas.openxmlformats.org/officeDocument/2006/relationships/hyperlink" Target="https://pubmed.ncbi.nlm.nih.gov/?term=29702190%5Buid%5D" TargetMode="External"/><Relationship Id="rId422" Type="http://schemas.openxmlformats.org/officeDocument/2006/relationships/hyperlink" Target="https://pubmed.ncbi.nlm.nih.gov/?term=15608674%5Buid%5D" TargetMode="External"/><Relationship Id="rId1052" Type="http://schemas.openxmlformats.org/officeDocument/2006/relationships/hyperlink" Target="https://www.ncbi.nlm.nih.gov/gene/92162" TargetMode="External"/><Relationship Id="rId2103" Type="http://schemas.openxmlformats.org/officeDocument/2006/relationships/hyperlink" Target="https://www.uniprot.org/uniprot/P05198" TargetMode="External"/><Relationship Id="rId2310" Type="http://schemas.openxmlformats.org/officeDocument/2006/relationships/hyperlink" Target="https://www.uniprot.org/uniprot/P54727" TargetMode="External"/><Relationship Id="rId1869" Type="http://schemas.openxmlformats.org/officeDocument/2006/relationships/hyperlink" Target="https://www.ncbi.nlm.nih.gov/gene/6868" TargetMode="External"/><Relationship Id="rId1729" Type="http://schemas.openxmlformats.org/officeDocument/2006/relationships/hyperlink" Target="https://www.ncbi.nlm.nih.gov/gene/1031" TargetMode="External"/><Relationship Id="rId1936" Type="http://schemas.openxmlformats.org/officeDocument/2006/relationships/hyperlink" Target="https://www.uniprot.org/uniprot/P36969" TargetMode="External"/><Relationship Id="rId5" Type="http://schemas.openxmlformats.org/officeDocument/2006/relationships/hyperlink" Target="https://pubmed.ncbi.nlm.nih.gov/?term=20005867,25308861,20082278" TargetMode="External"/><Relationship Id="rId889" Type="http://schemas.openxmlformats.org/officeDocument/2006/relationships/hyperlink" Target="https://pubmed.ncbi.nlm.nih.gov/?term=29928365%5Buid%5D" TargetMode="External"/><Relationship Id="rId2777" Type="http://schemas.openxmlformats.org/officeDocument/2006/relationships/hyperlink" Target="https://www.uniprot.org/uniprot/Q9C0C7" TargetMode="External"/><Relationship Id="rId749" Type="http://schemas.openxmlformats.org/officeDocument/2006/relationships/hyperlink" Target="https://pubmed.ncbi.nlm.nih.gov/?term=18942711%2C%2019957335%5Buid%5D" TargetMode="External"/><Relationship Id="rId1379" Type="http://schemas.openxmlformats.org/officeDocument/2006/relationships/hyperlink" Target="https://www.ncbi.nlm.nih.gov/gene/10232" TargetMode="External"/><Relationship Id="rId1586" Type="http://schemas.openxmlformats.org/officeDocument/2006/relationships/hyperlink" Target="https://www.ncbi.nlm.nih.gov/gene/2335" TargetMode="External"/><Relationship Id="rId609" Type="http://schemas.openxmlformats.org/officeDocument/2006/relationships/hyperlink" Target="https://pubmed.ncbi.nlm.nih.gov/?term=30925862,23060548,29199648" TargetMode="External"/><Relationship Id="rId956" Type="http://schemas.openxmlformats.org/officeDocument/2006/relationships/hyperlink" Target="https://www.ncbi.nlm.nih.gov/gene/597" TargetMode="External"/><Relationship Id="rId1239" Type="http://schemas.openxmlformats.org/officeDocument/2006/relationships/hyperlink" Target="https://www.ncbi.nlm.nih.gov/gene/5592" TargetMode="External"/><Relationship Id="rId1793" Type="http://schemas.openxmlformats.org/officeDocument/2006/relationships/hyperlink" Target="https://www.ncbi.nlm.nih.gov/gene/332" TargetMode="External"/><Relationship Id="rId2637" Type="http://schemas.openxmlformats.org/officeDocument/2006/relationships/hyperlink" Target="https://www.uniprot.org/uniprot/P28562" TargetMode="External"/><Relationship Id="rId85" Type="http://schemas.openxmlformats.org/officeDocument/2006/relationships/hyperlink" Target="https://pubmed.ncbi.nlm.nih.gov/?term=27246112%5Buid%5D" TargetMode="External"/><Relationship Id="rId816" Type="http://schemas.openxmlformats.org/officeDocument/2006/relationships/hyperlink" Target="https://pubmed.ncbi.nlm.nih.gov/?term=18381433%5Buid%5D" TargetMode="External"/><Relationship Id="rId1446" Type="http://schemas.openxmlformats.org/officeDocument/2006/relationships/hyperlink" Target="https://www.ncbi.nlm.nih.gov/gene/3958" TargetMode="External"/><Relationship Id="rId1653" Type="http://schemas.openxmlformats.org/officeDocument/2006/relationships/hyperlink" Target="https://www.ncbi.nlm.nih.gov/gene/1950" TargetMode="External"/><Relationship Id="rId1860" Type="http://schemas.openxmlformats.org/officeDocument/2006/relationships/hyperlink" Target="https://www.ncbi.nlm.nih.gov/gene/84335" TargetMode="External"/><Relationship Id="rId2704" Type="http://schemas.openxmlformats.org/officeDocument/2006/relationships/hyperlink" Target="https://www.uniprot.org/uniprot/P24864" TargetMode="External"/><Relationship Id="rId1306" Type="http://schemas.openxmlformats.org/officeDocument/2006/relationships/hyperlink" Target="https://www.ncbi.nlm.nih.gov/gene/9768" TargetMode="External"/><Relationship Id="rId1513" Type="http://schemas.openxmlformats.org/officeDocument/2006/relationships/hyperlink" Target="https://www.ncbi.nlm.nih.gov/gene/3234" TargetMode="External"/><Relationship Id="rId1720" Type="http://schemas.openxmlformats.org/officeDocument/2006/relationships/hyperlink" Target="https://www.ncbi.nlm.nih.gov/gene/9076" TargetMode="External"/><Relationship Id="rId12" Type="http://schemas.openxmlformats.org/officeDocument/2006/relationships/hyperlink" Target="https://pubmed.ncbi.nlm.nih.gov/?term=20354527%2C%20%2022112610%2C%2023423781%2C%2015014021%5Buid%5D" TargetMode="External"/><Relationship Id="rId399" Type="http://schemas.openxmlformats.org/officeDocument/2006/relationships/hyperlink" Target="https://pubmed.ncbi.nlm.nih.gov/?term=26158423%5Buid%5D" TargetMode="External"/><Relationship Id="rId2287" Type="http://schemas.openxmlformats.org/officeDocument/2006/relationships/hyperlink" Target="https://www.uniprot.org/uniprot/Q5UIP0" TargetMode="External"/><Relationship Id="rId2494" Type="http://schemas.openxmlformats.org/officeDocument/2006/relationships/hyperlink" Target="https://www.uniprot.org/uniprot/P10721" TargetMode="External"/><Relationship Id="rId259" Type="http://schemas.openxmlformats.org/officeDocument/2006/relationships/hyperlink" Target="https://pubmed.ncbi.nlm.nih.gov/?term=28341962%2C%2020210796%2C%2021310163%5Buid%5D" TargetMode="External"/><Relationship Id="rId466" Type="http://schemas.openxmlformats.org/officeDocument/2006/relationships/hyperlink" Target="https://pubmed.ncbi.nlm.nih.gov/?term=10631324%2C%2012565863%5Buid%5D" TargetMode="External"/><Relationship Id="rId673" Type="http://schemas.openxmlformats.org/officeDocument/2006/relationships/hyperlink" Target="https://pubmed.ncbi.nlm.nih.gov/?term=27833130%5Buid%5D" TargetMode="External"/><Relationship Id="rId880" Type="http://schemas.openxmlformats.org/officeDocument/2006/relationships/hyperlink" Target="https://pubmed.ncbi.nlm.nih.gov/?term=31524236%5Buid%5D" TargetMode="External"/><Relationship Id="rId1096" Type="http://schemas.openxmlformats.org/officeDocument/2006/relationships/hyperlink" Target="https://www.ncbi.nlm.nih.gov/gene/6429" TargetMode="External"/><Relationship Id="rId2147" Type="http://schemas.openxmlformats.org/officeDocument/2006/relationships/hyperlink" Target="https://www.uniprot.org/uniprot/P46937" TargetMode="External"/><Relationship Id="rId2354" Type="http://schemas.openxmlformats.org/officeDocument/2006/relationships/hyperlink" Target="https://www.uniprot.org/uniprot/P53350" TargetMode="External"/><Relationship Id="rId2561" Type="http://schemas.openxmlformats.org/officeDocument/2006/relationships/hyperlink" Target="https://www.uniprot.org/uniprot/P08151" TargetMode="External"/><Relationship Id="rId119" Type="http://schemas.openxmlformats.org/officeDocument/2006/relationships/hyperlink" Target="https://pubmed.ncbi.nlm.nih.gov/?term=21567094%5Buid%5D" TargetMode="External"/><Relationship Id="rId326" Type="http://schemas.openxmlformats.org/officeDocument/2006/relationships/hyperlink" Target="https://pubmed.ncbi.nlm.nih.gov/?term=7488097%2C%2029474642%2C%2027133165%5Buid%5D" TargetMode="External"/><Relationship Id="rId533" Type="http://schemas.openxmlformats.org/officeDocument/2006/relationships/hyperlink" Target="https://pubmed.ncbi.nlm.nih.gov/?term=9535882,27756418,19900859,7585126,23525731,20082278" TargetMode="External"/><Relationship Id="rId1163" Type="http://schemas.openxmlformats.org/officeDocument/2006/relationships/hyperlink" Target="https://www.ncbi.nlm.nih.gov/gene/60485" TargetMode="External"/><Relationship Id="rId1370" Type="http://schemas.openxmlformats.org/officeDocument/2006/relationships/hyperlink" Target="https://www.ncbi.nlm.nih.gov/gene/4582" TargetMode="External"/><Relationship Id="rId2007" Type="http://schemas.openxmlformats.org/officeDocument/2006/relationships/hyperlink" Target="https://www.uniprot.org/uniprot/P61927" TargetMode="External"/><Relationship Id="rId2214" Type="http://schemas.openxmlformats.org/officeDocument/2006/relationships/hyperlink" Target="https://www.uniprot.org/uniprot/Q03518" TargetMode="External"/><Relationship Id="rId740" Type="http://schemas.openxmlformats.org/officeDocument/2006/relationships/hyperlink" Target="https://pubmed.ncbi.nlm.nih.gov/?term=30544766%2C%2027140478%2C%2030013182%5Buid%5D" TargetMode="External"/><Relationship Id="rId1023" Type="http://schemas.openxmlformats.org/officeDocument/2006/relationships/hyperlink" Target="https://www.ncbi.nlm.nih.gov/gene/7291" TargetMode="External"/><Relationship Id="rId2421" Type="http://schemas.openxmlformats.org/officeDocument/2006/relationships/hyperlink" Target="https://www.uniprot.org/uniprot/Q9UIF7" TargetMode="External"/><Relationship Id="rId600" Type="http://schemas.openxmlformats.org/officeDocument/2006/relationships/hyperlink" Target="https://pubmed.ncbi.nlm.nih.gov/?term=29907593%2C%2033221963%5Buid%5D" TargetMode="External"/><Relationship Id="rId1230" Type="http://schemas.openxmlformats.org/officeDocument/2006/relationships/hyperlink" Target="https://www.ncbi.nlm.nih.gov/gene/5728" TargetMode="External"/><Relationship Id="rId183" Type="http://schemas.openxmlformats.org/officeDocument/2006/relationships/hyperlink" Target="https://pubmed.ncbi.nlm.nih.gov/?term=27853186%2C%2033287446%2C%2029906404%5Buid%5D" TargetMode="External"/><Relationship Id="rId390" Type="http://schemas.openxmlformats.org/officeDocument/2006/relationships/hyperlink" Target="https://pubmed.ncbi.nlm.nih.gov/?term=21559731%2C%208100743%2C%2018372523%2C%2032124395%2C%2021340800%5Buid%5D" TargetMode="External"/><Relationship Id="rId1907" Type="http://schemas.openxmlformats.org/officeDocument/2006/relationships/hyperlink" Target="https://www.uniprot.org/uniprot/O60882" TargetMode="External"/><Relationship Id="rId2071" Type="http://schemas.openxmlformats.org/officeDocument/2006/relationships/hyperlink" Target="https://www.uniprot.org/uniprot/Q6TCH7" TargetMode="External"/><Relationship Id="rId250" Type="http://schemas.openxmlformats.org/officeDocument/2006/relationships/hyperlink" Target="https://pubmed.ncbi.nlm.nih.gov/?term=18327707%2C%2027588477%2C%2028417568%2C%2031512056%5Buid%5D" TargetMode="External"/><Relationship Id="rId110" Type="http://schemas.openxmlformats.org/officeDocument/2006/relationships/hyperlink" Target="https://pubmed.ncbi.nlm.nih.gov/?term=26680099%5Buid%5D" TargetMode="External"/><Relationship Id="rId1697" Type="http://schemas.openxmlformats.org/officeDocument/2006/relationships/hyperlink" Target="https://www.ncbi.nlm.nih.gov/gene/8452" TargetMode="External"/><Relationship Id="rId2748" Type="http://schemas.openxmlformats.org/officeDocument/2006/relationships/hyperlink" Target="https://www.uniprot.org/uniprot/P30530" TargetMode="External"/><Relationship Id="rId927" Type="http://schemas.openxmlformats.org/officeDocument/2006/relationships/hyperlink" Target="https://pubmed.ncbi.nlm.nih.gov/?term=14701673%5Buid%5D" TargetMode="External"/><Relationship Id="rId1557" Type="http://schemas.openxmlformats.org/officeDocument/2006/relationships/hyperlink" Target="https://www.ncbi.nlm.nih.gov/gene/64083" TargetMode="External"/><Relationship Id="rId1764" Type="http://schemas.openxmlformats.org/officeDocument/2006/relationships/hyperlink" Target="https://www.ncbi.nlm.nih.gov/gene/112464" TargetMode="External"/><Relationship Id="rId1971" Type="http://schemas.openxmlformats.org/officeDocument/2006/relationships/hyperlink" Target="https://www.uniprot.org/uniprot/P52566" TargetMode="External"/><Relationship Id="rId2608" Type="http://schemas.openxmlformats.org/officeDocument/2006/relationships/hyperlink" Target="https://www.uniprot.org/uniprot/Q03468" TargetMode="External"/><Relationship Id="rId56" Type="http://schemas.openxmlformats.org/officeDocument/2006/relationships/hyperlink" Target="https://pubmed.ncbi.nlm.nih.gov/?term=14695168%2C%2017297441%2C%2022338651%5Buid%5D" TargetMode="External"/><Relationship Id="rId1417" Type="http://schemas.openxmlformats.org/officeDocument/2006/relationships/hyperlink" Target="https://www.ncbi.nlm.nih.gov/gene/1432" TargetMode="External"/><Relationship Id="rId1624" Type="http://schemas.openxmlformats.org/officeDocument/2006/relationships/hyperlink" Target="https://www.ncbi.nlm.nih.gov/gene/2074" TargetMode="External"/><Relationship Id="rId1831" Type="http://schemas.openxmlformats.org/officeDocument/2006/relationships/hyperlink" Target="https://www.ncbi.nlm.nih.gov/gene/9474" TargetMode="External"/><Relationship Id="rId2398" Type="http://schemas.openxmlformats.org/officeDocument/2006/relationships/hyperlink" Target="https://www.uniprot.org/uniprot/P46531" TargetMode="External"/><Relationship Id="rId577" Type="http://schemas.openxmlformats.org/officeDocument/2006/relationships/hyperlink" Target="https://pubmed.ncbi.nlm.nih.gov/?term=26364260%2C%2029207176%5Buid%5D" TargetMode="External"/><Relationship Id="rId2258" Type="http://schemas.openxmlformats.org/officeDocument/2006/relationships/hyperlink" Target="https://www.uniprot.org/uniprot/P41440" TargetMode="External"/><Relationship Id="rId784" Type="http://schemas.openxmlformats.org/officeDocument/2006/relationships/hyperlink" Target="https://pubmed.ncbi.nlm.nih.gov/?term=25846011%2C%2018679423%2C%2015150117%2C%2027107419%5Buid%5D" TargetMode="External"/><Relationship Id="rId991" Type="http://schemas.openxmlformats.org/officeDocument/2006/relationships/hyperlink" Target="https://www.ncbi.nlm.nih.gov/gene/25937" TargetMode="External"/><Relationship Id="rId1067" Type="http://schemas.openxmlformats.org/officeDocument/2006/relationships/hyperlink" Target="https://www.ncbi.nlm.nih.gov/gene/7045" TargetMode="External"/><Relationship Id="rId2465" Type="http://schemas.openxmlformats.org/officeDocument/2006/relationships/hyperlink" Target="https://www.uniprot.org/uniprot/P45985" TargetMode="External"/><Relationship Id="rId2672" Type="http://schemas.openxmlformats.org/officeDocument/2006/relationships/hyperlink" Target="https://www.uniprot.org/uniprot/O15516" TargetMode="External"/><Relationship Id="rId437" Type="http://schemas.openxmlformats.org/officeDocument/2006/relationships/hyperlink" Target="https://pubmed.ncbi.nlm.nih.gov/?term=21383688%5Buid%5D" TargetMode="External"/><Relationship Id="rId644" Type="http://schemas.openxmlformats.org/officeDocument/2006/relationships/hyperlink" Target="https://pubmed.ncbi.nlm.nih.gov/?term=29749474%2C%2029472690%2C%2030880247%5Buid%5D" TargetMode="External"/><Relationship Id="rId851" Type="http://schemas.openxmlformats.org/officeDocument/2006/relationships/hyperlink" Target="https://pubmed.ncbi.nlm.nih.gov/?term=24608572%5Buid%5D" TargetMode="External"/><Relationship Id="rId1274" Type="http://schemas.openxmlformats.org/officeDocument/2006/relationships/hyperlink" Target="https://www.ncbi.nlm.nih.gov/gene/10769" TargetMode="External"/><Relationship Id="rId1481" Type="http://schemas.openxmlformats.org/officeDocument/2006/relationships/hyperlink" Target="https://www.ncbi.nlm.nih.gov/gene/3678" TargetMode="External"/><Relationship Id="rId2118" Type="http://schemas.openxmlformats.org/officeDocument/2006/relationships/hyperlink" Target="https://www.uniprot.org/uniprot/Q6NSI4" TargetMode="External"/><Relationship Id="rId2325" Type="http://schemas.openxmlformats.org/officeDocument/2006/relationships/hyperlink" Target="https://www.uniprot.org/uniprot/P78527" TargetMode="External"/><Relationship Id="rId2532" Type="http://schemas.openxmlformats.org/officeDocument/2006/relationships/hyperlink" Target="https://www.uniprot.org/uniprot/P35680" TargetMode="External"/><Relationship Id="rId504" Type="http://schemas.openxmlformats.org/officeDocument/2006/relationships/hyperlink" Target="https://pubmed.ncbi.nlm.nih.gov/?term=9233776%2C%2030594176%2C%2032922493%2C%2015240532%5Buid%5D" TargetMode="External"/><Relationship Id="rId711" Type="http://schemas.openxmlformats.org/officeDocument/2006/relationships/hyperlink" Target="https://pubmed.ncbi.nlm.nih.gov/?term=29331417%5Buid%5D" TargetMode="External"/><Relationship Id="rId1134" Type="http://schemas.openxmlformats.org/officeDocument/2006/relationships/hyperlink" Target="https://www.ncbi.nlm.nih.gov/gene/144195" TargetMode="External"/><Relationship Id="rId1341" Type="http://schemas.openxmlformats.org/officeDocument/2006/relationships/hyperlink" Target="https://www.ncbi.nlm.nih.gov/gene/26257" TargetMode="External"/><Relationship Id="rId1201" Type="http://schemas.openxmlformats.org/officeDocument/2006/relationships/hyperlink" Target="https://www.ncbi.nlm.nih.gov/gene/9401" TargetMode="External"/><Relationship Id="rId294" Type="http://schemas.openxmlformats.org/officeDocument/2006/relationships/hyperlink" Target="https://pubmed.ncbi.nlm.nih.gov/?term=17308072%2C%2016091761%2C%2016821621%2C%2032628088%5Buid%5D" TargetMode="External"/><Relationship Id="rId2182" Type="http://schemas.openxmlformats.org/officeDocument/2006/relationships/hyperlink" Target="https://www.uniprot.org/uniprot/Q12931" TargetMode="External"/><Relationship Id="rId154" Type="http://schemas.openxmlformats.org/officeDocument/2006/relationships/hyperlink" Target="https://pubmed.ncbi.nlm.nih.gov/?term=21618587%2C%2019190132%2C%2029731893%5Buid%5D" TargetMode="External"/><Relationship Id="rId361" Type="http://schemas.openxmlformats.org/officeDocument/2006/relationships/hyperlink" Target="https://pubmed.ncbi.nlm.nih.gov/?term=32024543%5Buid%5D" TargetMode="External"/><Relationship Id="rId2042" Type="http://schemas.openxmlformats.org/officeDocument/2006/relationships/hyperlink" Target="https://www.uniprot.org/uniprot/Q9Y6P5" TargetMode="External"/><Relationship Id="rId221" Type="http://schemas.openxmlformats.org/officeDocument/2006/relationships/hyperlink" Target="https://pubmed.ncbi.nlm.nih.gov/?term=26247722%5Buid%5D" TargetMode="External"/><Relationship Id="rId1668" Type="http://schemas.openxmlformats.org/officeDocument/2006/relationships/hyperlink" Target="https://www.ncbi.nlm.nih.gov/gene/1786" TargetMode="External"/><Relationship Id="rId1875" Type="http://schemas.openxmlformats.org/officeDocument/2006/relationships/hyperlink" Target="https://www.ncbi.nlm.nih.gov/gene/25" TargetMode="External"/><Relationship Id="rId2719" Type="http://schemas.openxmlformats.org/officeDocument/2006/relationships/hyperlink" Target="https://www.uniprot.org/uniprot/Q9BWT7" TargetMode="External"/><Relationship Id="rId1528" Type="http://schemas.openxmlformats.org/officeDocument/2006/relationships/hyperlink" Target="https://www.ncbi.nlm.nih.gov/gene/3082" TargetMode="External"/><Relationship Id="rId1735" Type="http://schemas.openxmlformats.org/officeDocument/2006/relationships/hyperlink" Target="https://www.ncbi.nlm.nih.gov/gene/1020" TargetMode="External"/><Relationship Id="rId1942" Type="http://schemas.openxmlformats.org/officeDocument/2006/relationships/hyperlink" Target="https://www.uniprot.org/uniprot/Q9H0K1" TargetMode="External"/><Relationship Id="rId27" Type="http://schemas.openxmlformats.org/officeDocument/2006/relationships/hyperlink" Target="https://pubmed.ncbi.nlm.nih.gov/?term=32678482%2C%2024527071%2C%2022534668%5Buid%5D" TargetMode="External"/><Relationship Id="rId1802" Type="http://schemas.openxmlformats.org/officeDocument/2006/relationships/hyperlink" Target="https://www.ncbi.nlm.nih.gov/gene/599" TargetMode="External"/><Relationship Id="rId688" Type="http://schemas.openxmlformats.org/officeDocument/2006/relationships/hyperlink" Target="https://pubmed.ncbi.nlm.nih.gov/?term=16520463%5Buid%5D" TargetMode="External"/><Relationship Id="rId895" Type="http://schemas.openxmlformats.org/officeDocument/2006/relationships/hyperlink" Target="https://pubmed.ncbi.nlm.nih.gov/?term=28569838%5Buid%5D" TargetMode="External"/><Relationship Id="rId2369" Type="http://schemas.openxmlformats.org/officeDocument/2006/relationships/hyperlink" Target="https://www.uniprot.org/uniprot/P09619" TargetMode="External"/><Relationship Id="rId2576" Type="http://schemas.openxmlformats.org/officeDocument/2006/relationships/hyperlink" Target="https://www.uniprot.org/uniprot/Q99958" TargetMode="External"/><Relationship Id="rId2783" Type="http://schemas.openxmlformats.org/officeDocument/2006/relationships/hyperlink" Target="https://www.uniprot.org/uniprot/P31749" TargetMode="External"/><Relationship Id="rId548" Type="http://schemas.openxmlformats.org/officeDocument/2006/relationships/hyperlink" Target="https://pubmed.ncbi.nlm.nih.gov/?term=32626527%5Buid%5D" TargetMode="External"/><Relationship Id="rId755" Type="http://schemas.openxmlformats.org/officeDocument/2006/relationships/hyperlink" Target="https://pubmed.ncbi.nlm.nih.gov/?term=27420645%5Buid%5D" TargetMode="External"/><Relationship Id="rId962" Type="http://schemas.openxmlformats.org/officeDocument/2006/relationships/hyperlink" Target="https://www.ncbi.nlm.nih.gov/gene/1982" TargetMode="External"/><Relationship Id="rId1178" Type="http://schemas.openxmlformats.org/officeDocument/2006/relationships/hyperlink" Target="https://www.ncbi.nlm.nih.gov/gene/6224" TargetMode="External"/><Relationship Id="rId1385" Type="http://schemas.openxmlformats.org/officeDocument/2006/relationships/hyperlink" Target="https://www.ncbi.nlm.nih.gov/gene/64112" TargetMode="External"/><Relationship Id="rId1592" Type="http://schemas.openxmlformats.org/officeDocument/2006/relationships/hyperlink" Target="https://www.ncbi.nlm.nih.gov/gene/2237" TargetMode="External"/><Relationship Id="rId2229" Type="http://schemas.openxmlformats.org/officeDocument/2006/relationships/hyperlink" Target="https://www.uniprot.org/uniprot/P12931" TargetMode="External"/><Relationship Id="rId2436" Type="http://schemas.openxmlformats.org/officeDocument/2006/relationships/hyperlink" Target="https://www.uniprot.org/uniprot/P49959" TargetMode="External"/><Relationship Id="rId2643" Type="http://schemas.openxmlformats.org/officeDocument/2006/relationships/hyperlink" Target="https://www.uniprot.org/uniprot/Q9NSV4" TargetMode="External"/><Relationship Id="rId91" Type="http://schemas.openxmlformats.org/officeDocument/2006/relationships/hyperlink" Target="https://pubmed.ncbi.nlm.nih.gov/?term=29512762%2C%2029399172%2C%2026458502%5Buid%5D" TargetMode="External"/><Relationship Id="rId408" Type="http://schemas.openxmlformats.org/officeDocument/2006/relationships/hyperlink" Target="https://pubmed.ncbi.nlm.nih.gov/?term=28942243%2C%2029048638%5Buid%5D" TargetMode="External"/><Relationship Id="rId615" Type="http://schemas.openxmlformats.org/officeDocument/2006/relationships/hyperlink" Target="https://pubmed.ncbi.nlm.nih.gov/?term=21652733%5Buid%5D" TargetMode="External"/><Relationship Id="rId822" Type="http://schemas.openxmlformats.org/officeDocument/2006/relationships/hyperlink" Target="https://pubmed.ncbi.nlm.nih.gov/?term=29435041%5Buid%5D" TargetMode="External"/><Relationship Id="rId1038" Type="http://schemas.openxmlformats.org/officeDocument/2006/relationships/hyperlink" Target="https://www.ncbi.nlm.nih.gov/gene/11073" TargetMode="External"/><Relationship Id="rId1245" Type="http://schemas.openxmlformats.org/officeDocument/2006/relationships/hyperlink" Target="https://www.ncbi.nlm.nih.gov/gene/5565" TargetMode="External"/><Relationship Id="rId1452" Type="http://schemas.openxmlformats.org/officeDocument/2006/relationships/hyperlink" Target="https://www.ncbi.nlm.nih.gov/gene/3856" TargetMode="External"/><Relationship Id="rId2503" Type="http://schemas.openxmlformats.org/officeDocument/2006/relationships/hyperlink" Target="https://www.uniprot.org/uniprot/O60674" TargetMode="External"/><Relationship Id="rId1105" Type="http://schemas.openxmlformats.org/officeDocument/2006/relationships/hyperlink" Target="https://www.ncbi.nlm.nih.gov/gene/6663" TargetMode="External"/><Relationship Id="rId1312" Type="http://schemas.openxmlformats.org/officeDocument/2006/relationships/hyperlink" Target="https://www.ncbi.nlm.nih.gov/gene/142" TargetMode="External"/><Relationship Id="rId2710" Type="http://schemas.openxmlformats.org/officeDocument/2006/relationships/hyperlink" Target="https://www.uniprot.org/uniprot/P35520" TargetMode="External"/><Relationship Id="rId198" Type="http://schemas.openxmlformats.org/officeDocument/2006/relationships/hyperlink" Target="https://pubmed.ncbi.nlm.nih.gov/?term=16862170%5Buid%5D" TargetMode="External"/><Relationship Id="rId2086" Type="http://schemas.openxmlformats.org/officeDocument/2006/relationships/hyperlink" Target="https://www.uniprot.org/uniprot/P27694" TargetMode="External"/><Relationship Id="rId2293" Type="http://schemas.openxmlformats.org/officeDocument/2006/relationships/hyperlink" Target="https://www.uniprot.org/uniprot/Q9UBZ9" TargetMode="External"/><Relationship Id="rId265" Type="http://schemas.openxmlformats.org/officeDocument/2006/relationships/hyperlink" Target="https://pubmed.ncbi.nlm.nih.gov/?term=20944091%2C%2012915808%2C%2025941922%5Buid%5D" TargetMode="External"/><Relationship Id="rId472" Type="http://schemas.openxmlformats.org/officeDocument/2006/relationships/hyperlink" Target="https://pubmed.ncbi.nlm.nih.gov/?term=28382796%5Buid%5D" TargetMode="External"/><Relationship Id="rId2153" Type="http://schemas.openxmlformats.org/officeDocument/2006/relationships/hyperlink" Target="https://www.uniprot.org/uniprot/P18887" TargetMode="External"/><Relationship Id="rId2360" Type="http://schemas.openxmlformats.org/officeDocument/2006/relationships/hyperlink" Target="https://www.uniprot.org/uniprot/P42338" TargetMode="External"/><Relationship Id="rId125" Type="http://schemas.openxmlformats.org/officeDocument/2006/relationships/hyperlink" Target="https://pubmed.ncbi.nlm.nih.gov/?term=21487429%2C%2014695141%5Buid%5D" TargetMode="External"/><Relationship Id="rId332" Type="http://schemas.openxmlformats.org/officeDocument/2006/relationships/hyperlink" Target="https://pubmed.ncbi.nlm.nih.gov/?term=17072341%2C%2030279363%2C%2019056535%2C%2029495625%5Buid%5D" TargetMode="External"/><Relationship Id="rId2013" Type="http://schemas.openxmlformats.org/officeDocument/2006/relationships/hyperlink" Target="https://www.uniprot.org/uniprot/P10809" TargetMode="External"/><Relationship Id="rId2220" Type="http://schemas.openxmlformats.org/officeDocument/2006/relationships/hyperlink" Target="https://www.uniprot.org/uniprot/P42226" TargetMode="External"/><Relationship Id="rId1779" Type="http://schemas.openxmlformats.org/officeDocument/2006/relationships/hyperlink" Target="https://www.ncbi.nlm.nih.gov/gene/790" TargetMode="External"/><Relationship Id="rId1986" Type="http://schemas.openxmlformats.org/officeDocument/2006/relationships/hyperlink" Target="https://www.uniprot.org/uniprot/Q9UKI8" TargetMode="External"/><Relationship Id="rId1639" Type="http://schemas.openxmlformats.org/officeDocument/2006/relationships/hyperlink" Target="https://www.ncbi.nlm.nih.gov/gene/2018" TargetMode="External"/><Relationship Id="rId1846" Type="http://schemas.openxmlformats.org/officeDocument/2006/relationships/hyperlink" Target="https://www.ncbi.nlm.nih.gov/gene/328" TargetMode="External"/><Relationship Id="rId1706" Type="http://schemas.openxmlformats.org/officeDocument/2006/relationships/hyperlink" Target="https://www.ncbi.nlm.nih.gov/gene/1347" TargetMode="External"/><Relationship Id="rId1913" Type="http://schemas.openxmlformats.org/officeDocument/2006/relationships/hyperlink" Target="https://www.uniprot.org/uniprot/P41134" TargetMode="External"/><Relationship Id="rId799" Type="http://schemas.openxmlformats.org/officeDocument/2006/relationships/hyperlink" Target="https://pubmed.ncbi.nlm.nih.gov/?term=21371883%2C%2025269472%2C%2028455291%2C%2026201611%2C%2028498503%5Buid%5D" TargetMode="External"/><Relationship Id="rId2687" Type="http://schemas.openxmlformats.org/officeDocument/2006/relationships/hyperlink" Target="https://www.uniprot.org/uniprot/P42771" TargetMode="External"/><Relationship Id="rId659" Type="http://schemas.openxmlformats.org/officeDocument/2006/relationships/hyperlink" Target="https://pubmed.ncbi.nlm.nih.gov/?term=27499034%2C%2026108997%2C%2012464596%5Buid%5D" TargetMode="External"/><Relationship Id="rId866" Type="http://schemas.openxmlformats.org/officeDocument/2006/relationships/hyperlink" Target="https://pubmed.ncbi.nlm.nih.gov/?term=31410122%5Buid%5D" TargetMode="External"/><Relationship Id="rId1289" Type="http://schemas.openxmlformats.org/officeDocument/2006/relationships/hyperlink" Target="https://www.ncbi.nlm.nih.gov/gene/10857" TargetMode="External"/><Relationship Id="rId1496" Type="http://schemas.openxmlformats.org/officeDocument/2006/relationships/hyperlink" Target="https://www.ncbi.nlm.nih.gov/gene/10642" TargetMode="External"/><Relationship Id="rId2547" Type="http://schemas.openxmlformats.org/officeDocument/2006/relationships/hyperlink" Target="https://www.uniprot.org/uniprot/P16104" TargetMode="External"/><Relationship Id="rId519" Type="http://schemas.openxmlformats.org/officeDocument/2006/relationships/hyperlink" Target="https://pubmed.ncbi.nlm.nih.gov/?term=24465798%5Buid%5D" TargetMode="External"/><Relationship Id="rId1149" Type="http://schemas.openxmlformats.org/officeDocument/2006/relationships/hyperlink" Target="https://www.ncbi.nlm.nih.gov/gene/6446" TargetMode="External"/><Relationship Id="rId1356" Type="http://schemas.openxmlformats.org/officeDocument/2006/relationships/hyperlink" Target="https://www.ncbi.nlm.nih.gov/gene/4683" TargetMode="External"/><Relationship Id="rId2754" Type="http://schemas.openxmlformats.org/officeDocument/2006/relationships/hyperlink" Target="https://www.uniprot.org/uniprot/P36543" TargetMode="External"/><Relationship Id="rId726" Type="http://schemas.openxmlformats.org/officeDocument/2006/relationships/hyperlink" Target="https://pubmed.ncbi.nlm.nih.gov/?term=18425342%2C%2021397856%5Buid%5D" TargetMode="External"/><Relationship Id="rId933" Type="http://schemas.openxmlformats.org/officeDocument/2006/relationships/hyperlink" Target="https://pubmed.ncbi.nlm.nih.gov/?term=17297437%5Buid%5D" TargetMode="External"/><Relationship Id="rId1009" Type="http://schemas.openxmlformats.org/officeDocument/2006/relationships/hyperlink" Target="https://www.ncbi.nlm.nih.gov/gene/7374" TargetMode="External"/><Relationship Id="rId1563" Type="http://schemas.openxmlformats.org/officeDocument/2006/relationships/hyperlink" Target="https://www.ncbi.nlm.nih.gov/gene/79893" TargetMode="External"/><Relationship Id="rId1770" Type="http://schemas.openxmlformats.org/officeDocument/2006/relationships/hyperlink" Target="https://www.ncbi.nlm.nih.gov/gene/837" TargetMode="External"/><Relationship Id="rId2407" Type="http://schemas.openxmlformats.org/officeDocument/2006/relationships/hyperlink" Target="https://www.uniprot.org/uniprot/P48681" TargetMode="External"/><Relationship Id="rId2614" Type="http://schemas.openxmlformats.org/officeDocument/2006/relationships/hyperlink" Target="https://www.uniprot.org/uniprot/Q15303" TargetMode="External"/><Relationship Id="rId62" Type="http://schemas.openxmlformats.org/officeDocument/2006/relationships/hyperlink" Target="https://pubmed.ncbi.nlm.nih.gov/?term=26674120%2C%2022312557%5Buid%5D" TargetMode="External"/><Relationship Id="rId1216" Type="http://schemas.openxmlformats.org/officeDocument/2006/relationships/hyperlink" Target="https://www.ncbi.nlm.nih.gov/gene/10111" TargetMode="External"/><Relationship Id="rId1423" Type="http://schemas.openxmlformats.org/officeDocument/2006/relationships/hyperlink" Target="https://www.ncbi.nlm.nih.gov/gene/4217" TargetMode="External"/><Relationship Id="rId1630" Type="http://schemas.openxmlformats.org/officeDocument/2006/relationships/hyperlink" Target="https://www.ncbi.nlm.nih.gov/gene/2066" TargetMode="External"/><Relationship Id="rId2197" Type="http://schemas.openxmlformats.org/officeDocument/2006/relationships/hyperlink" Target="https://www.uniprot.org/uniprot/P01375" TargetMode="External"/><Relationship Id="rId169" Type="http://schemas.openxmlformats.org/officeDocument/2006/relationships/hyperlink" Target="https://pubmed.ncbi.nlm.nih.gov/?term=24657486%2C%2018162465%2C%2022312557%2C%2017940507%5Buid%5D" TargetMode="External"/><Relationship Id="rId376" Type="http://schemas.openxmlformats.org/officeDocument/2006/relationships/hyperlink" Target="https://pubmed.ncbi.nlm.nih.gov/?term=29757528%5Buid%5D" TargetMode="External"/><Relationship Id="rId583" Type="http://schemas.openxmlformats.org/officeDocument/2006/relationships/hyperlink" Target="https://pubmed.ncbi.nlm.nih.gov/?term=28473198%5Buid%5D" TargetMode="External"/><Relationship Id="rId790" Type="http://schemas.openxmlformats.org/officeDocument/2006/relationships/hyperlink" Target="https://pubmed.ncbi.nlm.nih.gov/?term=23994634%5Buid%5D" TargetMode="External"/><Relationship Id="rId2057" Type="http://schemas.openxmlformats.org/officeDocument/2006/relationships/hyperlink" Target="https://www.uniprot.org/uniprot/Q9NQ88" TargetMode="External"/><Relationship Id="rId2264" Type="http://schemas.openxmlformats.org/officeDocument/2006/relationships/hyperlink" Target="https://www.uniprot.org/uniprot/Q9BYW2" TargetMode="External"/><Relationship Id="rId2471" Type="http://schemas.openxmlformats.org/officeDocument/2006/relationships/hyperlink" Target="https://www.uniprot.org/uniprot/O15525" TargetMode="External"/><Relationship Id="rId4" Type="http://schemas.openxmlformats.org/officeDocument/2006/relationships/hyperlink" Target="https://pubmed.ncbi.nlm.nih.gov/?term=31107974%5Buid%5D" TargetMode="External"/><Relationship Id="rId236" Type="http://schemas.openxmlformats.org/officeDocument/2006/relationships/hyperlink" Target="https://pubmed.ncbi.nlm.nih.gov/?term=17200349%2C%2026458859%5Buid%5D" TargetMode="External"/><Relationship Id="rId443" Type="http://schemas.openxmlformats.org/officeDocument/2006/relationships/hyperlink" Target="https://pubmed.ncbi.nlm.nih.gov/?term=22139083%5Buid%5D" TargetMode="External"/><Relationship Id="rId650" Type="http://schemas.openxmlformats.org/officeDocument/2006/relationships/hyperlink" Target="https://pubmed.ncbi.nlm.nih.gov/?term=23503975%2C%2023564483%5Buid%5D" TargetMode="External"/><Relationship Id="rId888" Type="http://schemas.openxmlformats.org/officeDocument/2006/relationships/hyperlink" Target="https://pubmed.ncbi.nlm.nih.gov/?term=24155778%5Buid%5D" TargetMode="External"/><Relationship Id="rId1073" Type="http://schemas.openxmlformats.org/officeDocument/2006/relationships/hyperlink" Target="https://www.ncbi.nlm.nih.gov/gene/54790" TargetMode="External"/><Relationship Id="rId1280" Type="http://schemas.openxmlformats.org/officeDocument/2006/relationships/hyperlink" Target="https://www.ncbi.nlm.nih.gov/gene/11040" TargetMode="External"/><Relationship Id="rId2124" Type="http://schemas.openxmlformats.org/officeDocument/2006/relationships/hyperlink" Target="https://www.uniprot.org/uniprot/Q9UI32" TargetMode="External"/><Relationship Id="rId2331" Type="http://schemas.openxmlformats.org/officeDocument/2006/relationships/hyperlink" Target="https://www.uniprot.org/uniprot/Q9Y478" TargetMode="External"/><Relationship Id="rId2569" Type="http://schemas.openxmlformats.org/officeDocument/2006/relationships/hyperlink" Target="https://www.uniprot.org/uniprot/P24522" TargetMode="External"/><Relationship Id="rId2776" Type="http://schemas.openxmlformats.org/officeDocument/2006/relationships/hyperlink" Target="https://www.uniprot.org/uniprot/Q15327" TargetMode="External"/><Relationship Id="rId303" Type="http://schemas.openxmlformats.org/officeDocument/2006/relationships/hyperlink" Target="https://pubmed.ncbi.nlm.nih.gov/?term=23027129%5Buid%5D" TargetMode="External"/><Relationship Id="rId748" Type="http://schemas.openxmlformats.org/officeDocument/2006/relationships/hyperlink" Target="https://pubmed.ncbi.nlm.nih.gov/?term=19528459%2C%2026346170%2C%2024185104%5Buid%5D" TargetMode="External"/><Relationship Id="rId955" Type="http://schemas.openxmlformats.org/officeDocument/2006/relationships/hyperlink" Target="https://www.uniprot.org/uniprot/P18564" TargetMode="External"/><Relationship Id="rId1140" Type="http://schemas.openxmlformats.org/officeDocument/2006/relationships/hyperlink" Target="https://www.ncbi.nlm.nih.gov/gene/6513" TargetMode="External"/><Relationship Id="rId1378" Type="http://schemas.openxmlformats.org/officeDocument/2006/relationships/hyperlink" Target="https://www.ncbi.nlm.nih.gov/gene/4487" TargetMode="External"/><Relationship Id="rId1585" Type="http://schemas.openxmlformats.org/officeDocument/2006/relationships/hyperlink" Target="https://www.ncbi.nlm.nih.gov/gene/2348" TargetMode="External"/><Relationship Id="rId1792" Type="http://schemas.openxmlformats.org/officeDocument/2006/relationships/hyperlink" Target="https://www.ncbi.nlm.nih.gov/gene/79444" TargetMode="External"/><Relationship Id="rId2429" Type="http://schemas.openxmlformats.org/officeDocument/2006/relationships/hyperlink" Target="https://www.uniprot.org/uniprot/P02795" TargetMode="External"/><Relationship Id="rId2636" Type="http://schemas.openxmlformats.org/officeDocument/2006/relationships/hyperlink" Target="https://www.uniprot.org/uniprot/Q16828" TargetMode="External"/><Relationship Id="rId84" Type="http://schemas.openxmlformats.org/officeDocument/2006/relationships/hyperlink" Target="https://pubmed.ncbi.nlm.nih.gov/?term=21863213%2C%2033034274%5Buid%5D" TargetMode="External"/><Relationship Id="rId510" Type="http://schemas.openxmlformats.org/officeDocument/2006/relationships/hyperlink" Target="https://pubmed.ncbi.nlm.nih.gov/?term=33396213%5Buid%5D" TargetMode="External"/><Relationship Id="rId608" Type="http://schemas.openxmlformats.org/officeDocument/2006/relationships/hyperlink" Target="https://pubmed.ncbi.nlm.nih.gov/?term=28713273%5Buid%5D" TargetMode="External"/><Relationship Id="rId815" Type="http://schemas.openxmlformats.org/officeDocument/2006/relationships/hyperlink" Target="https://pubmed.ncbi.nlm.nih.gov/?term=27446402%2C%2021489989%5Buid%5D" TargetMode="External"/><Relationship Id="rId1238" Type="http://schemas.openxmlformats.org/officeDocument/2006/relationships/hyperlink" Target="https://www.ncbi.nlm.nih.gov/gene/8575" TargetMode="External"/><Relationship Id="rId1445" Type="http://schemas.openxmlformats.org/officeDocument/2006/relationships/hyperlink" Target="https://www.ncbi.nlm.nih.gov/gene/3980" TargetMode="External"/><Relationship Id="rId1652" Type="http://schemas.openxmlformats.org/officeDocument/2006/relationships/hyperlink" Target="https://www.ncbi.nlm.nih.gov/gene/54583" TargetMode="External"/><Relationship Id="rId1000" Type="http://schemas.openxmlformats.org/officeDocument/2006/relationships/hyperlink" Target="https://www.ncbi.nlm.nih.gov/gene/7416" TargetMode="External"/><Relationship Id="rId1305" Type="http://schemas.openxmlformats.org/officeDocument/2006/relationships/hyperlink" Target="https://www.ncbi.nlm.nih.gov/gene/27250" TargetMode="External"/><Relationship Id="rId1957" Type="http://schemas.openxmlformats.org/officeDocument/2006/relationships/hyperlink" Target="https://www.uniprot.org/uniprot/Q7Z589" TargetMode="External"/><Relationship Id="rId2703" Type="http://schemas.openxmlformats.org/officeDocument/2006/relationships/hyperlink" Target="https://www.uniprot.org/uniprot/P51686" TargetMode="External"/><Relationship Id="rId1512" Type="http://schemas.openxmlformats.org/officeDocument/2006/relationships/hyperlink" Target="https://www.ncbi.nlm.nih.gov/gene/78995" TargetMode="External"/><Relationship Id="rId1817" Type="http://schemas.openxmlformats.org/officeDocument/2006/relationships/hyperlink" Target="https://www.ncbi.nlm.nih.gov/gene/545" TargetMode="External"/><Relationship Id="rId11" Type="http://schemas.openxmlformats.org/officeDocument/2006/relationships/hyperlink" Target="https://pubmed.ncbi.nlm.nih.gov/?term=14973057%2C%2028112439%5Buid%5D" TargetMode="External"/><Relationship Id="rId398" Type="http://schemas.openxmlformats.org/officeDocument/2006/relationships/hyperlink" Target="https://pubmed.ncbi.nlm.nih.gov/?term=28685895%2C%2029660014%5Buid%5D" TargetMode="External"/><Relationship Id="rId2079" Type="http://schemas.openxmlformats.org/officeDocument/2006/relationships/hyperlink" Target="https://www.uniprot.org/uniprot/P58062" TargetMode="External"/><Relationship Id="rId160" Type="http://schemas.openxmlformats.org/officeDocument/2006/relationships/hyperlink" Target="https://pubmed.ncbi.nlm.nih.gov/?term=21933447%2C%2020811155%2C%2011078909%5Buid%5D" TargetMode="External"/><Relationship Id="rId2286" Type="http://schemas.openxmlformats.org/officeDocument/2006/relationships/hyperlink" Target="https://www.uniprot.org/uniprot/Q13546" TargetMode="External"/><Relationship Id="rId2493" Type="http://schemas.openxmlformats.org/officeDocument/2006/relationships/hyperlink" Target="https://www.uniprot.org/uniprot/Q13887" TargetMode="External"/><Relationship Id="rId258" Type="http://schemas.openxmlformats.org/officeDocument/2006/relationships/hyperlink" Target="https://pubmed.ncbi.nlm.nih.gov/?term=20100569%2C%2011593532%5Buid%5D" TargetMode="External"/><Relationship Id="rId465" Type="http://schemas.openxmlformats.org/officeDocument/2006/relationships/hyperlink" Target="https://pubmed.ncbi.nlm.nih.gov/?term=26597704%2C%2029898809%5Buid%5D" TargetMode="External"/><Relationship Id="rId672" Type="http://schemas.openxmlformats.org/officeDocument/2006/relationships/hyperlink" Target="https://pubmed.ncbi.nlm.nih.gov/?term=31478830%2C%2027294003%2C%2028103122%2C%2023307041%5Buid%5D" TargetMode="External"/><Relationship Id="rId1095" Type="http://schemas.openxmlformats.org/officeDocument/2006/relationships/hyperlink" Target="https://www.ncbi.nlm.nih.gov/gene/6480" TargetMode="External"/><Relationship Id="rId2146" Type="http://schemas.openxmlformats.org/officeDocument/2006/relationships/hyperlink" Target="https://www.uniprot.org/uniprot/P67809" TargetMode="External"/><Relationship Id="rId2353" Type="http://schemas.openxmlformats.org/officeDocument/2006/relationships/hyperlink" Target="https://www.uniprot.org/uniprot/Q9NYY3" TargetMode="External"/><Relationship Id="rId2560" Type="http://schemas.openxmlformats.org/officeDocument/2006/relationships/hyperlink" Target="https://www.uniprot.org/uniprot/Q9UJJ9" TargetMode="External"/><Relationship Id="rId2798" Type="http://schemas.openxmlformats.org/officeDocument/2006/relationships/hyperlink" Target="https://www.uniprot.org/uniprot/Q9UG63" TargetMode="External"/><Relationship Id="rId118" Type="http://schemas.openxmlformats.org/officeDocument/2006/relationships/hyperlink" Target="https://pubmed.ncbi.nlm.nih.gov/?term=15901768%5Buid%5D" TargetMode="External"/><Relationship Id="rId325" Type="http://schemas.openxmlformats.org/officeDocument/2006/relationships/hyperlink" Target="https://pubmed.ncbi.nlm.nih.gov/?term=27876874%5Buid%5D" TargetMode="External"/><Relationship Id="rId532" Type="http://schemas.openxmlformats.org/officeDocument/2006/relationships/hyperlink" Target="https://pubmed.ncbi.nlm.nih.gov/?term=26336131%2C%2023677513%2C%2031578574%20%5Buid%5D" TargetMode="External"/><Relationship Id="rId977" Type="http://schemas.openxmlformats.org/officeDocument/2006/relationships/hyperlink" Target="https://www.ncbi.nlm.nih.gov/gene/4904" TargetMode="External"/><Relationship Id="rId1162" Type="http://schemas.openxmlformats.org/officeDocument/2006/relationships/hyperlink" Target="https://www.ncbi.nlm.nih.gov/gene/286205" TargetMode="External"/><Relationship Id="rId2006" Type="http://schemas.openxmlformats.org/officeDocument/2006/relationships/hyperlink" Target="https://www.uniprot.org/uniprot/Q8TC59" TargetMode="External"/><Relationship Id="rId2213" Type="http://schemas.openxmlformats.org/officeDocument/2006/relationships/hyperlink" Target="https://www.uniprot.org/uniprot/Q15813" TargetMode="External"/><Relationship Id="rId2420" Type="http://schemas.openxmlformats.org/officeDocument/2006/relationships/hyperlink" Target="https://www.uniprot.org/uniprot/Q14764" TargetMode="External"/><Relationship Id="rId2658" Type="http://schemas.openxmlformats.org/officeDocument/2006/relationships/hyperlink" Target="https://www.uniprot.org/uniprot/P48061" TargetMode="External"/><Relationship Id="rId837" Type="http://schemas.openxmlformats.org/officeDocument/2006/relationships/hyperlink" Target="https://pubmed.ncbi.nlm.nih.gov/?term=18667446%2C%2019763620%20%5Buid%5D" TargetMode="External"/><Relationship Id="rId1022" Type="http://schemas.openxmlformats.org/officeDocument/2006/relationships/hyperlink" Target="https://www.ncbi.nlm.nih.gov/gene/7295" TargetMode="External"/><Relationship Id="rId1467" Type="http://schemas.openxmlformats.org/officeDocument/2006/relationships/hyperlink" Target="https://www.ncbi.nlm.nih.gov/gene/3778" TargetMode="External"/><Relationship Id="rId1674" Type="http://schemas.openxmlformats.org/officeDocument/2006/relationships/hyperlink" Target="https://www.ncbi.nlm.nih.gov/gene/1719" TargetMode="External"/><Relationship Id="rId1881" Type="http://schemas.openxmlformats.org/officeDocument/2006/relationships/hyperlink" Target="https://www.ncbi.nlm.nih.gov/gene/10257" TargetMode="External"/><Relationship Id="rId2518" Type="http://schemas.openxmlformats.org/officeDocument/2006/relationships/hyperlink" Target="https://www.uniprot.org/uniprot/P01344" TargetMode="External"/><Relationship Id="rId2725" Type="http://schemas.openxmlformats.org/officeDocument/2006/relationships/hyperlink" Target="https://www.uniprot.org/uniprot/P51587" TargetMode="External"/><Relationship Id="rId904" Type="http://schemas.openxmlformats.org/officeDocument/2006/relationships/hyperlink" Target="https://pubmed.ncbi.nlm.nih.gov/?term=27322682%5Buid%5D" TargetMode="External"/><Relationship Id="rId1327" Type="http://schemas.openxmlformats.org/officeDocument/2006/relationships/hyperlink" Target="https://www.ncbi.nlm.nih.gov/gene/4913" TargetMode="External"/><Relationship Id="rId1534" Type="http://schemas.openxmlformats.org/officeDocument/2006/relationships/hyperlink" Target="https://www.ncbi.nlm.nih.gov/gene/3065" TargetMode="External"/><Relationship Id="rId1741" Type="http://schemas.openxmlformats.org/officeDocument/2006/relationships/hyperlink" Target="https://www.ncbi.nlm.nih.gov/gene/64866" TargetMode="External"/><Relationship Id="rId1979" Type="http://schemas.openxmlformats.org/officeDocument/2006/relationships/hyperlink" Target="https://www.uniprot.org/uniprot/P29353" TargetMode="External"/><Relationship Id="rId33" Type="http://schemas.openxmlformats.org/officeDocument/2006/relationships/hyperlink" Target="https://pubmed.ncbi.nlm.nih.gov/?term=28881734%5Buid%5D" TargetMode="External"/><Relationship Id="rId1601" Type="http://schemas.openxmlformats.org/officeDocument/2006/relationships/hyperlink" Target="https://www.ncbi.nlm.nih.gov/gene/55120" TargetMode="External"/><Relationship Id="rId1839" Type="http://schemas.openxmlformats.org/officeDocument/2006/relationships/hyperlink" Target="https://www.ncbi.nlm.nih.gov/gene/10550" TargetMode="External"/><Relationship Id="rId182" Type="http://schemas.openxmlformats.org/officeDocument/2006/relationships/hyperlink" Target="https://pubmed.ncbi.nlm.nih.gov/?term=28815582%2C%2029769618%2C%2026087191%2C%2032312965%5Buid%5D" TargetMode="External"/><Relationship Id="rId1906" Type="http://schemas.openxmlformats.org/officeDocument/2006/relationships/hyperlink" Target="https://www.uniprot.org/uniprot/Q13323" TargetMode="External"/><Relationship Id="rId487" Type="http://schemas.openxmlformats.org/officeDocument/2006/relationships/hyperlink" Target="https://pubmed.ncbi.nlm.nih.gov/?term=23678002%2C%2023365645%2C%2015386344%20%5Buid%5D" TargetMode="External"/><Relationship Id="rId694" Type="http://schemas.openxmlformats.org/officeDocument/2006/relationships/hyperlink" Target="https://pubmed.ncbi.nlm.nih.gov/?term=20727170%5Buid%5D" TargetMode="External"/><Relationship Id="rId2070" Type="http://schemas.openxmlformats.org/officeDocument/2006/relationships/hyperlink" Target="https://www.uniprot.org/uniprot/Q9H6I2" TargetMode="External"/><Relationship Id="rId2168" Type="http://schemas.openxmlformats.org/officeDocument/2006/relationships/hyperlink" Target="https://www.uniprot.org/uniprot/Q92995" TargetMode="External"/><Relationship Id="rId2375" Type="http://schemas.openxmlformats.org/officeDocument/2006/relationships/hyperlink" Target="https://www.uniprot.org/uniprot/P40424" TargetMode="External"/><Relationship Id="rId347" Type="http://schemas.openxmlformats.org/officeDocument/2006/relationships/hyperlink" Target="https://pubmed.ncbi.nlm.nih.gov/?term=25246592%5Buid%5D" TargetMode="External"/><Relationship Id="rId999" Type="http://schemas.openxmlformats.org/officeDocument/2006/relationships/hyperlink" Target="https://www.ncbi.nlm.nih.gov/gene/7422" TargetMode="External"/><Relationship Id="rId1184" Type="http://schemas.openxmlformats.org/officeDocument/2006/relationships/hyperlink" Target="https://www.ncbi.nlm.nih.gov/gene/4919" TargetMode="External"/><Relationship Id="rId2028" Type="http://schemas.openxmlformats.org/officeDocument/2006/relationships/hyperlink" Target="https://www.uniprot.org/uniprot/Q9NS23" TargetMode="External"/><Relationship Id="rId2582" Type="http://schemas.openxmlformats.org/officeDocument/2006/relationships/hyperlink" Target="https://www.uniprot.org/uniprot/P05230" TargetMode="External"/><Relationship Id="rId554" Type="http://schemas.openxmlformats.org/officeDocument/2006/relationships/hyperlink" Target="https://pubmed.ncbi.nlm.nih.gov/?term=18667446%2C%2029813121%5Buid%5D" TargetMode="External"/><Relationship Id="rId761" Type="http://schemas.openxmlformats.org/officeDocument/2006/relationships/hyperlink" Target="https://pubmed.ncbi.nlm.nih.gov/?term=16914559%2C%2029416650%5Buid%5D" TargetMode="External"/><Relationship Id="rId859" Type="http://schemas.openxmlformats.org/officeDocument/2006/relationships/hyperlink" Target="https://pubmed.ncbi.nlm.nih.gov/?term=27315793%5Buid%5D" TargetMode="External"/><Relationship Id="rId1391" Type="http://schemas.openxmlformats.org/officeDocument/2006/relationships/hyperlink" Target="https://www.ncbi.nlm.nih.gov/gene/4327" TargetMode="External"/><Relationship Id="rId1489" Type="http://schemas.openxmlformats.org/officeDocument/2006/relationships/hyperlink" Target="https://www.ncbi.nlm.nih.gov/gene/50616" TargetMode="External"/><Relationship Id="rId1696" Type="http://schemas.openxmlformats.org/officeDocument/2006/relationships/hyperlink" Target="https://www.ncbi.nlm.nih.gov/gene/8451" TargetMode="External"/><Relationship Id="rId2235" Type="http://schemas.openxmlformats.org/officeDocument/2006/relationships/hyperlink" Target="https://www.uniprot.org/uniprot/O43623" TargetMode="External"/><Relationship Id="rId2442" Type="http://schemas.openxmlformats.org/officeDocument/2006/relationships/hyperlink" Target="https://www.uniprot.org/uniprot/P08473" TargetMode="External"/><Relationship Id="rId207" Type="http://schemas.openxmlformats.org/officeDocument/2006/relationships/hyperlink" Target="https://pubmed.ncbi.nlm.nih.gov/?term=21775533%5Buid%5D" TargetMode="External"/><Relationship Id="rId414" Type="http://schemas.openxmlformats.org/officeDocument/2006/relationships/hyperlink" Target="https://pubmed.ncbi.nlm.nih.gov/?term=23079474%2C%20%2024995581%2C%2031078735%5Buid%5D" TargetMode="External"/><Relationship Id="rId621" Type="http://schemas.openxmlformats.org/officeDocument/2006/relationships/hyperlink" Target="https://pubmed.ncbi.nlm.nih.gov/?term=21310163%2C%2022110608%5Buid%5D" TargetMode="External"/><Relationship Id="rId1044" Type="http://schemas.openxmlformats.org/officeDocument/2006/relationships/hyperlink" Target="https://www.ncbi.nlm.nih.gov/gene/8743" TargetMode="External"/><Relationship Id="rId1251" Type="http://schemas.openxmlformats.org/officeDocument/2006/relationships/hyperlink" Target="https://www.ncbi.nlm.nih.gov/gene/5515" TargetMode="External"/><Relationship Id="rId1349" Type="http://schemas.openxmlformats.org/officeDocument/2006/relationships/hyperlink" Target="https://www.ncbi.nlm.nih.gov/gene/79858" TargetMode="External"/><Relationship Id="rId2302" Type="http://schemas.openxmlformats.org/officeDocument/2006/relationships/hyperlink" Target="https://www.uniprot.org/uniprot/P06400" TargetMode="External"/><Relationship Id="rId2747" Type="http://schemas.openxmlformats.org/officeDocument/2006/relationships/hyperlink" Target="https://www.uniprot.org/uniprot/Q92934" TargetMode="External"/><Relationship Id="rId719" Type="http://schemas.openxmlformats.org/officeDocument/2006/relationships/hyperlink" Target="https://pubmed.ncbi.nlm.nih.gov/?term=16394183%5Buid%5D" TargetMode="External"/><Relationship Id="rId926" Type="http://schemas.openxmlformats.org/officeDocument/2006/relationships/hyperlink" Target="https://pubmed.ncbi.nlm.nih.gov/?term=11577088%5Buid%5D" TargetMode="External"/><Relationship Id="rId1111" Type="http://schemas.openxmlformats.org/officeDocument/2006/relationships/hyperlink" Target="https://www.ncbi.nlm.nih.gov/gene/6648" TargetMode="External"/><Relationship Id="rId1556" Type="http://schemas.openxmlformats.org/officeDocument/2006/relationships/hyperlink" Target="https://www.ncbi.nlm.nih.gov/gene/55204" TargetMode="External"/><Relationship Id="rId1763" Type="http://schemas.openxmlformats.org/officeDocument/2006/relationships/hyperlink" Target="https://www.ncbi.nlm.nih.gov/gene/875" TargetMode="External"/><Relationship Id="rId1970" Type="http://schemas.openxmlformats.org/officeDocument/2006/relationships/hyperlink" Target="https://www.uniprot.org/uniprot/P02452" TargetMode="External"/><Relationship Id="rId2607" Type="http://schemas.openxmlformats.org/officeDocument/2006/relationships/hyperlink" Target="https://www.uniprot.org/uniprot/Q13216" TargetMode="External"/><Relationship Id="rId55" Type="http://schemas.openxmlformats.org/officeDocument/2006/relationships/hyperlink" Target="https://pubmed.ncbi.nlm.nih.gov/?term=%2026241884%2C%2020651982%2C%2024554706%5Buid%5D" TargetMode="External"/><Relationship Id="rId1209" Type="http://schemas.openxmlformats.org/officeDocument/2006/relationships/hyperlink" Target="https://www.ncbi.nlm.nih.gov/gene/55086" TargetMode="External"/><Relationship Id="rId1416" Type="http://schemas.openxmlformats.org/officeDocument/2006/relationships/hyperlink" Target="https://www.ncbi.nlm.nih.gov/gene/5595" TargetMode="External"/><Relationship Id="rId1623" Type="http://schemas.openxmlformats.org/officeDocument/2006/relationships/hyperlink" Target="https://www.ncbi.nlm.nih.gov/gene/1161" TargetMode="External"/><Relationship Id="rId1830" Type="http://schemas.openxmlformats.org/officeDocument/2006/relationships/hyperlink" Target="https://www.ncbi.nlm.nih.gov/gene/10533" TargetMode="External"/><Relationship Id="rId1928" Type="http://schemas.openxmlformats.org/officeDocument/2006/relationships/hyperlink" Target="https://www.uniprot.org/uniprot/O60462" TargetMode="External"/><Relationship Id="rId2092" Type="http://schemas.openxmlformats.org/officeDocument/2006/relationships/hyperlink" Target="https://www.uniprot.org/uniprot/Q9H8M2" TargetMode="External"/><Relationship Id="rId271" Type="http://schemas.openxmlformats.org/officeDocument/2006/relationships/hyperlink" Target="https://pubmed.ncbi.nlm.nih.gov/?term=29247747%2C%2030417012%2C%2012208738%5Buid%5D" TargetMode="External"/><Relationship Id="rId2397" Type="http://schemas.openxmlformats.org/officeDocument/2006/relationships/hyperlink" Target="https://www.uniprot.org/uniprot/Q9UM47" TargetMode="External"/><Relationship Id="rId131" Type="http://schemas.openxmlformats.org/officeDocument/2006/relationships/hyperlink" Target="https://pubmed.ncbi.nlm.nih.gov/?term=24816187%2C%2026629063%5Buid%5D" TargetMode="External"/><Relationship Id="rId369" Type="http://schemas.openxmlformats.org/officeDocument/2006/relationships/hyperlink" Target="https://pubmed.ncbi.nlm.nih.gov/?term=18395248%2C%2024846322%5Buid%5D" TargetMode="External"/><Relationship Id="rId576" Type="http://schemas.openxmlformats.org/officeDocument/2006/relationships/hyperlink" Target="https://pubmed.ncbi.nlm.nih.gov/?term=21364678%2C%2025015419%5Buid%5D" TargetMode="External"/><Relationship Id="rId783" Type="http://schemas.openxmlformats.org/officeDocument/2006/relationships/hyperlink" Target="https://pubmed.ncbi.nlm.nih.gov/?term=29552194%2C%2027875522%5Buid%5D" TargetMode="External"/><Relationship Id="rId990" Type="http://schemas.openxmlformats.org/officeDocument/2006/relationships/hyperlink" Target="https://www.ncbi.nlm.nih.gov/gene/54739" TargetMode="External"/><Relationship Id="rId2257" Type="http://schemas.openxmlformats.org/officeDocument/2006/relationships/hyperlink" Target="https://www.uniprot.org/uniprot/Q15758" TargetMode="External"/><Relationship Id="rId2464" Type="http://schemas.openxmlformats.org/officeDocument/2006/relationships/hyperlink" Target="https://www.uniprot.org/uniprot/Q13233" TargetMode="External"/><Relationship Id="rId2671" Type="http://schemas.openxmlformats.org/officeDocument/2006/relationships/hyperlink" Target="https://www.uniprot.org/uniprot/Q96KA5" TargetMode="External"/><Relationship Id="rId229" Type="http://schemas.openxmlformats.org/officeDocument/2006/relationships/hyperlink" Target="https://pubmed.ncbi.nlm.nih.gov/?term=18089824%2C%2026581245%5Buid%5D" TargetMode="External"/><Relationship Id="rId436" Type="http://schemas.openxmlformats.org/officeDocument/2006/relationships/hyperlink" Target="https://pubmed.ncbi.nlm.nih.gov/?term=30254487%5Buid%5D" TargetMode="External"/><Relationship Id="rId643" Type="http://schemas.openxmlformats.org/officeDocument/2006/relationships/hyperlink" Target="https://pubmed.ncbi.nlm.nih.gov/?term=24954502%2C%2023340171%2C%2020683952%2C%2021342274%5Buid%5D" TargetMode="External"/><Relationship Id="rId1066" Type="http://schemas.openxmlformats.org/officeDocument/2006/relationships/hyperlink" Target="https://www.ncbi.nlm.nih.gov/gene/7046" TargetMode="External"/><Relationship Id="rId1273" Type="http://schemas.openxmlformats.org/officeDocument/2006/relationships/hyperlink" Target="https://www.ncbi.nlm.nih.gov/gene/5366" TargetMode="External"/><Relationship Id="rId1480" Type="http://schemas.openxmlformats.org/officeDocument/2006/relationships/hyperlink" Target="https://www.ncbi.nlm.nih.gov/gene/3655" TargetMode="External"/><Relationship Id="rId2117" Type="http://schemas.openxmlformats.org/officeDocument/2006/relationships/hyperlink" Target="https://www.uniprot.org/uniprot/P35916" TargetMode="External"/><Relationship Id="rId2324" Type="http://schemas.openxmlformats.org/officeDocument/2006/relationships/hyperlink" Target="https://www.uniprot.org/uniprot/Q13976" TargetMode="External"/><Relationship Id="rId2769" Type="http://schemas.openxmlformats.org/officeDocument/2006/relationships/hyperlink" Target="https://www.uniprot.org/uniprot/Q8IVW6" TargetMode="External"/><Relationship Id="rId850" Type="http://schemas.openxmlformats.org/officeDocument/2006/relationships/hyperlink" Target="https://pubmed.ncbi.nlm.nih.gov/?term=26376695%2C%2027688262%5Buid%5D" TargetMode="External"/><Relationship Id="rId948" Type="http://schemas.openxmlformats.org/officeDocument/2006/relationships/hyperlink" Target="https://www.ncbi.nlm.nih.gov/gene/3217" TargetMode="External"/><Relationship Id="rId1133" Type="http://schemas.openxmlformats.org/officeDocument/2006/relationships/hyperlink" Target="https://www.ncbi.nlm.nih.gov/gene/1317" TargetMode="External"/><Relationship Id="rId1578" Type="http://schemas.openxmlformats.org/officeDocument/2006/relationships/hyperlink" Target="https://www.ncbi.nlm.nih.gov/gene/2308" TargetMode="External"/><Relationship Id="rId1785" Type="http://schemas.openxmlformats.org/officeDocument/2006/relationships/hyperlink" Target="https://www.ncbi.nlm.nih.gov/gene/672" TargetMode="External"/><Relationship Id="rId1992" Type="http://schemas.openxmlformats.org/officeDocument/2006/relationships/hyperlink" Target="https://www.uniprot.org/uniprot/Q8N3J3" TargetMode="External"/><Relationship Id="rId2531" Type="http://schemas.openxmlformats.org/officeDocument/2006/relationships/hyperlink" Target="https://www.uniprot.org/uniprot/P31271" TargetMode="External"/><Relationship Id="rId2629" Type="http://schemas.openxmlformats.org/officeDocument/2006/relationships/hyperlink" Target="https://www.uniprot.org/uniprot/P01133" TargetMode="External"/><Relationship Id="rId77" Type="http://schemas.openxmlformats.org/officeDocument/2006/relationships/hyperlink" Target="https://pubmed.ncbi.nlm.nih.gov/?term=23117882%5Buid%5D" TargetMode="External"/><Relationship Id="rId503" Type="http://schemas.openxmlformats.org/officeDocument/2006/relationships/hyperlink" Target="https://pubmed.ncbi.nlm.nih.gov/?term=19784067%2C%2023921446%5Buid%5D" TargetMode="External"/><Relationship Id="rId710" Type="http://schemas.openxmlformats.org/officeDocument/2006/relationships/hyperlink" Target="https://pubmed.ncbi.nlm.nih.gov/?term=28498503%2C%2024675421%5Buid%5D" TargetMode="External"/><Relationship Id="rId808" Type="http://schemas.openxmlformats.org/officeDocument/2006/relationships/hyperlink" Target="https://pubmed.ncbi.nlm.nih.gov/?term=27340780%2C%2023665025%2C%2030056367%2C%2020127005%2C%2021549414%5Buid%5D" TargetMode="External"/><Relationship Id="rId1340" Type="http://schemas.openxmlformats.org/officeDocument/2006/relationships/hyperlink" Target="https://www.ncbi.nlm.nih.gov/gene/4842" TargetMode="External"/><Relationship Id="rId1438" Type="http://schemas.openxmlformats.org/officeDocument/2006/relationships/hyperlink" Target="https://www.ncbi.nlm.nih.gov/gene/55144" TargetMode="External"/><Relationship Id="rId1645" Type="http://schemas.openxmlformats.org/officeDocument/2006/relationships/hyperlink" Target="https://www.ncbi.nlm.nih.gov/gene/8661" TargetMode="External"/><Relationship Id="rId1200" Type="http://schemas.openxmlformats.org/officeDocument/2006/relationships/hyperlink" Target="https://www.ncbi.nlm.nih.gov/gene/5970" TargetMode="External"/><Relationship Id="rId1852" Type="http://schemas.openxmlformats.org/officeDocument/2006/relationships/hyperlink" Target="https://www.ncbi.nlm.nih.gov/gene/27063" TargetMode="External"/><Relationship Id="rId1505" Type="http://schemas.openxmlformats.org/officeDocument/2006/relationships/hyperlink" Target="https://www.ncbi.nlm.nih.gov/gene/3315" TargetMode="External"/><Relationship Id="rId1712" Type="http://schemas.openxmlformats.org/officeDocument/2006/relationships/hyperlink" Target="https://www.ncbi.nlm.nih.gov/gene/1191" TargetMode="External"/><Relationship Id="rId293" Type="http://schemas.openxmlformats.org/officeDocument/2006/relationships/hyperlink" Target="https://pubmed.ncbi.nlm.nih.gov/?term=25331442%5Buid%5D" TargetMode="External"/><Relationship Id="rId2181" Type="http://schemas.openxmlformats.org/officeDocument/2006/relationships/hyperlink" Target="https://www.uniprot.org/uniprot/Q92519" TargetMode="External"/><Relationship Id="rId153" Type="http://schemas.openxmlformats.org/officeDocument/2006/relationships/hyperlink" Target="https://pubmed.ncbi.nlm.nih.gov/?term=29581579%2C%2030653577%2C%2015102685%5Buid%5D" TargetMode="External"/><Relationship Id="rId360" Type="http://schemas.openxmlformats.org/officeDocument/2006/relationships/hyperlink" Target="https://pubmed.ncbi.nlm.nih.gov/?term=24475290%2C%2029456726%2C%2029561664%2C%2030071534%5Buid%5D" TargetMode="External"/><Relationship Id="rId598" Type="http://schemas.openxmlformats.org/officeDocument/2006/relationships/hyperlink" Target="https://pubmed.ncbi.nlm.nih.gov/?term=29207176%2C%2026364260%2C%2024478030%5Buid%5D" TargetMode="External"/><Relationship Id="rId2041" Type="http://schemas.openxmlformats.org/officeDocument/2006/relationships/hyperlink" Target="https://www.uniprot.org/uniprot/P53355" TargetMode="External"/><Relationship Id="rId2279" Type="http://schemas.openxmlformats.org/officeDocument/2006/relationships/hyperlink" Target="https://www.uniprot.org/uniprot/P51812" TargetMode="External"/><Relationship Id="rId2486" Type="http://schemas.openxmlformats.org/officeDocument/2006/relationships/hyperlink" Target="https://www.uniprot.org/uniprot/O43504" TargetMode="External"/><Relationship Id="rId2693" Type="http://schemas.openxmlformats.org/officeDocument/2006/relationships/hyperlink" Target="https://www.uniprot.org/uniprot/Q9NYV4" TargetMode="External"/><Relationship Id="rId220" Type="http://schemas.openxmlformats.org/officeDocument/2006/relationships/hyperlink" Target="https://pubmed.ncbi.nlm.nih.gov/?term=30221734%2C%2015723655%2C%2019092150%5Buid%5D" TargetMode="External"/><Relationship Id="rId458" Type="http://schemas.openxmlformats.org/officeDocument/2006/relationships/hyperlink" Target="https://pubmed.ncbi.nlm.nih.gov/?term=26158423%5Buid%5D" TargetMode="External"/><Relationship Id="rId665" Type="http://schemas.openxmlformats.org/officeDocument/2006/relationships/hyperlink" Target="https://pubmed.ncbi.nlm.nih.gov/?term=23165153%5Buid%5D" TargetMode="External"/><Relationship Id="rId872" Type="http://schemas.openxmlformats.org/officeDocument/2006/relationships/hyperlink" Target="https://pubmed.ncbi.nlm.nih.gov/?term=28670762%2C%2029312632%5Buid%5D" TargetMode="External"/><Relationship Id="rId1088" Type="http://schemas.openxmlformats.org/officeDocument/2006/relationships/hyperlink" Target="https://www.ncbi.nlm.nih.gov/gene/340061" TargetMode="External"/><Relationship Id="rId1295" Type="http://schemas.openxmlformats.org/officeDocument/2006/relationships/hyperlink" Target="https://www.ncbi.nlm.nih.gov/gene/5174" TargetMode="External"/><Relationship Id="rId2139" Type="http://schemas.openxmlformats.org/officeDocument/2006/relationships/hyperlink" Target="https://www.uniprot.org/uniprot/P35789" TargetMode="External"/><Relationship Id="rId2346" Type="http://schemas.openxmlformats.org/officeDocument/2006/relationships/hyperlink" Target="https://www.uniprot.org/uniprot/P49005" TargetMode="External"/><Relationship Id="rId2553" Type="http://schemas.openxmlformats.org/officeDocument/2006/relationships/hyperlink" Target="https://www.uniprot.org/uniprot/P00390" TargetMode="External"/><Relationship Id="rId2760" Type="http://schemas.openxmlformats.org/officeDocument/2006/relationships/hyperlink" Target="https://www.uniprot.org/uniprot/Q9Y2G3" TargetMode="External"/><Relationship Id="rId318" Type="http://schemas.openxmlformats.org/officeDocument/2006/relationships/hyperlink" Target="https://pubmed.ncbi.nlm.nih.gov/?term=28883005%5Buid%5D" TargetMode="External"/><Relationship Id="rId525" Type="http://schemas.openxmlformats.org/officeDocument/2006/relationships/hyperlink" Target="https://pubmed.ncbi.nlm.nih.gov/?term=22372608%2C%2025684730%5Buid%5D" TargetMode="External"/><Relationship Id="rId732" Type="http://schemas.openxmlformats.org/officeDocument/2006/relationships/hyperlink" Target="https://pubmed.ncbi.nlm.nih.gov/?term=29485916%2C%2028051137%2C%2029956751%5Buid%5D" TargetMode="External"/><Relationship Id="rId1155" Type="http://schemas.openxmlformats.org/officeDocument/2006/relationships/hyperlink" Target="https://www.ncbi.nlm.nih.gov/gene/6317" TargetMode="External"/><Relationship Id="rId1362" Type="http://schemas.openxmlformats.org/officeDocument/2006/relationships/hyperlink" Target="https://www.ncbi.nlm.nih.gov/gene/7593" TargetMode="External"/><Relationship Id="rId2206" Type="http://schemas.openxmlformats.org/officeDocument/2006/relationships/hyperlink" Target="https://www.uniprot.org/uniprot/P10600" TargetMode="External"/><Relationship Id="rId2413" Type="http://schemas.openxmlformats.org/officeDocument/2006/relationships/hyperlink" Target="https://www.uniprot.org/uniprot/Q8IVL0" TargetMode="External"/><Relationship Id="rId2620" Type="http://schemas.openxmlformats.org/officeDocument/2006/relationships/hyperlink" Target="https://www.uniprot.org/uniprot/P17813" TargetMode="External"/><Relationship Id="rId99" Type="http://schemas.openxmlformats.org/officeDocument/2006/relationships/hyperlink" Target="https://pubmed.ncbi.nlm.nih.gov/?term=23229441%2C%2020514400%2C%2027384994%2C%2023358177%2C%2011241318%5Buid%5D" TargetMode="External"/><Relationship Id="rId1015" Type="http://schemas.openxmlformats.org/officeDocument/2006/relationships/hyperlink" Target="https://www.ncbi.nlm.nih.gov/gene/29089" TargetMode="External"/><Relationship Id="rId1222" Type="http://schemas.openxmlformats.org/officeDocument/2006/relationships/hyperlink" Target="https://www.ncbi.nlm.nih.gov/gene/57111" TargetMode="External"/><Relationship Id="rId1667" Type="http://schemas.openxmlformats.org/officeDocument/2006/relationships/hyperlink" Target="https://www.ncbi.nlm.nih.gov/gene/9046" TargetMode="External"/><Relationship Id="rId1874" Type="http://schemas.openxmlformats.org/officeDocument/2006/relationships/hyperlink" Target="https://www.ncbi.nlm.nih.gov/gene/55902" TargetMode="External"/><Relationship Id="rId2718" Type="http://schemas.openxmlformats.org/officeDocument/2006/relationships/hyperlink" Target="https://www.uniprot.org/uniprot/Q6UXS9" TargetMode="External"/><Relationship Id="rId1527" Type="http://schemas.openxmlformats.org/officeDocument/2006/relationships/hyperlink" Target="https://www.ncbi.nlm.nih.gov/gene/3090" TargetMode="External"/><Relationship Id="rId1734" Type="http://schemas.openxmlformats.org/officeDocument/2006/relationships/hyperlink" Target="https://www.ncbi.nlm.nih.gov/gene/1022" TargetMode="External"/><Relationship Id="rId1941" Type="http://schemas.openxmlformats.org/officeDocument/2006/relationships/hyperlink" Target="https://www.uniprot.org/uniprot/P00414" TargetMode="External"/><Relationship Id="rId26" Type="http://schemas.openxmlformats.org/officeDocument/2006/relationships/hyperlink" Target="https://pubmed.ncbi.nlm.nih.gov/?term=23165153%2C%2015790446%2C%2027698389%5Buid%5D" TargetMode="External"/><Relationship Id="rId175" Type="http://schemas.openxmlformats.org/officeDocument/2006/relationships/hyperlink" Target="https://pubmed.ncbi.nlm.nih.gov/?term=23053666%2C%2023599806%2C%2021508375%5Buid%5D" TargetMode="External"/><Relationship Id="rId1801" Type="http://schemas.openxmlformats.org/officeDocument/2006/relationships/hyperlink" Target="https://www.ncbi.nlm.nih.gov/gene/8678" TargetMode="External"/><Relationship Id="rId382" Type="http://schemas.openxmlformats.org/officeDocument/2006/relationships/hyperlink" Target="https://pubmed.ncbi.nlm.nih.gov/?term=30194340%5Buid%5D" TargetMode="External"/><Relationship Id="rId687" Type="http://schemas.openxmlformats.org/officeDocument/2006/relationships/hyperlink" Target="https://pubmed.ncbi.nlm.nih.gov/?term=9774659%2C%2018473729%2C%2021779174%2C%2031381562%2C%2027531263%5Buid%5D" TargetMode="External"/><Relationship Id="rId2063" Type="http://schemas.openxmlformats.org/officeDocument/2006/relationships/hyperlink" Target="https://www.uniprot.org/uniprot/Q9NNW7" TargetMode="External"/><Relationship Id="rId2270" Type="http://schemas.openxmlformats.org/officeDocument/2006/relationships/hyperlink" Target="https://www.uniprot.org/uniprot/P21912" TargetMode="External"/><Relationship Id="rId2368" Type="http://schemas.openxmlformats.org/officeDocument/2006/relationships/hyperlink" Target="https://www.uniprot.org/uniprot/P30101" TargetMode="External"/><Relationship Id="rId242" Type="http://schemas.openxmlformats.org/officeDocument/2006/relationships/hyperlink" Target="https://pubmed.ncbi.nlm.nih.gov/?term=31285371%5Buid%5D" TargetMode="External"/><Relationship Id="rId894" Type="http://schemas.openxmlformats.org/officeDocument/2006/relationships/hyperlink" Target="https://pubmed.ncbi.nlm.nih.gov/?term=27029531%5Buid%5D" TargetMode="External"/><Relationship Id="rId1177" Type="http://schemas.openxmlformats.org/officeDocument/2006/relationships/hyperlink" Target="https://www.ncbi.nlm.nih.gov/gene/6191" TargetMode="External"/><Relationship Id="rId2130" Type="http://schemas.openxmlformats.org/officeDocument/2006/relationships/hyperlink" Target="https://www.uniprot.org/uniprot/P61586" TargetMode="External"/><Relationship Id="rId2575" Type="http://schemas.openxmlformats.org/officeDocument/2006/relationships/hyperlink" Target="https://www.uniprot.org/uniprot/Q08050" TargetMode="External"/><Relationship Id="rId2782" Type="http://schemas.openxmlformats.org/officeDocument/2006/relationships/hyperlink" Target="https://www.uniprot.org/uniprot/Q96B36" TargetMode="External"/><Relationship Id="rId102" Type="http://schemas.openxmlformats.org/officeDocument/2006/relationships/hyperlink" Target="https://pubmed.ncbi.nlm.nih.gov/?term=29685168%2C%2026294655%2C%2021445297%5Buid%5D" TargetMode="External"/><Relationship Id="rId547" Type="http://schemas.openxmlformats.org/officeDocument/2006/relationships/hyperlink" Target="https://pubmed.ncbi.nlm.nih.gov/?term=23633453%2C%2028569775%5Buid%5D" TargetMode="External"/><Relationship Id="rId754" Type="http://schemas.openxmlformats.org/officeDocument/2006/relationships/hyperlink" Target="https://pubmed.ncbi.nlm.nih.gov/?term=26367491%2C%2021947960%5Buid%5D" TargetMode="External"/><Relationship Id="rId961" Type="http://schemas.openxmlformats.org/officeDocument/2006/relationships/hyperlink" Target="https://www.uniprot.org/uniprot/P15927" TargetMode="External"/><Relationship Id="rId1384" Type="http://schemas.openxmlformats.org/officeDocument/2006/relationships/hyperlink" Target="https://www.ncbi.nlm.nih.gov/gene/4361" TargetMode="External"/><Relationship Id="rId1591" Type="http://schemas.openxmlformats.org/officeDocument/2006/relationships/hyperlink" Target="https://www.ncbi.nlm.nih.gov/gene/2246" TargetMode="External"/><Relationship Id="rId1689" Type="http://schemas.openxmlformats.org/officeDocument/2006/relationships/hyperlink" Target="https://www.ncbi.nlm.nih.gov/gene/1571" TargetMode="External"/><Relationship Id="rId2228" Type="http://schemas.openxmlformats.org/officeDocument/2006/relationships/hyperlink" Target="https://www.uniprot.org/uniprot/Q12772" TargetMode="External"/><Relationship Id="rId2435" Type="http://schemas.openxmlformats.org/officeDocument/2006/relationships/hyperlink" Target="https://www.uniprot.org/uniprot/P43246" TargetMode="External"/><Relationship Id="rId2642" Type="http://schemas.openxmlformats.org/officeDocument/2006/relationships/hyperlink" Target="https://www.uniprot.org/uniprot/Q9UPY3" TargetMode="External"/><Relationship Id="rId90" Type="http://schemas.openxmlformats.org/officeDocument/2006/relationships/hyperlink" Target="https://pubmed.ncbi.nlm.nih.gov/?term=30019389%5Buid%5D" TargetMode="External"/><Relationship Id="rId407" Type="http://schemas.openxmlformats.org/officeDocument/2006/relationships/hyperlink" Target="https://pubmed.ncbi.nlm.nih.gov/?term=32010312%5Buid%5D" TargetMode="External"/><Relationship Id="rId614" Type="http://schemas.openxmlformats.org/officeDocument/2006/relationships/hyperlink" Target="https://pubmed.ncbi.nlm.nih.gov/?term=25884497%5Buid%5D" TargetMode="External"/><Relationship Id="rId821" Type="http://schemas.openxmlformats.org/officeDocument/2006/relationships/hyperlink" Target="https://pubmed.ncbi.nlm.nih.gov/?term=18571892%5Buid%5D" TargetMode="External"/><Relationship Id="rId1037" Type="http://schemas.openxmlformats.org/officeDocument/2006/relationships/hyperlink" Target="https://www.ncbi.nlm.nih.gov/gene/7157" TargetMode="External"/><Relationship Id="rId1244" Type="http://schemas.openxmlformats.org/officeDocument/2006/relationships/hyperlink" Target="https://www.ncbi.nlm.nih.gov/gene/5573" TargetMode="External"/><Relationship Id="rId1451" Type="http://schemas.openxmlformats.org/officeDocument/2006/relationships/hyperlink" Target="https://www.ncbi.nlm.nih.gov/gene/3897" TargetMode="External"/><Relationship Id="rId1896" Type="http://schemas.openxmlformats.org/officeDocument/2006/relationships/hyperlink" Target="https://www.uniprot.org/uniprot/Q5T0W9" TargetMode="External"/><Relationship Id="rId2502" Type="http://schemas.openxmlformats.org/officeDocument/2006/relationships/hyperlink" Target="https://www.uniprot.org/uniprot/P05412" TargetMode="External"/><Relationship Id="rId919" Type="http://schemas.openxmlformats.org/officeDocument/2006/relationships/hyperlink" Target="https://pubmed.ncbi.nlm.nih.gov/?term=21785230%5Buid%5D" TargetMode="External"/><Relationship Id="rId1104" Type="http://schemas.openxmlformats.org/officeDocument/2006/relationships/hyperlink" Target="https://www.ncbi.nlm.nih.gov/gene/6678" TargetMode="External"/><Relationship Id="rId1311" Type="http://schemas.openxmlformats.org/officeDocument/2006/relationships/hyperlink" Target="https://www.ncbi.nlm.nih.gov/gene/10038" TargetMode="External"/><Relationship Id="rId1549" Type="http://schemas.openxmlformats.org/officeDocument/2006/relationships/hyperlink" Target="https://www.ncbi.nlm.nih.gov/gene/2932" TargetMode="External"/><Relationship Id="rId1756" Type="http://schemas.openxmlformats.org/officeDocument/2006/relationships/hyperlink" Target="https://www.ncbi.nlm.nih.gov/gene/595" TargetMode="External"/><Relationship Id="rId1963" Type="http://schemas.openxmlformats.org/officeDocument/2006/relationships/hyperlink" Target="https://www.uniprot.org/uniprot/P21802" TargetMode="External"/><Relationship Id="rId2807" Type="http://schemas.openxmlformats.org/officeDocument/2006/relationships/printerSettings" Target="../printerSettings/printerSettings1.bin"/><Relationship Id="rId48" Type="http://schemas.openxmlformats.org/officeDocument/2006/relationships/hyperlink" Target="https://pubmed.ncbi.nlm.nih.gov/?term=29660381%5Buid%5D" TargetMode="External"/><Relationship Id="rId1409" Type="http://schemas.openxmlformats.org/officeDocument/2006/relationships/hyperlink" Target="https://www.ncbi.nlm.nih.gov/gene/254394" TargetMode="External"/><Relationship Id="rId1616" Type="http://schemas.openxmlformats.org/officeDocument/2006/relationships/hyperlink" Target="https://www.ncbi.nlm.nih.gov/gene/80233" TargetMode="External"/><Relationship Id="rId1823" Type="http://schemas.openxmlformats.org/officeDocument/2006/relationships/hyperlink" Target="https://www.ncbi.nlm.nih.gov/gene/528" TargetMode="External"/><Relationship Id="rId197" Type="http://schemas.openxmlformats.org/officeDocument/2006/relationships/hyperlink" Target="https://pubmed.ncbi.nlm.nih.gov/?term=28095394%2C%2030562757%5Buid%5D" TargetMode="External"/><Relationship Id="rId2085" Type="http://schemas.openxmlformats.org/officeDocument/2006/relationships/hyperlink" Target="https://www.uniprot.org/uniprot/Q9H7Z6" TargetMode="External"/><Relationship Id="rId2292" Type="http://schemas.openxmlformats.org/officeDocument/2006/relationships/hyperlink" Target="https://www.uniprot.org/uniprot/O60673" TargetMode="External"/><Relationship Id="rId264" Type="http://schemas.openxmlformats.org/officeDocument/2006/relationships/hyperlink" Target="https://pubmed.ncbi.nlm.nih.gov/?term=28178720%2C%2011280782%5Buid%5D" TargetMode="External"/><Relationship Id="rId471" Type="http://schemas.openxmlformats.org/officeDocument/2006/relationships/hyperlink" Target="https://pubmed.ncbi.nlm.nih.gov/?term=23358872%5Buid%5D" TargetMode="External"/><Relationship Id="rId2152" Type="http://schemas.openxmlformats.org/officeDocument/2006/relationships/hyperlink" Target="https://www.uniprot.org/uniprot/O43543" TargetMode="External"/><Relationship Id="rId2597" Type="http://schemas.openxmlformats.org/officeDocument/2006/relationships/hyperlink" Target="https://www.uniprot.org/uniprot/Q00597" TargetMode="External"/><Relationship Id="rId124" Type="http://schemas.openxmlformats.org/officeDocument/2006/relationships/hyperlink" Target="https://pubmed.ncbi.nlm.nih.gov/?term=18064040%2C%2022986525%5Buid%5D" TargetMode="External"/><Relationship Id="rId569" Type="http://schemas.openxmlformats.org/officeDocument/2006/relationships/hyperlink" Target="https://pubmed.ncbi.nlm.nih.gov/?term=31235595%2C%2032038994%5Buid%5D" TargetMode="External"/><Relationship Id="rId776" Type="http://schemas.openxmlformats.org/officeDocument/2006/relationships/hyperlink" Target="https://pubmed.ncbi.nlm.nih.gov/?term=26625211%2C%2022927417%2C%2031128155%5Buid%5D" TargetMode="External"/><Relationship Id="rId983" Type="http://schemas.openxmlformats.org/officeDocument/2006/relationships/hyperlink" Target="https://www.ncbi.nlm.nih.gov/gene/7516" TargetMode="External"/><Relationship Id="rId1199" Type="http://schemas.openxmlformats.org/officeDocument/2006/relationships/hyperlink" Target="https://www.ncbi.nlm.nih.gov/gene/5971" TargetMode="External"/><Relationship Id="rId2457" Type="http://schemas.openxmlformats.org/officeDocument/2006/relationships/hyperlink" Target="https://www.uniprot.org/uniprot/P27361" TargetMode="External"/><Relationship Id="rId2664" Type="http://schemas.openxmlformats.org/officeDocument/2006/relationships/hyperlink" Target="https://www.uniprot.org/uniprot/P09603" TargetMode="External"/><Relationship Id="rId331" Type="http://schemas.openxmlformats.org/officeDocument/2006/relationships/hyperlink" Target="https://pubmed.ncbi.nlm.nih.gov/?term=12123741%2C%2024664430%5Buid%5D" TargetMode="External"/><Relationship Id="rId429" Type="http://schemas.openxmlformats.org/officeDocument/2006/relationships/hyperlink" Target="https://pubmed.ncbi.nlm.nih.gov/?term=28634400%2C%2026915295%2C%2018458078%5Buid%5D" TargetMode="External"/><Relationship Id="rId636" Type="http://schemas.openxmlformats.org/officeDocument/2006/relationships/hyperlink" Target="https://pubmed.ncbi.nlm.nih.gov/?term=29618620%2C%2018302766%5Buid%5D" TargetMode="External"/><Relationship Id="rId1059" Type="http://schemas.openxmlformats.org/officeDocument/2006/relationships/hyperlink" Target="https://www.ncbi.nlm.nih.gov/gene/8914" TargetMode="External"/><Relationship Id="rId1266" Type="http://schemas.openxmlformats.org/officeDocument/2006/relationships/hyperlink" Target="https://www.ncbi.nlm.nih.gov/gene/5424" TargetMode="External"/><Relationship Id="rId1473" Type="http://schemas.openxmlformats.org/officeDocument/2006/relationships/hyperlink" Target="https://www.ncbi.nlm.nih.gov/gene/3725" TargetMode="External"/><Relationship Id="rId2012" Type="http://schemas.openxmlformats.org/officeDocument/2006/relationships/hyperlink" Target="https://www.uniprot.org/uniprot/P51148" TargetMode="External"/><Relationship Id="rId2317" Type="http://schemas.openxmlformats.org/officeDocument/2006/relationships/hyperlink" Target="https://www.uniprot.org/uniprot/P25105" TargetMode="External"/><Relationship Id="rId843" Type="http://schemas.openxmlformats.org/officeDocument/2006/relationships/hyperlink" Target="https://pubmed.ncbi.nlm.nih.gov/?term=22511598%2C%2023415672%5Buid%5D" TargetMode="External"/><Relationship Id="rId1126" Type="http://schemas.openxmlformats.org/officeDocument/2006/relationships/hyperlink" Target="https://www.ncbi.nlm.nih.gov/gene/9368" TargetMode="External"/><Relationship Id="rId1680" Type="http://schemas.openxmlformats.org/officeDocument/2006/relationships/hyperlink" Target="https://www.ncbi.nlm.nih.gov/gene/1642" TargetMode="External"/><Relationship Id="rId1778" Type="http://schemas.openxmlformats.org/officeDocument/2006/relationships/hyperlink" Target="https://www.ncbi.nlm.nih.gov/gene/826" TargetMode="External"/><Relationship Id="rId1985" Type="http://schemas.openxmlformats.org/officeDocument/2006/relationships/hyperlink" Target="https://www.uniprot.org/uniprot/Q8IXT1" TargetMode="External"/><Relationship Id="rId2524" Type="http://schemas.openxmlformats.org/officeDocument/2006/relationships/hyperlink" Target="https://www.uniprot.org/uniprot/P08238" TargetMode="External"/><Relationship Id="rId2731" Type="http://schemas.openxmlformats.org/officeDocument/2006/relationships/hyperlink" Target="https://www.uniprot.org/uniprot/Q13489" TargetMode="External"/><Relationship Id="rId703" Type="http://schemas.openxmlformats.org/officeDocument/2006/relationships/hyperlink" Target="https://pubmed.ncbi.nlm.nih.gov/?term=11336696%2C%2019053130%5Buid%5D" TargetMode="External"/><Relationship Id="rId910" Type="http://schemas.openxmlformats.org/officeDocument/2006/relationships/hyperlink" Target="https://pubmed.ncbi.nlm.nih.gov/?term=22759793%2C%2018555708%5Buid%5D" TargetMode="External"/><Relationship Id="rId1333" Type="http://schemas.openxmlformats.org/officeDocument/2006/relationships/hyperlink" Target="https://www.ncbi.nlm.nih.gov/gene/1728" TargetMode="External"/><Relationship Id="rId1540" Type="http://schemas.openxmlformats.org/officeDocument/2006/relationships/hyperlink" Target="https://www.ncbi.nlm.nih.gov/gene/2950" TargetMode="External"/><Relationship Id="rId1638" Type="http://schemas.openxmlformats.org/officeDocument/2006/relationships/hyperlink" Target="https://www.ncbi.nlm.nih.gov/gene/2022" TargetMode="External"/><Relationship Id="rId1400" Type="http://schemas.openxmlformats.org/officeDocument/2006/relationships/hyperlink" Target="https://www.ncbi.nlm.nih.gov/gene/4255" TargetMode="External"/><Relationship Id="rId1845" Type="http://schemas.openxmlformats.org/officeDocument/2006/relationships/hyperlink" Target="https://www.ncbi.nlm.nih.gov/gene/359" TargetMode="External"/><Relationship Id="rId1705" Type="http://schemas.openxmlformats.org/officeDocument/2006/relationships/hyperlink" Target="https://www.ncbi.nlm.nih.gov/gene/1376" TargetMode="External"/><Relationship Id="rId1912" Type="http://schemas.openxmlformats.org/officeDocument/2006/relationships/hyperlink" Target="https://www.uniprot.org/uniprot/P09038" TargetMode="External"/><Relationship Id="rId286" Type="http://schemas.openxmlformats.org/officeDocument/2006/relationships/hyperlink" Target="https://pubmed.ncbi.nlm.nih.gov/?term=26385482%2C%2016648566%2C%2022253870%5Buid%5D" TargetMode="External"/><Relationship Id="rId493" Type="http://schemas.openxmlformats.org/officeDocument/2006/relationships/hyperlink" Target="https://pubmed.ncbi.nlm.nih.gov/?term=27646943%2C%2026876197%2C%2022937789%5Buid%5D" TargetMode="External"/><Relationship Id="rId2174" Type="http://schemas.openxmlformats.org/officeDocument/2006/relationships/hyperlink" Target="https://www.uniprot.org/uniprot/P09936" TargetMode="External"/><Relationship Id="rId2381" Type="http://schemas.openxmlformats.org/officeDocument/2006/relationships/hyperlink" Target="https://www.uniprot.org/uniprot/O43252" TargetMode="External"/><Relationship Id="rId146" Type="http://schemas.openxmlformats.org/officeDocument/2006/relationships/hyperlink" Target="https://pubmed.ncbi.nlm.nih.gov/?term=28838952%5Buid%5D" TargetMode="External"/><Relationship Id="rId353" Type="http://schemas.openxmlformats.org/officeDocument/2006/relationships/hyperlink" Target="https://pubmed.ncbi.nlm.nih.gov/?term=20200426%5Buid%5D" TargetMode="External"/><Relationship Id="rId560" Type="http://schemas.openxmlformats.org/officeDocument/2006/relationships/hyperlink" Target="https://pubmed.ncbi.nlm.nih.gov/?term=18506185%2C%2029512753%5Buid%5D" TargetMode="External"/><Relationship Id="rId798" Type="http://schemas.openxmlformats.org/officeDocument/2006/relationships/hyperlink" Target="https://pubmed.ncbi.nlm.nih.gov/?term=30627777%5Buid%5D" TargetMode="External"/><Relationship Id="rId1190" Type="http://schemas.openxmlformats.org/officeDocument/2006/relationships/hyperlink" Target="https://www.ncbi.nlm.nih.gov/gene/57381" TargetMode="External"/><Relationship Id="rId2034" Type="http://schemas.openxmlformats.org/officeDocument/2006/relationships/hyperlink" Target="https://www.uniprot.org/uniprot/Q6PJ69" TargetMode="External"/><Relationship Id="rId2241" Type="http://schemas.openxmlformats.org/officeDocument/2006/relationships/hyperlink" Target="https://www.uniprot.org/uniprot/P51531" TargetMode="External"/><Relationship Id="rId2479" Type="http://schemas.openxmlformats.org/officeDocument/2006/relationships/hyperlink" Target="https://www.uniprot.org/uniprot/P61968" TargetMode="External"/><Relationship Id="rId2686" Type="http://schemas.openxmlformats.org/officeDocument/2006/relationships/hyperlink" Target="https://www.uniprot.org/uniprot/P49918" TargetMode="External"/><Relationship Id="rId213" Type="http://schemas.openxmlformats.org/officeDocument/2006/relationships/hyperlink" Target="https://pubmed.ncbi.nlm.nih.gov/?term=20013802%2C%2024574518%5Buid%5D" TargetMode="External"/><Relationship Id="rId420" Type="http://schemas.openxmlformats.org/officeDocument/2006/relationships/hyperlink" Target="https://pubmed.ncbi.nlm.nih.gov/?term=29436681%5Buid%5D" TargetMode="External"/><Relationship Id="rId658" Type="http://schemas.openxmlformats.org/officeDocument/2006/relationships/hyperlink" Target="https://pubmed.ncbi.nlm.nih.gov/?term=25017423%2C%2016166454%2C%2026300055%5Buid%5D" TargetMode="External"/><Relationship Id="rId865" Type="http://schemas.openxmlformats.org/officeDocument/2006/relationships/hyperlink" Target="https://pubmed.ncbi.nlm.nih.gov/?term=24085845%2C%2029928364%5Buid%5D" TargetMode="External"/><Relationship Id="rId1050" Type="http://schemas.openxmlformats.org/officeDocument/2006/relationships/hyperlink" Target="https://www.ncbi.nlm.nih.gov/gene/26022" TargetMode="External"/><Relationship Id="rId1288" Type="http://schemas.openxmlformats.org/officeDocument/2006/relationships/hyperlink" Target="https://www.ncbi.nlm.nih.gov/gene/5245" TargetMode="External"/><Relationship Id="rId1495" Type="http://schemas.openxmlformats.org/officeDocument/2006/relationships/hyperlink" Target="https://www.ncbi.nlm.nih.gov/gene/10643" TargetMode="External"/><Relationship Id="rId2101" Type="http://schemas.openxmlformats.org/officeDocument/2006/relationships/hyperlink" Target="https://www.uniprot.org/uniprot/Q13418" TargetMode="External"/><Relationship Id="rId2339" Type="http://schemas.openxmlformats.org/officeDocument/2006/relationships/hyperlink" Target="https://www.uniprot.org/uniprot/Q15063" TargetMode="External"/><Relationship Id="rId2546" Type="http://schemas.openxmlformats.org/officeDocument/2006/relationships/hyperlink" Target="https://www.uniprot.org/uniprot/O95479" TargetMode="External"/><Relationship Id="rId2753" Type="http://schemas.openxmlformats.org/officeDocument/2006/relationships/hyperlink" Target="https://www.uniprot.org/uniprot/Q99437" TargetMode="External"/><Relationship Id="rId518" Type="http://schemas.openxmlformats.org/officeDocument/2006/relationships/hyperlink" Target="https://pubmed.ncbi.nlm.nih.gov/?term=19286655%2C%2026519826%2C%2029063235%5Buid%5D" TargetMode="External"/><Relationship Id="rId725" Type="http://schemas.openxmlformats.org/officeDocument/2006/relationships/hyperlink" Target="https://pubmed.ncbi.nlm.nih.gov/?term=18425342,21397856,31387554" TargetMode="External"/><Relationship Id="rId932" Type="http://schemas.openxmlformats.org/officeDocument/2006/relationships/hyperlink" Target="https://pubmed.ncbi.nlm.nih.gov/?term=28485807,28534959,31024010" TargetMode="External"/><Relationship Id="rId1148" Type="http://schemas.openxmlformats.org/officeDocument/2006/relationships/hyperlink" Target="https://www.ncbi.nlm.nih.gov/gene/79801" TargetMode="External"/><Relationship Id="rId1355" Type="http://schemas.openxmlformats.org/officeDocument/2006/relationships/hyperlink" Target="https://www.ncbi.nlm.nih.gov/gene/8202" TargetMode="External"/><Relationship Id="rId1562" Type="http://schemas.openxmlformats.org/officeDocument/2006/relationships/hyperlink" Target="https://www.ncbi.nlm.nih.gov/gene/2678" TargetMode="External"/><Relationship Id="rId2406" Type="http://schemas.openxmlformats.org/officeDocument/2006/relationships/hyperlink" Target="https://www.uniprot.org/uniprot/P21359" TargetMode="External"/><Relationship Id="rId2613" Type="http://schemas.openxmlformats.org/officeDocument/2006/relationships/hyperlink" Target="https://www.uniprot.org/uniprot/P07992" TargetMode="External"/><Relationship Id="rId1008" Type="http://schemas.openxmlformats.org/officeDocument/2006/relationships/hyperlink" Target="https://www.ncbi.nlm.nih.gov/gene/8725" TargetMode="External"/><Relationship Id="rId1215" Type="http://schemas.openxmlformats.org/officeDocument/2006/relationships/hyperlink" Target="https://www.ncbi.nlm.nih.gov/gene/5888" TargetMode="External"/><Relationship Id="rId1422" Type="http://schemas.openxmlformats.org/officeDocument/2006/relationships/hyperlink" Target="https://www.ncbi.nlm.nih.gov/gene/6885" TargetMode="External"/><Relationship Id="rId1867" Type="http://schemas.openxmlformats.org/officeDocument/2006/relationships/hyperlink" Target="https://www.ncbi.nlm.nih.gov/gene/155465" TargetMode="External"/><Relationship Id="rId61" Type="http://schemas.openxmlformats.org/officeDocument/2006/relationships/hyperlink" Target="https://pubmed.ncbi.nlm.nih.gov/?term=31160576%2C%2028553083%5Buid%5D" TargetMode="External"/><Relationship Id="rId1727" Type="http://schemas.openxmlformats.org/officeDocument/2006/relationships/hyperlink" Target="https://www.ncbi.nlm.nih.gov/gene/8837" TargetMode="External"/><Relationship Id="rId1934" Type="http://schemas.openxmlformats.org/officeDocument/2006/relationships/hyperlink" Target="https://www.uniprot.org/uniprot/Q15582" TargetMode="External"/><Relationship Id="rId19" Type="http://schemas.openxmlformats.org/officeDocument/2006/relationships/hyperlink" Target="https://pubmed.ncbi.nlm.nih.gov/?term=21224400%5Buid%5D" TargetMode="External"/><Relationship Id="rId2196" Type="http://schemas.openxmlformats.org/officeDocument/2006/relationships/hyperlink" Target="https://www.uniprot.org/uniprot/O95379" TargetMode="External"/><Relationship Id="rId168" Type="http://schemas.openxmlformats.org/officeDocument/2006/relationships/hyperlink" Target="https://pubmed.ncbi.nlm.nih.gov/?term=22537224%2C%2030771522%5Buid%5D" TargetMode="External"/><Relationship Id="rId375" Type="http://schemas.openxmlformats.org/officeDocument/2006/relationships/hyperlink" Target="https://pubmed.ncbi.nlm.nih.gov/?term=24968817%2C%2025952785%5Buid%5D" TargetMode="External"/><Relationship Id="rId582" Type="http://schemas.openxmlformats.org/officeDocument/2006/relationships/hyperlink" Target="https://pubmed.ncbi.nlm.nih.gov/?term=28790117%5Buid%5D" TargetMode="External"/><Relationship Id="rId2056" Type="http://schemas.openxmlformats.org/officeDocument/2006/relationships/hyperlink" Target="https://www.uniprot.org/uniprot/Q9UBK2" TargetMode="External"/><Relationship Id="rId2263" Type="http://schemas.openxmlformats.org/officeDocument/2006/relationships/hyperlink" Target="https://www.uniprot.org/uniprot/P31947" TargetMode="External"/><Relationship Id="rId2470" Type="http://schemas.openxmlformats.org/officeDocument/2006/relationships/hyperlink" Target="https://www.uniprot.org/uniprot/P21145" TargetMode="External"/><Relationship Id="rId3" Type="http://schemas.openxmlformats.org/officeDocument/2006/relationships/hyperlink" Target="https://pubmed.ncbi.nlm.nih.gov/?term=15262121,15863151,16026610,10810398,20189873" TargetMode="External"/><Relationship Id="rId235" Type="http://schemas.openxmlformats.org/officeDocument/2006/relationships/hyperlink" Target="https://pubmed.ncbi.nlm.nih.gov/?term=17200349%2C%2025139024%5Buid%5D" TargetMode="External"/><Relationship Id="rId442" Type="http://schemas.openxmlformats.org/officeDocument/2006/relationships/hyperlink" Target="https://pubmed.ncbi.nlm.nih.gov/?term=30665945%2C%2030108106%5Buid%5D" TargetMode="External"/><Relationship Id="rId887" Type="http://schemas.openxmlformats.org/officeDocument/2006/relationships/hyperlink" Target="https://pubmed.ncbi.nlm.nih.gov/?term=27721409%5Buid%5D" TargetMode="External"/><Relationship Id="rId1072" Type="http://schemas.openxmlformats.org/officeDocument/2006/relationships/hyperlink" Target="https://www.ncbi.nlm.nih.gov/gene/7019" TargetMode="External"/><Relationship Id="rId2123" Type="http://schemas.openxmlformats.org/officeDocument/2006/relationships/hyperlink" Target="https://www.uniprot.org/uniprot/Q00994" TargetMode="External"/><Relationship Id="rId2330" Type="http://schemas.openxmlformats.org/officeDocument/2006/relationships/hyperlink" Target="https://www.uniprot.org/uniprot/O43741" TargetMode="External"/><Relationship Id="rId2568" Type="http://schemas.openxmlformats.org/officeDocument/2006/relationships/hyperlink" Target="https://www.uniprot.org/uniprot/Q8TAE8" TargetMode="External"/><Relationship Id="rId2775" Type="http://schemas.openxmlformats.org/officeDocument/2006/relationships/hyperlink" Target="https://www.uniprot.org/uniprot/P07355" TargetMode="External"/><Relationship Id="rId302" Type="http://schemas.openxmlformats.org/officeDocument/2006/relationships/hyperlink" Target="https://pubmed.ncbi.nlm.nih.gov/?term=21625473%5Buid%5D" TargetMode="External"/><Relationship Id="rId747" Type="http://schemas.openxmlformats.org/officeDocument/2006/relationships/hyperlink" Target="https://pubmed.ncbi.nlm.nih.gov/?term=30093630%2C%2029842882%5Buid%5D" TargetMode="External"/><Relationship Id="rId954" Type="http://schemas.openxmlformats.org/officeDocument/2006/relationships/hyperlink" Target="https://www.ncbi.nlm.nih.gov/gene/3694" TargetMode="External"/><Relationship Id="rId1377" Type="http://schemas.openxmlformats.org/officeDocument/2006/relationships/hyperlink" Target="https://www.ncbi.nlm.nih.gov/gene/4489" TargetMode="External"/><Relationship Id="rId1584" Type="http://schemas.openxmlformats.org/officeDocument/2006/relationships/hyperlink" Target="https://www.ncbi.nlm.nih.gov/gene/2350" TargetMode="External"/><Relationship Id="rId1791" Type="http://schemas.openxmlformats.org/officeDocument/2006/relationships/hyperlink" Target="https://www.ncbi.nlm.nih.gov/gene/641" TargetMode="External"/><Relationship Id="rId2428" Type="http://schemas.openxmlformats.org/officeDocument/2006/relationships/hyperlink" Target="https://www.uniprot.org/uniprot/P25713" TargetMode="External"/><Relationship Id="rId2635" Type="http://schemas.openxmlformats.org/officeDocument/2006/relationships/hyperlink" Target="https://www.uniprot.org/uniprot/P63167" TargetMode="External"/><Relationship Id="rId83" Type="http://schemas.openxmlformats.org/officeDocument/2006/relationships/hyperlink" Target="https://pubmed.ncbi.nlm.nih.gov/11720475,31966904,30549344" TargetMode="External"/><Relationship Id="rId607" Type="http://schemas.openxmlformats.org/officeDocument/2006/relationships/hyperlink" Target="https://pubmed.ncbi.nlm.nih.gov/?term=29410405%2C%2030226266%5Buid%5D" TargetMode="External"/><Relationship Id="rId814" Type="http://schemas.openxmlformats.org/officeDocument/2006/relationships/hyperlink" Target="https://pubmed.ncbi.nlm.nih.gov/?term=22576699%5Buid%5D" TargetMode="External"/><Relationship Id="rId1237" Type="http://schemas.openxmlformats.org/officeDocument/2006/relationships/hyperlink" Target="https://www.ncbi.nlm.nih.gov/gene/8842" TargetMode="External"/><Relationship Id="rId1444" Type="http://schemas.openxmlformats.org/officeDocument/2006/relationships/hyperlink" Target="https://www.ncbi.nlm.nih.gov/gene/3981" TargetMode="External"/><Relationship Id="rId1651" Type="http://schemas.openxmlformats.org/officeDocument/2006/relationships/hyperlink" Target="https://www.ncbi.nlm.nih.gov/gene/112399" TargetMode="External"/><Relationship Id="rId1889" Type="http://schemas.openxmlformats.org/officeDocument/2006/relationships/hyperlink" Target="https://www.uniprot.org/uniprot/Q01201" TargetMode="External"/><Relationship Id="rId2702" Type="http://schemas.openxmlformats.org/officeDocument/2006/relationships/hyperlink" Target="https://www.uniprot.org/uniprot/P25063" TargetMode="External"/><Relationship Id="rId1304" Type="http://schemas.openxmlformats.org/officeDocument/2006/relationships/hyperlink" Target="https://www.ncbi.nlm.nih.gov/gene/80310" TargetMode="External"/><Relationship Id="rId1511" Type="http://schemas.openxmlformats.org/officeDocument/2006/relationships/hyperlink" Target="https://www.ncbi.nlm.nih.gov/gene/3297" TargetMode="External"/><Relationship Id="rId1749" Type="http://schemas.openxmlformats.org/officeDocument/2006/relationships/hyperlink" Target="https://www.ncbi.nlm.nih.gov/gene/959" TargetMode="External"/><Relationship Id="rId1956" Type="http://schemas.openxmlformats.org/officeDocument/2006/relationships/hyperlink" Target="https://www.uniprot.org/uniprot/P48507" TargetMode="External"/><Relationship Id="rId1609" Type="http://schemas.openxmlformats.org/officeDocument/2006/relationships/hyperlink" Target="https://www.ncbi.nlm.nih.gov/gene/2175" TargetMode="External"/><Relationship Id="rId1816" Type="http://schemas.openxmlformats.org/officeDocument/2006/relationships/hyperlink" Target="https://www.ncbi.nlm.nih.gov/gene/84126" TargetMode="External"/><Relationship Id="rId10" Type="http://schemas.openxmlformats.org/officeDocument/2006/relationships/hyperlink" Target="https://pubmed.ncbi.nlm.nih.gov/?term=24739237%5Buid%5D" TargetMode="External"/><Relationship Id="rId397" Type="http://schemas.openxmlformats.org/officeDocument/2006/relationships/hyperlink" Target="https://pubmed.ncbi.nlm.nih.gov/?term=33061807%2C%2020443017%5Buid%5D" TargetMode="External"/><Relationship Id="rId2078" Type="http://schemas.openxmlformats.org/officeDocument/2006/relationships/hyperlink" Target="https://www.uniprot.org/uniprot/Q15004" TargetMode="External"/><Relationship Id="rId2285" Type="http://schemas.openxmlformats.org/officeDocument/2006/relationships/hyperlink" Target="https://www.uniprot.org/uniprot/Q9Y572" TargetMode="External"/><Relationship Id="rId2492" Type="http://schemas.openxmlformats.org/officeDocument/2006/relationships/hyperlink" Target="https://www.uniprot.org/uniprot/P01116" TargetMode="External"/><Relationship Id="rId257" Type="http://schemas.openxmlformats.org/officeDocument/2006/relationships/hyperlink" Target="https://pubmed.ncbi.nlm.nih.gov/?term=25951350,30301274,28548950" TargetMode="External"/><Relationship Id="rId464" Type="http://schemas.openxmlformats.org/officeDocument/2006/relationships/hyperlink" Target="https://pubmed.ncbi.nlm.nih.gov/?term=22571463%5Buid%5D" TargetMode="External"/><Relationship Id="rId1094" Type="http://schemas.openxmlformats.org/officeDocument/2006/relationships/hyperlink" Target="https://www.ncbi.nlm.nih.gov/gene/6772" TargetMode="External"/><Relationship Id="rId2145" Type="http://schemas.openxmlformats.org/officeDocument/2006/relationships/hyperlink" Target="https://www.uniprot.org/uniprot/P61981" TargetMode="External"/><Relationship Id="rId2797" Type="http://schemas.openxmlformats.org/officeDocument/2006/relationships/hyperlink" Target="https://www.uniprot.org/uniprot/Q9UNQ0" TargetMode="External"/><Relationship Id="rId117" Type="http://schemas.openxmlformats.org/officeDocument/2006/relationships/hyperlink" Target="https://pubmed.ncbi.nlm.nih.gov/?term=24833094%5Buid%5D" TargetMode="External"/><Relationship Id="rId671" Type="http://schemas.openxmlformats.org/officeDocument/2006/relationships/hyperlink" Target="https://pubmed.ncbi.nlm.nih.gov/?term=16831230%5Buid%5D" TargetMode="External"/><Relationship Id="rId769" Type="http://schemas.openxmlformats.org/officeDocument/2006/relationships/hyperlink" Target="https://pubmed.ncbi.nlm.nih.gov/?term=30481785%5Buid%5D" TargetMode="External"/><Relationship Id="rId976" Type="http://schemas.openxmlformats.org/officeDocument/2006/relationships/hyperlink" Target="https://www.ncbi.nlm.nih.gov/gene/54915" TargetMode="External"/><Relationship Id="rId1399" Type="http://schemas.openxmlformats.org/officeDocument/2006/relationships/hyperlink" Target="https://www.ncbi.nlm.nih.gov/gene/10367" TargetMode="External"/><Relationship Id="rId2352" Type="http://schemas.openxmlformats.org/officeDocument/2006/relationships/hyperlink" Target="https://www.uniprot.org/uniprot/Q13794" TargetMode="External"/><Relationship Id="rId2657" Type="http://schemas.openxmlformats.org/officeDocument/2006/relationships/hyperlink" Target="https://www.uniprot.org/uniprot/P10145" TargetMode="External"/><Relationship Id="rId324" Type="http://schemas.openxmlformats.org/officeDocument/2006/relationships/hyperlink" Target="https://pubmed.ncbi.nlm.nih.gov/?term=28599472%5Buid%5D" TargetMode="External"/><Relationship Id="rId531" Type="http://schemas.openxmlformats.org/officeDocument/2006/relationships/hyperlink" Target="https://pubmed.ncbi.nlm.nih.gov/?term=27255997%2C%2028291626%5Buid%5D" TargetMode="External"/><Relationship Id="rId629" Type="http://schemas.openxmlformats.org/officeDocument/2006/relationships/hyperlink" Target="https://pubmed.ncbi.nlm.nih.gov/?term=26423401%2C%2021528244%2C%2012601175%5Buid%5D" TargetMode="External"/><Relationship Id="rId1161" Type="http://schemas.openxmlformats.org/officeDocument/2006/relationships/hyperlink" Target="https://www.ncbi.nlm.nih.gov/gene/23513" TargetMode="External"/><Relationship Id="rId1259" Type="http://schemas.openxmlformats.org/officeDocument/2006/relationships/hyperlink" Target="https://www.ncbi.nlm.nih.gov/gene/353497" TargetMode="External"/><Relationship Id="rId1466" Type="http://schemas.openxmlformats.org/officeDocument/2006/relationships/hyperlink" Target="https://www.ncbi.nlm.nih.gov/gene/55818" TargetMode="External"/><Relationship Id="rId2005" Type="http://schemas.openxmlformats.org/officeDocument/2006/relationships/hyperlink" Target="https://www.uniprot.org/uniprot/P29375" TargetMode="External"/><Relationship Id="rId2212" Type="http://schemas.openxmlformats.org/officeDocument/2006/relationships/hyperlink" Target="https://www.uniprot.org/uniprot/Q13207" TargetMode="External"/><Relationship Id="rId836" Type="http://schemas.openxmlformats.org/officeDocument/2006/relationships/hyperlink" Target="https://pubmed.ncbi.nlm.nih.gov/?term=26191185%2C%2031002371%5Buid%5D" TargetMode="External"/><Relationship Id="rId1021" Type="http://schemas.openxmlformats.org/officeDocument/2006/relationships/hyperlink" Target="https://www.ncbi.nlm.nih.gov/gene/84817" TargetMode="External"/><Relationship Id="rId1119" Type="http://schemas.openxmlformats.org/officeDocument/2006/relationships/hyperlink" Target="https://www.ncbi.nlm.nih.gov/gene/6597" TargetMode="External"/><Relationship Id="rId1673" Type="http://schemas.openxmlformats.org/officeDocument/2006/relationships/hyperlink" Target="https://www.ncbi.nlm.nih.gov/gene/81624" TargetMode="External"/><Relationship Id="rId1880" Type="http://schemas.openxmlformats.org/officeDocument/2006/relationships/hyperlink" Target="https://www.ncbi.nlm.nih.gov/gene/10057" TargetMode="External"/><Relationship Id="rId1978" Type="http://schemas.openxmlformats.org/officeDocument/2006/relationships/hyperlink" Target="https://www.uniprot.org/uniprot/Q06546" TargetMode="External"/><Relationship Id="rId2517" Type="http://schemas.openxmlformats.org/officeDocument/2006/relationships/hyperlink" Target="https://www.uniprot.org/uniprot/Q9NZI8" TargetMode="External"/><Relationship Id="rId2724" Type="http://schemas.openxmlformats.org/officeDocument/2006/relationships/hyperlink" Target="https://www.uniprot.org/uniprot/Q9BX63" TargetMode="External"/><Relationship Id="rId903" Type="http://schemas.openxmlformats.org/officeDocument/2006/relationships/hyperlink" Target="https://pubmed.ncbi.nlm.nih.gov/?term=20301636%2C%2019509240%2C%2018481984%2C%2031375625%5Buid%5D" TargetMode="External"/><Relationship Id="rId1326" Type="http://schemas.openxmlformats.org/officeDocument/2006/relationships/hyperlink" Target="https://www.ncbi.nlm.nih.gov/gene/4916" TargetMode="External"/><Relationship Id="rId1533" Type="http://schemas.openxmlformats.org/officeDocument/2006/relationships/hyperlink" Target="https://www.ncbi.nlm.nih.gov/gene/8841" TargetMode="External"/><Relationship Id="rId1740" Type="http://schemas.openxmlformats.org/officeDocument/2006/relationships/hyperlink" Target="https://www.ncbi.nlm.nih.gov/gene/999" TargetMode="External"/><Relationship Id="rId32" Type="http://schemas.openxmlformats.org/officeDocument/2006/relationships/hyperlink" Target="https://pubmed.ncbi.nlm.nih.gov/?term=27813328,20889728,25916979,22222226" TargetMode="External"/><Relationship Id="rId1600" Type="http://schemas.openxmlformats.org/officeDocument/2006/relationships/hyperlink" Target="https://www.ncbi.nlm.nih.gov/gene/57697" TargetMode="External"/><Relationship Id="rId1838" Type="http://schemas.openxmlformats.org/officeDocument/2006/relationships/hyperlink" Target="https://www.ncbi.nlm.nih.gov/gene/405" TargetMode="External"/><Relationship Id="rId181" Type="http://schemas.openxmlformats.org/officeDocument/2006/relationships/hyperlink" Target="https://pubmed.ncbi.nlm.nih.gov/?term=24943969%2C%2020497247%2C%2033160989%5Buid%5D" TargetMode="External"/><Relationship Id="rId1905" Type="http://schemas.openxmlformats.org/officeDocument/2006/relationships/hyperlink" Target="https://www.uniprot.org/uniprot/P04632" TargetMode="External"/><Relationship Id="rId279" Type="http://schemas.openxmlformats.org/officeDocument/2006/relationships/hyperlink" Target="https://pubmed.ncbi.nlm.nih.gov/?term=10397248%2C%2017975136%2C%2016109772%0a%5Buid%5D" TargetMode="External"/><Relationship Id="rId486" Type="http://schemas.openxmlformats.org/officeDocument/2006/relationships/hyperlink" Target="https://pubmed.ncbi.nlm.nih.gov/?term=24865582%2C%2016105650%2C%2029423673%2C%2020651982%2C%2015386344%5Buid%5D" TargetMode="External"/><Relationship Id="rId693" Type="http://schemas.openxmlformats.org/officeDocument/2006/relationships/hyperlink" Target="https://pubmed.ncbi.nlm.nih.gov/?term=16061639%2C%2029286307%5Buid%5D" TargetMode="External"/><Relationship Id="rId2167" Type="http://schemas.openxmlformats.org/officeDocument/2006/relationships/hyperlink" Target="https://www.uniprot.org/uniprot/P19320" TargetMode="External"/><Relationship Id="rId2374" Type="http://schemas.openxmlformats.org/officeDocument/2006/relationships/hyperlink" Target="https://www.uniprot.org/uniprot/Q96AQ6" TargetMode="External"/><Relationship Id="rId2581" Type="http://schemas.openxmlformats.org/officeDocument/2006/relationships/hyperlink" Target="https://www.uniprot.org/uniprot/P07954" TargetMode="External"/><Relationship Id="rId139" Type="http://schemas.openxmlformats.org/officeDocument/2006/relationships/hyperlink" Target="https://pubmed.ncbi.nlm.nih.gov/?term=26698249%5Buid%5D" TargetMode="External"/><Relationship Id="rId346" Type="http://schemas.openxmlformats.org/officeDocument/2006/relationships/hyperlink" Target="https://pubmed.ncbi.nlm.nih.gov/?term=17671694%5Buid%5D" TargetMode="External"/><Relationship Id="rId553" Type="http://schemas.openxmlformats.org/officeDocument/2006/relationships/hyperlink" Target="https://pubmed.ncbi.nlm.nih.gov/?term=28112439%2C%2024837013%5Buid%5D" TargetMode="External"/><Relationship Id="rId760" Type="http://schemas.openxmlformats.org/officeDocument/2006/relationships/hyperlink" Target="https://pubmed.ncbi.nlm.nih.gov/?term=16914559%2C%2018508032%2C%2024643204%5Buid%5D" TargetMode="External"/><Relationship Id="rId998" Type="http://schemas.openxmlformats.org/officeDocument/2006/relationships/hyperlink" Target="https://www.ncbi.nlm.nih.gov/gene/2324" TargetMode="External"/><Relationship Id="rId1183" Type="http://schemas.openxmlformats.org/officeDocument/2006/relationships/hyperlink" Target="https://www.ncbi.nlm.nih.gov/gene/4920" TargetMode="External"/><Relationship Id="rId1390" Type="http://schemas.openxmlformats.org/officeDocument/2006/relationships/hyperlink" Target="https://www.ncbi.nlm.nih.gov/gene/4313" TargetMode="External"/><Relationship Id="rId2027" Type="http://schemas.openxmlformats.org/officeDocument/2006/relationships/hyperlink" Target="https://www.uniprot.org/uniprot/Q9GZT9" TargetMode="External"/><Relationship Id="rId2234" Type="http://schemas.openxmlformats.org/officeDocument/2006/relationships/hyperlink" Target="https://www.uniprot.org/uniprot/P00441" TargetMode="External"/><Relationship Id="rId2441" Type="http://schemas.openxmlformats.org/officeDocument/2006/relationships/hyperlink" Target="https://www.uniprot.org/uniprot/P09238" TargetMode="External"/><Relationship Id="rId2679" Type="http://schemas.openxmlformats.org/officeDocument/2006/relationships/hyperlink" Target="https://www.uniprot.org/uniprot/O15111" TargetMode="External"/><Relationship Id="rId206" Type="http://schemas.openxmlformats.org/officeDocument/2006/relationships/hyperlink" Target="https://pubmed.ncbi.nlm.nih.gov/?term=20048748%5Buid%5D" TargetMode="External"/><Relationship Id="rId413" Type="http://schemas.openxmlformats.org/officeDocument/2006/relationships/hyperlink" Target="https://pubmed.ncbi.nlm.nih.gov/?term=25760437%5Buid%5D" TargetMode="External"/><Relationship Id="rId858" Type="http://schemas.openxmlformats.org/officeDocument/2006/relationships/hyperlink" Target="https://pubmed.ncbi.nlm.nih.gov/?term=11371126%2C%2020157422%2C%2021877938%5Buid%5D" TargetMode="External"/><Relationship Id="rId1043" Type="http://schemas.openxmlformats.org/officeDocument/2006/relationships/hyperlink" Target="https://www.ncbi.nlm.nih.gov/gene/51330" TargetMode="External"/><Relationship Id="rId1488" Type="http://schemas.openxmlformats.org/officeDocument/2006/relationships/hyperlink" Target="https://www.ncbi.nlm.nih.gov/gene/64806" TargetMode="External"/><Relationship Id="rId1695" Type="http://schemas.openxmlformats.org/officeDocument/2006/relationships/hyperlink" Target="https://www.ncbi.nlm.nih.gov/gene/50624" TargetMode="External"/><Relationship Id="rId2539" Type="http://schemas.openxmlformats.org/officeDocument/2006/relationships/hyperlink" Target="https://www.uniprot.org/uniprot/P14210" TargetMode="External"/><Relationship Id="rId2746" Type="http://schemas.openxmlformats.org/officeDocument/2006/relationships/hyperlink" Target="https://www.uniprot.org/uniprot/O95817" TargetMode="External"/><Relationship Id="rId620" Type="http://schemas.openxmlformats.org/officeDocument/2006/relationships/hyperlink" Target="https://pubmed.ncbi.nlm.nih.gov/?term=30385753%2C%2028259921%20%5Buid%5D" TargetMode="External"/><Relationship Id="rId718" Type="http://schemas.openxmlformats.org/officeDocument/2006/relationships/hyperlink" Target="https://pubmed.ncbi.nlm.nih.gov/?term=18289945%2C%2019787780%5Buid%5D" TargetMode="External"/><Relationship Id="rId925" Type="http://schemas.openxmlformats.org/officeDocument/2006/relationships/hyperlink" Target="https://pubmed.ncbi.nlm.nih.gov/?term=11577088%5Buid%5D" TargetMode="External"/><Relationship Id="rId1250" Type="http://schemas.openxmlformats.org/officeDocument/2006/relationships/hyperlink" Target="https://www.ncbi.nlm.nih.gov/gene/5520" TargetMode="External"/><Relationship Id="rId1348" Type="http://schemas.openxmlformats.org/officeDocument/2006/relationships/hyperlink" Target="https://www.ncbi.nlm.nih.gov/gene/10763" TargetMode="External"/><Relationship Id="rId1555" Type="http://schemas.openxmlformats.org/officeDocument/2006/relationships/hyperlink" Target="https://www.ncbi.nlm.nih.gov/gene/65056" TargetMode="External"/><Relationship Id="rId1762" Type="http://schemas.openxmlformats.org/officeDocument/2006/relationships/hyperlink" Target="https://www.ncbi.nlm.nih.gov/gene/26112" TargetMode="External"/><Relationship Id="rId2301" Type="http://schemas.openxmlformats.org/officeDocument/2006/relationships/hyperlink" Target="https://www.uniprot.org/uniprot/Q99708" TargetMode="External"/><Relationship Id="rId2606" Type="http://schemas.openxmlformats.org/officeDocument/2006/relationships/hyperlink" Target="https://www.uniprot.org/uniprot/O75460" TargetMode="External"/><Relationship Id="rId1110" Type="http://schemas.openxmlformats.org/officeDocument/2006/relationships/hyperlink" Target="https://www.ncbi.nlm.nih.gov/gene/6656" TargetMode="External"/><Relationship Id="rId1208" Type="http://schemas.openxmlformats.org/officeDocument/2006/relationships/hyperlink" Target="https://www.ncbi.nlm.nih.gov/gene/11186" TargetMode="External"/><Relationship Id="rId1415" Type="http://schemas.openxmlformats.org/officeDocument/2006/relationships/hyperlink" Target="https://www.ncbi.nlm.nih.gov/gene/5599" TargetMode="External"/><Relationship Id="rId54" Type="http://schemas.openxmlformats.org/officeDocument/2006/relationships/hyperlink" Target="https://pubmed.ncbi.nlm.nih.gov/?term=28120035%2C%2025359574%5Buid%5D" TargetMode="External"/><Relationship Id="rId1622" Type="http://schemas.openxmlformats.org/officeDocument/2006/relationships/hyperlink" Target="https://www.ncbi.nlm.nih.gov/gene/2081" TargetMode="External"/><Relationship Id="rId1927" Type="http://schemas.openxmlformats.org/officeDocument/2006/relationships/hyperlink" Target="https://www.uniprot.org/uniprot/O15055" TargetMode="External"/><Relationship Id="rId2091" Type="http://schemas.openxmlformats.org/officeDocument/2006/relationships/hyperlink" Target="https://www.uniprot.org/uniprot/Q9H4M9" TargetMode="External"/><Relationship Id="rId2189" Type="http://schemas.openxmlformats.org/officeDocument/2006/relationships/hyperlink" Target="https://www.uniprot.org/uniprot/O95985" TargetMode="External"/><Relationship Id="rId270" Type="http://schemas.openxmlformats.org/officeDocument/2006/relationships/hyperlink" Target="https://pubmed.ncbi.nlm.nih.gov/?term=25634215%2C%2025634215%5Buid%5D" TargetMode="External"/><Relationship Id="rId2396" Type="http://schemas.openxmlformats.org/officeDocument/2006/relationships/hyperlink" Target="https://www.uniprot.org/uniprot/P06748" TargetMode="External"/><Relationship Id="rId130" Type="http://schemas.openxmlformats.org/officeDocument/2006/relationships/hyperlink" Target="https://pubmed.ncbi.nlm.nih.gov/?term=29254192%2C%2030651135%5Buid%5D" TargetMode="External"/><Relationship Id="rId368" Type="http://schemas.openxmlformats.org/officeDocument/2006/relationships/hyperlink" Target="https://pubmed.ncbi.nlm.nih.gov/11927290,11410504,21737664,32939054,27593081" TargetMode="External"/><Relationship Id="rId575" Type="http://schemas.openxmlformats.org/officeDocument/2006/relationships/hyperlink" Target="https://pubmed.ncbi.nlm.nih.gov/?term=22074739%5Buid%5D" TargetMode="External"/><Relationship Id="rId782" Type="http://schemas.openxmlformats.org/officeDocument/2006/relationships/hyperlink" Target="https://pubmed.ncbi.nlm.nih.gov/?term=25611552%5Buid%5D" TargetMode="External"/><Relationship Id="rId2049" Type="http://schemas.openxmlformats.org/officeDocument/2006/relationships/hyperlink" Target="https://www.uniprot.org/uniprot/P01732" TargetMode="External"/><Relationship Id="rId2256" Type="http://schemas.openxmlformats.org/officeDocument/2006/relationships/hyperlink" Target="https://www.uniprot.org/uniprot/O15244" TargetMode="External"/><Relationship Id="rId2463" Type="http://schemas.openxmlformats.org/officeDocument/2006/relationships/hyperlink" Target="https://www.uniprot.org/uniprot/Q99683" TargetMode="External"/><Relationship Id="rId2670" Type="http://schemas.openxmlformats.org/officeDocument/2006/relationships/hyperlink" Target="https://www.uniprot.org/uniprot/P10909" TargetMode="External"/><Relationship Id="rId228" Type="http://schemas.openxmlformats.org/officeDocument/2006/relationships/hyperlink" Target="https://pubmed.ncbi.nlm.nih.gov/?term=30166592%2C%2029704517%5Buid%5D" TargetMode="External"/><Relationship Id="rId435" Type="http://schemas.openxmlformats.org/officeDocument/2006/relationships/hyperlink" Target="https://pubmed.ncbi.nlm.nih.gov/23045278,27601007,31548347" TargetMode="External"/><Relationship Id="rId642" Type="http://schemas.openxmlformats.org/officeDocument/2006/relationships/hyperlink" Target="https://pubmed.ncbi.nlm.nih.gov/?term=26716408%5Buid%5D" TargetMode="External"/><Relationship Id="rId1065" Type="http://schemas.openxmlformats.org/officeDocument/2006/relationships/hyperlink" Target="https://www.ncbi.nlm.nih.gov/gene/7048" TargetMode="External"/><Relationship Id="rId1272" Type="http://schemas.openxmlformats.org/officeDocument/2006/relationships/hyperlink" Target="https://www.ncbi.nlm.nih.gov/gene/6490" TargetMode="External"/><Relationship Id="rId2116" Type="http://schemas.openxmlformats.org/officeDocument/2006/relationships/hyperlink" Target="https://www.uniprot.org/uniprot/Q15645" TargetMode="External"/><Relationship Id="rId2323" Type="http://schemas.openxmlformats.org/officeDocument/2006/relationships/hyperlink" Target="https://www.uniprot.org/uniprot/O75569" TargetMode="External"/><Relationship Id="rId2530" Type="http://schemas.openxmlformats.org/officeDocument/2006/relationships/hyperlink" Target="https://www.uniprot.org/uniprot/Q92826" TargetMode="External"/><Relationship Id="rId2768" Type="http://schemas.openxmlformats.org/officeDocument/2006/relationships/hyperlink" Target="https://www.uniprot.org/uniprot/P27540" TargetMode="External"/><Relationship Id="rId502" Type="http://schemas.openxmlformats.org/officeDocument/2006/relationships/hyperlink" Target="https://pubmed.ncbi.nlm.nih.gov/?term=23880825%2C%2024997554%5Buid%5D" TargetMode="External"/><Relationship Id="rId947" Type="http://schemas.openxmlformats.org/officeDocument/2006/relationships/hyperlink" Target="https://www.uniprot.org/uniprot/P78362" TargetMode="External"/><Relationship Id="rId1132" Type="http://schemas.openxmlformats.org/officeDocument/2006/relationships/hyperlink" Target="https://www.ncbi.nlm.nih.gov/gene/1318" TargetMode="External"/><Relationship Id="rId1577" Type="http://schemas.openxmlformats.org/officeDocument/2006/relationships/hyperlink" Target="https://www.ncbi.nlm.nih.gov/gene/2309" TargetMode="External"/><Relationship Id="rId1784" Type="http://schemas.openxmlformats.org/officeDocument/2006/relationships/hyperlink" Target="https://www.ncbi.nlm.nih.gov/gene/675" TargetMode="External"/><Relationship Id="rId1991" Type="http://schemas.openxmlformats.org/officeDocument/2006/relationships/hyperlink" Target="https://www.uniprot.org/uniprot/Q9UBT6" TargetMode="External"/><Relationship Id="rId2628" Type="http://schemas.openxmlformats.org/officeDocument/2006/relationships/hyperlink" Target="https://www.uniprot.org/uniprot/P00533" TargetMode="External"/><Relationship Id="rId76" Type="http://schemas.openxmlformats.org/officeDocument/2006/relationships/hyperlink" Target="https://pubmed.ncbi.nlm.nih.gov/28417568,27209210,23499911" TargetMode="External"/><Relationship Id="rId807" Type="http://schemas.openxmlformats.org/officeDocument/2006/relationships/hyperlink" Target="https://pubmed.ncbi.nlm.nih.gov/?term=21571862%2C%2025826225%2C%2015726096%2C%2026141950%2C%2026695443%5Buid%5D" TargetMode="External"/><Relationship Id="rId1437" Type="http://schemas.openxmlformats.org/officeDocument/2006/relationships/hyperlink" Target="https://www.ncbi.nlm.nih.gov/gene/9208" TargetMode="External"/><Relationship Id="rId1644" Type="http://schemas.openxmlformats.org/officeDocument/2006/relationships/hyperlink" Target="https://www.ncbi.nlm.nih.gov/gene/8666" TargetMode="External"/><Relationship Id="rId1851" Type="http://schemas.openxmlformats.org/officeDocument/2006/relationships/hyperlink" Target="https://www.ncbi.nlm.nih.gov/gene/302" TargetMode="External"/><Relationship Id="rId1504" Type="http://schemas.openxmlformats.org/officeDocument/2006/relationships/hyperlink" Target="https://www.ncbi.nlm.nih.gov/gene/3329" TargetMode="External"/><Relationship Id="rId1711" Type="http://schemas.openxmlformats.org/officeDocument/2006/relationships/hyperlink" Target="https://www.ncbi.nlm.nih.gov/gene/1277" TargetMode="External"/><Relationship Id="rId1949" Type="http://schemas.openxmlformats.org/officeDocument/2006/relationships/hyperlink" Target="https://www.uniprot.org/uniprot/Q15121" TargetMode="External"/><Relationship Id="rId292" Type="http://schemas.openxmlformats.org/officeDocument/2006/relationships/hyperlink" Target="https://pubmed.ncbi.nlm.nih.gov/?term=24708616%5Buid%5D" TargetMode="External"/><Relationship Id="rId1809" Type="http://schemas.openxmlformats.org/officeDocument/2006/relationships/hyperlink" Target="https://www.ncbi.nlm.nih.gov/gene/580" TargetMode="External"/><Relationship Id="rId597" Type="http://schemas.openxmlformats.org/officeDocument/2006/relationships/hyperlink" Target="https://pubmed.ncbi.nlm.nih.gov/?term=16575905%2C%2029857117%2C%2024277456%5Buid%5D" TargetMode="External"/><Relationship Id="rId2180" Type="http://schemas.openxmlformats.org/officeDocument/2006/relationships/hyperlink" Target="https://www.uniprot.org/uniprot/P14373" TargetMode="External"/><Relationship Id="rId2278" Type="http://schemas.openxmlformats.org/officeDocument/2006/relationships/hyperlink" Target="https://www.uniprot.org/uniprot/P23443" TargetMode="External"/><Relationship Id="rId2485" Type="http://schemas.openxmlformats.org/officeDocument/2006/relationships/hyperlink" Target="https://www.uniprot.org/uniprot/O95835" TargetMode="External"/><Relationship Id="rId152" Type="http://schemas.openxmlformats.org/officeDocument/2006/relationships/hyperlink" Target="https://pubmed.ncbi.nlm.nih.gov/?term=25893298%5Buid%5D" TargetMode="External"/><Relationship Id="rId457" Type="http://schemas.openxmlformats.org/officeDocument/2006/relationships/hyperlink" Target="https://pubmed.ncbi.nlm.nih.gov/?term=25318762%5Buid%5D" TargetMode="External"/><Relationship Id="rId1087" Type="http://schemas.openxmlformats.org/officeDocument/2006/relationships/hyperlink" Target="https://www.ncbi.nlm.nih.gov/gene/6794" TargetMode="External"/><Relationship Id="rId1294" Type="http://schemas.openxmlformats.org/officeDocument/2006/relationships/hyperlink" Target="https://www.ncbi.nlm.nih.gov/gene/8682" TargetMode="External"/><Relationship Id="rId2040" Type="http://schemas.openxmlformats.org/officeDocument/2006/relationships/hyperlink" Target="https://www.uniprot.org/uniprot/Q9BXM7" TargetMode="External"/><Relationship Id="rId2138" Type="http://schemas.openxmlformats.org/officeDocument/2006/relationships/hyperlink" Target="https://www.uniprot.org/uniprot/Q8TCG1" TargetMode="External"/><Relationship Id="rId2692" Type="http://schemas.openxmlformats.org/officeDocument/2006/relationships/hyperlink" Target="https://www.uniprot.org/uniprot/P24941" TargetMode="External"/><Relationship Id="rId664" Type="http://schemas.openxmlformats.org/officeDocument/2006/relationships/hyperlink" Target="https://pubmed.ncbi.nlm.nih.gov/?term=22379635%2C%2015015601%2C%2033585454%5Buid%5D" TargetMode="External"/><Relationship Id="rId871" Type="http://schemas.openxmlformats.org/officeDocument/2006/relationships/hyperlink" Target="https://pubmed.ncbi.nlm.nih.gov/?term=27206315%2C%2025438697%5Buid%5D" TargetMode="External"/><Relationship Id="rId969" Type="http://schemas.openxmlformats.org/officeDocument/2006/relationships/hyperlink" Target="https://www.ncbi.nlm.nih.gov/gene/9839" TargetMode="External"/><Relationship Id="rId1599" Type="http://schemas.openxmlformats.org/officeDocument/2006/relationships/hyperlink" Target="https://www.ncbi.nlm.nih.gov/gene/2191" TargetMode="External"/><Relationship Id="rId2345" Type="http://schemas.openxmlformats.org/officeDocument/2006/relationships/hyperlink" Target="https://www.uniprot.org/uniprot/Q15054" TargetMode="External"/><Relationship Id="rId2552" Type="http://schemas.openxmlformats.org/officeDocument/2006/relationships/hyperlink" Target="https://www.uniprot.org/uniprot/P08263" TargetMode="External"/><Relationship Id="rId317" Type="http://schemas.openxmlformats.org/officeDocument/2006/relationships/hyperlink" Target="https://pubmed.ncbi.nlm.nih.gov/?term=25502083%2C%2025895457%2C%2026654944%5Buid%5D" TargetMode="External"/><Relationship Id="rId524" Type="http://schemas.openxmlformats.org/officeDocument/2006/relationships/hyperlink" Target="https://pubmed.ncbi.nlm.nih.gov/?term=31534516%5Buid%5D" TargetMode="External"/><Relationship Id="rId731" Type="http://schemas.openxmlformats.org/officeDocument/2006/relationships/hyperlink" Target="https://pubmed.ncbi.nlm.nih.gov/?term=25491625%5Buid%5D" TargetMode="External"/><Relationship Id="rId1154" Type="http://schemas.openxmlformats.org/officeDocument/2006/relationships/hyperlink" Target="https://www.ncbi.nlm.nih.gov/gene/5054" TargetMode="External"/><Relationship Id="rId1361" Type="http://schemas.openxmlformats.org/officeDocument/2006/relationships/hyperlink" Target="https://www.ncbi.nlm.nih.gov/gene/112939" TargetMode="External"/><Relationship Id="rId1459" Type="http://schemas.openxmlformats.org/officeDocument/2006/relationships/hyperlink" Target="https://www.ncbi.nlm.nih.gov/gene/9314" TargetMode="External"/><Relationship Id="rId2205" Type="http://schemas.openxmlformats.org/officeDocument/2006/relationships/hyperlink" Target="https://www.uniprot.org/uniprot/P21980" TargetMode="External"/><Relationship Id="rId2412" Type="http://schemas.openxmlformats.org/officeDocument/2006/relationships/hyperlink" Target="https://www.uniprot.org/uniprot/O60934" TargetMode="External"/><Relationship Id="rId98" Type="http://schemas.openxmlformats.org/officeDocument/2006/relationships/hyperlink" Target="https://pubmed.ncbi.nlm.nih.gov/29769618,26291056" TargetMode="External"/><Relationship Id="rId829" Type="http://schemas.openxmlformats.org/officeDocument/2006/relationships/hyperlink" Target="https://pubmed.ncbi.nlm.nih.gov/?term=27779689%5Buid%5D" TargetMode="External"/><Relationship Id="rId1014" Type="http://schemas.openxmlformats.org/officeDocument/2006/relationships/hyperlink" Target="https://www.ncbi.nlm.nih.gov/gene/51366" TargetMode="External"/><Relationship Id="rId1221" Type="http://schemas.openxmlformats.org/officeDocument/2006/relationships/hyperlink" Target="https://www.ncbi.nlm.nih.gov/gene/5878" TargetMode="External"/><Relationship Id="rId1666" Type="http://schemas.openxmlformats.org/officeDocument/2006/relationships/hyperlink" Target="https://www.ncbi.nlm.nih.gov/gene/55332" TargetMode="External"/><Relationship Id="rId1873" Type="http://schemas.openxmlformats.org/officeDocument/2006/relationships/hyperlink" Target="https://www.ncbi.nlm.nih.gov/gene/59" TargetMode="External"/><Relationship Id="rId2717" Type="http://schemas.openxmlformats.org/officeDocument/2006/relationships/hyperlink" Target="https://www.uniprot.org/uniprot/P31944" TargetMode="External"/><Relationship Id="rId1319" Type="http://schemas.openxmlformats.org/officeDocument/2006/relationships/hyperlink" Target="https://www.ncbi.nlm.nih.gov/gene/57144" TargetMode="External"/><Relationship Id="rId1526" Type="http://schemas.openxmlformats.org/officeDocument/2006/relationships/hyperlink" Target="https://www.ncbi.nlm.nih.gov/gene/3091" TargetMode="External"/><Relationship Id="rId1733" Type="http://schemas.openxmlformats.org/officeDocument/2006/relationships/hyperlink" Target="https://www.ncbi.nlm.nih.gov/gene/1026" TargetMode="External"/><Relationship Id="rId1940" Type="http://schemas.openxmlformats.org/officeDocument/2006/relationships/hyperlink" Target="https://www.uniprot.org/uniprot/Q16654" TargetMode="External"/><Relationship Id="rId25" Type="http://schemas.openxmlformats.org/officeDocument/2006/relationships/hyperlink" Target="https://pubmed.ncbi.nlm.nih.gov/?term=27417252%5Buid%5D" TargetMode="External"/><Relationship Id="rId1800" Type="http://schemas.openxmlformats.org/officeDocument/2006/relationships/hyperlink" Target="https://www.ncbi.nlm.nih.gov/gene/27018" TargetMode="External"/><Relationship Id="rId174" Type="http://schemas.openxmlformats.org/officeDocument/2006/relationships/hyperlink" Target="https://pubmed.ncbi.nlm.nih.gov/?term=23053666%2C%2024482188%2C%2017647191%5Buid%5D" TargetMode="External"/><Relationship Id="rId381" Type="http://schemas.openxmlformats.org/officeDocument/2006/relationships/hyperlink" Target="https://pubmed.ncbi.nlm.nih.gov/?term=31568655%5Buid%5D" TargetMode="External"/><Relationship Id="rId2062" Type="http://schemas.openxmlformats.org/officeDocument/2006/relationships/hyperlink" Target="https://www.uniprot.org/uniprot/Q86VQ6" TargetMode="External"/><Relationship Id="rId241" Type="http://schemas.openxmlformats.org/officeDocument/2006/relationships/hyperlink" Target="https://pubmed.ncbi.nlm.nih.gov/?term=26351843%2C%2027384994%2C%2011597399%5Buid%5D" TargetMode="External"/><Relationship Id="rId479" Type="http://schemas.openxmlformats.org/officeDocument/2006/relationships/hyperlink" Target="https://pubmed.ncbi.nlm.nih.gov/?term=25277189%5Buid%5D" TargetMode="External"/><Relationship Id="rId686" Type="http://schemas.openxmlformats.org/officeDocument/2006/relationships/hyperlink" Target="https://pubmed.ncbi.nlm.nih.gov/?term=15126333%2C%2019347880%5Buid%5D" TargetMode="External"/><Relationship Id="rId893" Type="http://schemas.openxmlformats.org/officeDocument/2006/relationships/hyperlink" Target="https://pubmed.ncbi.nlm.nih.gov/?term=24997567%2C%2021397856%2C%2019193619%20%5Buid%5D" TargetMode="External"/><Relationship Id="rId2367" Type="http://schemas.openxmlformats.org/officeDocument/2006/relationships/hyperlink" Target="https://www.uniprot.org/uniprot/Q15118" TargetMode="External"/><Relationship Id="rId2574" Type="http://schemas.openxmlformats.org/officeDocument/2006/relationships/hyperlink" Target="https://www.uniprot.org/uniprot/Q12778" TargetMode="External"/><Relationship Id="rId2781" Type="http://schemas.openxmlformats.org/officeDocument/2006/relationships/hyperlink" Target="https://www.uniprot.org/uniprot/P31751" TargetMode="External"/><Relationship Id="rId339" Type="http://schemas.openxmlformats.org/officeDocument/2006/relationships/hyperlink" Target="https://pubmed.ncbi.nlm.nih.gov/?term=28978336%5Buid%5D" TargetMode="External"/><Relationship Id="rId546" Type="http://schemas.openxmlformats.org/officeDocument/2006/relationships/hyperlink" Target="https://pubmed.ncbi.nlm.nih.gov/?term=26130719%2C%2021909941%5Buid%5D" TargetMode="External"/><Relationship Id="rId753" Type="http://schemas.openxmlformats.org/officeDocument/2006/relationships/hyperlink" Target="https://pubmed.ncbi.nlm.nih.gov/?term=32458975%5Buid%5D" TargetMode="External"/><Relationship Id="rId1176" Type="http://schemas.openxmlformats.org/officeDocument/2006/relationships/hyperlink" Target="https://www.ncbi.nlm.nih.gov/gene/6195" TargetMode="External"/><Relationship Id="rId1383" Type="http://schemas.openxmlformats.org/officeDocument/2006/relationships/hyperlink" Target="https://www.ncbi.nlm.nih.gov/gene/4436" TargetMode="External"/><Relationship Id="rId2227" Type="http://schemas.openxmlformats.org/officeDocument/2006/relationships/hyperlink" Target="https://www.uniprot.org/uniprot/Q96SB4" TargetMode="External"/><Relationship Id="rId2434" Type="http://schemas.openxmlformats.org/officeDocument/2006/relationships/hyperlink" Target="https://www.uniprot.org/uniprot/P20585" TargetMode="External"/><Relationship Id="rId101" Type="http://schemas.openxmlformats.org/officeDocument/2006/relationships/hyperlink" Target="https://pubmed.ncbi.nlm.nih.gov/?term=29452344%5Buid%5D" TargetMode="External"/><Relationship Id="rId406" Type="http://schemas.openxmlformats.org/officeDocument/2006/relationships/hyperlink" Target="https://pubmed.ncbi.nlm.nih.gov/?term=30641908%5Buid%5D" TargetMode="External"/><Relationship Id="rId960" Type="http://schemas.openxmlformats.org/officeDocument/2006/relationships/hyperlink" Target="https://www.ncbi.nlm.nih.gov/gene/6118" TargetMode="External"/><Relationship Id="rId1036" Type="http://schemas.openxmlformats.org/officeDocument/2006/relationships/hyperlink" Target="https://www.ncbi.nlm.nih.gov/gene/7158" TargetMode="External"/><Relationship Id="rId1243" Type="http://schemas.openxmlformats.org/officeDocument/2006/relationships/hyperlink" Target="https://www.ncbi.nlm.nih.gov/gene/5578" TargetMode="External"/><Relationship Id="rId1590" Type="http://schemas.openxmlformats.org/officeDocument/2006/relationships/hyperlink" Target="https://www.ncbi.nlm.nih.gov/gene/2247" TargetMode="External"/><Relationship Id="rId1688" Type="http://schemas.openxmlformats.org/officeDocument/2006/relationships/hyperlink" Target="https://www.ncbi.nlm.nih.gov/gene/3491" TargetMode="External"/><Relationship Id="rId1895" Type="http://schemas.openxmlformats.org/officeDocument/2006/relationships/hyperlink" Target="https://www.uniprot.org/uniprot/P01130" TargetMode="External"/><Relationship Id="rId2641" Type="http://schemas.openxmlformats.org/officeDocument/2006/relationships/hyperlink" Target="https://www.uniprot.org/uniprot/O95661" TargetMode="External"/><Relationship Id="rId2739" Type="http://schemas.openxmlformats.org/officeDocument/2006/relationships/hyperlink" Target="https://www.uniprot.org/uniprot/P10415" TargetMode="External"/><Relationship Id="rId613" Type="http://schemas.openxmlformats.org/officeDocument/2006/relationships/hyperlink" Target="https://pubmed.ncbi.nlm.nih.gov/?term=15790433%2C%2016275998%2C%2019701705%2C%2023266353%2C%2027489350%5Buid%5D" TargetMode="External"/><Relationship Id="rId820" Type="http://schemas.openxmlformats.org/officeDocument/2006/relationships/hyperlink" Target="https://pubmed.ncbi.nlm.nih.gov/?term=29097421%2C%2027206315%5Buid%5D" TargetMode="External"/><Relationship Id="rId918" Type="http://schemas.openxmlformats.org/officeDocument/2006/relationships/hyperlink" Target="https://pubmed.ncbi.nlm.nih.gov/?term=15843498%5Buid%5D" TargetMode="External"/><Relationship Id="rId1450" Type="http://schemas.openxmlformats.org/officeDocument/2006/relationships/hyperlink" Target="https://www.ncbi.nlm.nih.gov/gene/10542" TargetMode="External"/><Relationship Id="rId1548" Type="http://schemas.openxmlformats.org/officeDocument/2006/relationships/hyperlink" Target="https://www.ncbi.nlm.nih.gov/gene/2744" TargetMode="External"/><Relationship Id="rId1755" Type="http://schemas.openxmlformats.org/officeDocument/2006/relationships/hyperlink" Target="https://www.ncbi.nlm.nih.gov/gene/898" TargetMode="External"/><Relationship Id="rId2501" Type="http://schemas.openxmlformats.org/officeDocument/2006/relationships/hyperlink" Target="https://www.uniprot.org/uniprot/P17275" TargetMode="External"/><Relationship Id="rId1103" Type="http://schemas.openxmlformats.org/officeDocument/2006/relationships/hyperlink" Target="https://www.ncbi.nlm.nih.gov/gene/84651" TargetMode="External"/><Relationship Id="rId1310" Type="http://schemas.openxmlformats.org/officeDocument/2006/relationships/hyperlink" Target="https://www.ncbi.nlm.nih.gov/gene/5076" TargetMode="External"/><Relationship Id="rId1408" Type="http://schemas.openxmlformats.org/officeDocument/2006/relationships/hyperlink" Target="https://www.ncbi.nlm.nih.gov/gene/4193" TargetMode="External"/><Relationship Id="rId1962" Type="http://schemas.openxmlformats.org/officeDocument/2006/relationships/hyperlink" Target="https://www.uniprot.org/uniprot/O94782" TargetMode="External"/><Relationship Id="rId2806" Type="http://schemas.openxmlformats.org/officeDocument/2006/relationships/hyperlink" Target="https://www.uniprot.org/uniprot/O94911" TargetMode="External"/><Relationship Id="rId47" Type="http://schemas.openxmlformats.org/officeDocument/2006/relationships/hyperlink" Target="https://pubmed.ncbi.nlm.nih.gov/?term=21752536%5Buid%5D" TargetMode="External"/><Relationship Id="rId1615" Type="http://schemas.openxmlformats.org/officeDocument/2006/relationships/hyperlink" Target="https://www.ncbi.nlm.nih.gov/gene/91442" TargetMode="External"/><Relationship Id="rId1822" Type="http://schemas.openxmlformats.org/officeDocument/2006/relationships/hyperlink" Target="https://www.ncbi.nlm.nih.gov/gene/9114" TargetMode="External"/><Relationship Id="rId196" Type="http://schemas.openxmlformats.org/officeDocument/2006/relationships/hyperlink" Target="https://pubmed.ncbi.nlm.nih.gov/?term=23939375%2C%2031548347%5Buid%5D" TargetMode="External"/><Relationship Id="rId2084" Type="http://schemas.openxmlformats.org/officeDocument/2006/relationships/hyperlink" Target="https://www.uniprot.org/uniprot/P20248" TargetMode="External"/><Relationship Id="rId2291" Type="http://schemas.openxmlformats.org/officeDocument/2006/relationships/hyperlink" Target="https://www.uniprot.org/uniprot/P35251" TargetMode="External"/><Relationship Id="rId263" Type="http://schemas.openxmlformats.org/officeDocument/2006/relationships/hyperlink" Target="https://pubmed.ncbi.nlm.nih.gov/?term=18803287%2C%2022841590%2C%2030621788%5Buid%5D" TargetMode="External"/><Relationship Id="rId470" Type="http://schemas.openxmlformats.org/officeDocument/2006/relationships/hyperlink" Target="https://pubmed.ncbi.nlm.nih.gov/?term=15897565%2C%2028545541%5Buid%5D" TargetMode="External"/><Relationship Id="rId2151" Type="http://schemas.openxmlformats.org/officeDocument/2006/relationships/hyperlink" Target="https://www.uniprot.org/uniprot/O43542" TargetMode="External"/><Relationship Id="rId2389" Type="http://schemas.openxmlformats.org/officeDocument/2006/relationships/hyperlink" Target="https://www.uniprot.org/uniprot/Q16288" TargetMode="External"/><Relationship Id="rId2596" Type="http://schemas.openxmlformats.org/officeDocument/2006/relationships/hyperlink" Target="https://www.uniprot.org/uniprot/Q9BXW9" TargetMode="External"/><Relationship Id="rId123" Type="http://schemas.openxmlformats.org/officeDocument/2006/relationships/hyperlink" Target="https://pubmed.ncbi.nlm.nih.gov/?term=18064040%5Buid%5D" TargetMode="External"/><Relationship Id="rId330" Type="http://schemas.openxmlformats.org/officeDocument/2006/relationships/hyperlink" Target="https://pubmed.ncbi.nlm.nih.gov/?term=24842157%5Buid%5D" TargetMode="External"/><Relationship Id="rId568" Type="http://schemas.openxmlformats.org/officeDocument/2006/relationships/hyperlink" Target="https://pubmed.ncbi.nlm.nih.gov/?term=10604725%2C%2029495918%2C%202113532%5Buid%5D" TargetMode="External"/><Relationship Id="rId775" Type="http://schemas.openxmlformats.org/officeDocument/2006/relationships/hyperlink" Target="https://pubmed.ncbi.nlm.nih.gov/?term=23757163%5Buid%5D" TargetMode="External"/><Relationship Id="rId982" Type="http://schemas.openxmlformats.org/officeDocument/2006/relationships/hyperlink" Target="https://www.ncbi.nlm.nih.gov/gene/7517" TargetMode="External"/><Relationship Id="rId1198" Type="http://schemas.openxmlformats.org/officeDocument/2006/relationships/hyperlink" Target="https://www.ncbi.nlm.nih.gov/gene/5979" TargetMode="External"/><Relationship Id="rId2011" Type="http://schemas.openxmlformats.org/officeDocument/2006/relationships/hyperlink" Target="https://www.uniprot.org/uniprot/P51149" TargetMode="External"/><Relationship Id="rId2249" Type="http://schemas.openxmlformats.org/officeDocument/2006/relationships/hyperlink" Target="https://www.uniprot.org/uniprot/P08195" TargetMode="External"/><Relationship Id="rId2456" Type="http://schemas.openxmlformats.org/officeDocument/2006/relationships/hyperlink" Target="https://www.uniprot.org/uniprot/P45983" TargetMode="External"/><Relationship Id="rId2663" Type="http://schemas.openxmlformats.org/officeDocument/2006/relationships/hyperlink" Target="https://www.uniprot.org/uniprot/P07333" TargetMode="External"/><Relationship Id="rId428" Type="http://schemas.openxmlformats.org/officeDocument/2006/relationships/hyperlink" Target="https://pubmed.ncbi.nlm.nih.gov/?term=20530585%2C%2020491776%5Buid%5D" TargetMode="External"/><Relationship Id="rId635" Type="http://schemas.openxmlformats.org/officeDocument/2006/relationships/hyperlink" Target="https://pubmed.ncbi.nlm.nih.gov/?term=25190177%2C%2027806724%5Buid%5D" TargetMode="External"/><Relationship Id="rId842" Type="http://schemas.openxmlformats.org/officeDocument/2006/relationships/hyperlink" Target="https://pubmed.ncbi.nlm.nih.gov/?term=28583847%5Buid%5D" TargetMode="External"/><Relationship Id="rId1058" Type="http://schemas.openxmlformats.org/officeDocument/2006/relationships/hyperlink" Target="https://www.ncbi.nlm.nih.gov/gene/7077" TargetMode="External"/><Relationship Id="rId1265" Type="http://schemas.openxmlformats.org/officeDocument/2006/relationships/hyperlink" Target="https://www.ncbi.nlm.nih.gov/gene/5425" TargetMode="External"/><Relationship Id="rId1472" Type="http://schemas.openxmlformats.org/officeDocument/2006/relationships/hyperlink" Target="https://www.ncbi.nlm.nih.gov/gene/3726" TargetMode="External"/><Relationship Id="rId2109" Type="http://schemas.openxmlformats.org/officeDocument/2006/relationships/hyperlink" Target="https://www.uniprot.org/uniprot/P61006" TargetMode="External"/><Relationship Id="rId2316" Type="http://schemas.openxmlformats.org/officeDocument/2006/relationships/hyperlink" Target="https://www.uniprot.org/uniprot/Q13635" TargetMode="External"/><Relationship Id="rId2523" Type="http://schemas.openxmlformats.org/officeDocument/2006/relationships/hyperlink" Target="https://www.uniprot.org/uniprot/P11021" TargetMode="External"/><Relationship Id="rId2730" Type="http://schemas.openxmlformats.org/officeDocument/2006/relationships/hyperlink" Target="https://www.uniprot.org/uniprot/O15392" TargetMode="External"/><Relationship Id="rId702" Type="http://schemas.openxmlformats.org/officeDocument/2006/relationships/hyperlink" Target="https://pubmed.ncbi.nlm.nih.gov/?term=24956248%2C%2026165320%2C%2019289490%5Buid%5D" TargetMode="External"/><Relationship Id="rId1125" Type="http://schemas.openxmlformats.org/officeDocument/2006/relationships/hyperlink" Target="https://www.ncbi.nlm.nih.gov/gene/28234" TargetMode="External"/><Relationship Id="rId1332" Type="http://schemas.openxmlformats.org/officeDocument/2006/relationships/hyperlink" Target="https://www.ncbi.nlm.nih.gov/gene/8856" TargetMode="External"/><Relationship Id="rId1777" Type="http://schemas.openxmlformats.org/officeDocument/2006/relationships/hyperlink" Target="https://www.ncbi.nlm.nih.gov/gene/817" TargetMode="External"/><Relationship Id="rId1984" Type="http://schemas.openxmlformats.org/officeDocument/2006/relationships/hyperlink" Target="https://www.uniprot.org/uniprot/P07384" TargetMode="External"/><Relationship Id="rId69" Type="http://schemas.openxmlformats.org/officeDocument/2006/relationships/hyperlink" Target="https://pubmed.ncbi.nlm.nih.gov/?term=11519050%2C%2015547183%5Buid%5D" TargetMode="External"/><Relationship Id="rId1637" Type="http://schemas.openxmlformats.org/officeDocument/2006/relationships/hyperlink" Target="https://www.ncbi.nlm.nih.gov/gene/2023" TargetMode="External"/><Relationship Id="rId1844" Type="http://schemas.openxmlformats.org/officeDocument/2006/relationships/hyperlink" Target="https://www.ncbi.nlm.nih.gov/gene/374" TargetMode="External"/><Relationship Id="rId1704" Type="http://schemas.openxmlformats.org/officeDocument/2006/relationships/hyperlink" Target="https://www.ncbi.nlm.nih.gov/gene/1385" TargetMode="External"/><Relationship Id="rId285" Type="http://schemas.openxmlformats.org/officeDocument/2006/relationships/hyperlink" Target="https://pubmed.ncbi.nlm.nih.gov/?term=23838005%5Buid%5D" TargetMode="External"/><Relationship Id="rId1911" Type="http://schemas.openxmlformats.org/officeDocument/2006/relationships/hyperlink" Target="https://www.uniprot.org/uniprot/Q9H6Z9" TargetMode="External"/><Relationship Id="rId492" Type="http://schemas.openxmlformats.org/officeDocument/2006/relationships/hyperlink" Target="https://pubmed.ncbi.nlm.nih.gov/?term=27646943%2C%2026876197%2C%2015790436%5Buid%5D" TargetMode="External"/><Relationship Id="rId797" Type="http://schemas.openxmlformats.org/officeDocument/2006/relationships/hyperlink" Target="https://pubmed.ncbi.nlm.nih.gov/?term=28348485%2C%2019717562%5Buid%5D" TargetMode="External"/><Relationship Id="rId2173" Type="http://schemas.openxmlformats.org/officeDocument/2006/relationships/hyperlink" Target="https://www.uniprot.org/uniprot/P55851" TargetMode="External"/><Relationship Id="rId2380" Type="http://schemas.openxmlformats.org/officeDocument/2006/relationships/hyperlink" Target="https://www.uniprot.org/uniprot/Q86W56" TargetMode="External"/><Relationship Id="rId2478" Type="http://schemas.openxmlformats.org/officeDocument/2006/relationships/hyperlink" Target="https://www.uniprot.org/uniprot/Q9UIQ6" TargetMode="External"/><Relationship Id="rId145" Type="http://schemas.openxmlformats.org/officeDocument/2006/relationships/hyperlink" Target="https://pubmed.ncbi.nlm.nih.gov/?term=22498306,29385995,31953176" TargetMode="External"/><Relationship Id="rId352" Type="http://schemas.openxmlformats.org/officeDocument/2006/relationships/hyperlink" Target="https://pubmed.ncbi.nlm.nih.gov/?term=29285301%2C%202898306%2C%2022085405%5Buid%5D" TargetMode="External"/><Relationship Id="rId1287" Type="http://schemas.openxmlformats.org/officeDocument/2006/relationships/hyperlink" Target="https://www.ncbi.nlm.nih.gov/gene/26227" TargetMode="External"/><Relationship Id="rId2033" Type="http://schemas.openxmlformats.org/officeDocument/2006/relationships/hyperlink" Target="https://www.uniprot.org/uniprot/O95352" TargetMode="External"/><Relationship Id="rId2240" Type="http://schemas.openxmlformats.org/officeDocument/2006/relationships/hyperlink" Target="https://www.uniprot.org/uniprot/P51532" TargetMode="External"/><Relationship Id="rId2685" Type="http://schemas.openxmlformats.org/officeDocument/2006/relationships/hyperlink" Target="https://www.uniprot.org/uniprot/P42773" TargetMode="External"/><Relationship Id="rId212" Type="http://schemas.openxmlformats.org/officeDocument/2006/relationships/hyperlink" Target="https://pubmed.ncbi.nlm.nih.gov/?term=24249678%5Buid%5D" TargetMode="External"/><Relationship Id="rId657" Type="http://schemas.openxmlformats.org/officeDocument/2006/relationships/hyperlink" Target="https://pubmed.ncbi.nlm.nih.gov/?term=28246354%2C%2016508638%2C%208930400%2C%2018765998%5Buid%5D" TargetMode="External"/><Relationship Id="rId864" Type="http://schemas.openxmlformats.org/officeDocument/2006/relationships/hyperlink" Target="https://pubmed.ncbi.nlm.nih.gov/?term=17220511%2C%2030375398%2C%2028148293%2C%2028038466%2C%2017072341%2C%207712469%5Buid%5D" TargetMode="External"/><Relationship Id="rId1494" Type="http://schemas.openxmlformats.org/officeDocument/2006/relationships/hyperlink" Target="https://www.ncbi.nlm.nih.gov/gene/9641" TargetMode="External"/><Relationship Id="rId1799" Type="http://schemas.openxmlformats.org/officeDocument/2006/relationships/hyperlink" Target="https://www.ncbi.nlm.nih.gov/gene/8553" TargetMode="External"/><Relationship Id="rId2100" Type="http://schemas.openxmlformats.org/officeDocument/2006/relationships/hyperlink" Target="https://www.uniprot.org/uniprot/Q32MZ4" TargetMode="External"/><Relationship Id="rId2338" Type="http://schemas.openxmlformats.org/officeDocument/2006/relationships/hyperlink" Target="https://www.uniprot.org/uniprot/Q01860" TargetMode="External"/><Relationship Id="rId2545" Type="http://schemas.openxmlformats.org/officeDocument/2006/relationships/hyperlink" Target="https://www.uniprot.org/uniprot/Q99075" TargetMode="External"/><Relationship Id="rId2752" Type="http://schemas.openxmlformats.org/officeDocument/2006/relationships/hyperlink" Target="https://www.uniprot.org/uniprot/Q04656" TargetMode="External"/><Relationship Id="rId517" Type="http://schemas.openxmlformats.org/officeDocument/2006/relationships/hyperlink" Target="https://pubmed.ncbi.nlm.nih.gov/?term=22401567%5Buid%5D" TargetMode="External"/><Relationship Id="rId724" Type="http://schemas.openxmlformats.org/officeDocument/2006/relationships/hyperlink" Target="https://pubmed.ncbi.nlm.nih.gov/?term=23041051%5Buid%5D" TargetMode="External"/><Relationship Id="rId931" Type="http://schemas.openxmlformats.org/officeDocument/2006/relationships/hyperlink" Target="https://pubmed.ncbi.nlm.nih.gov/?term=30481785,19584296" TargetMode="External"/><Relationship Id="rId1147" Type="http://schemas.openxmlformats.org/officeDocument/2006/relationships/hyperlink" Target="https://www.ncbi.nlm.nih.gov/gene/23235" TargetMode="External"/><Relationship Id="rId1354" Type="http://schemas.openxmlformats.org/officeDocument/2006/relationships/hyperlink" Target="https://www.ncbi.nlm.nih.gov/gene/51079" TargetMode="External"/><Relationship Id="rId1561" Type="http://schemas.openxmlformats.org/officeDocument/2006/relationships/hyperlink" Target="https://www.ncbi.nlm.nih.gov/gene/2697" TargetMode="External"/><Relationship Id="rId2405" Type="http://schemas.openxmlformats.org/officeDocument/2006/relationships/hyperlink" Target="https://www.uniprot.org/uniprot/Q16236" TargetMode="External"/><Relationship Id="rId2612" Type="http://schemas.openxmlformats.org/officeDocument/2006/relationships/hyperlink" Target="https://www.uniprot.org/uniprot/P18074" TargetMode="External"/><Relationship Id="rId60" Type="http://schemas.openxmlformats.org/officeDocument/2006/relationships/hyperlink" Target="https://pubmed.ncbi.nlm.nih.gov/?term=29512762%5Buid%5D" TargetMode="External"/><Relationship Id="rId1007" Type="http://schemas.openxmlformats.org/officeDocument/2006/relationships/hyperlink" Target="https://www.ncbi.nlm.nih.gov/gene/7398" TargetMode="External"/><Relationship Id="rId1214" Type="http://schemas.openxmlformats.org/officeDocument/2006/relationships/hyperlink" Target="https://www.ncbi.nlm.nih.gov/gene/5890" TargetMode="External"/><Relationship Id="rId1421" Type="http://schemas.openxmlformats.org/officeDocument/2006/relationships/hyperlink" Target="https://www.ncbi.nlm.nih.gov/gene/5594" TargetMode="External"/><Relationship Id="rId1659" Type="http://schemas.openxmlformats.org/officeDocument/2006/relationships/hyperlink" Target="https://www.ncbi.nlm.nih.gov/gene/8655" TargetMode="External"/><Relationship Id="rId1866" Type="http://schemas.openxmlformats.org/officeDocument/2006/relationships/hyperlink" Target="https://www.ncbi.nlm.nih.gov/gene/9131" TargetMode="External"/><Relationship Id="rId1519" Type="http://schemas.openxmlformats.org/officeDocument/2006/relationships/hyperlink" Target="https://www.ncbi.nlm.nih.gov/gene/6928" TargetMode="External"/><Relationship Id="rId1726" Type="http://schemas.openxmlformats.org/officeDocument/2006/relationships/hyperlink" Target="https://www.ncbi.nlm.nih.gov/gene/1108" TargetMode="External"/><Relationship Id="rId1933" Type="http://schemas.openxmlformats.org/officeDocument/2006/relationships/hyperlink" Target="https://www.uniprot.org/uniprot/Q99457" TargetMode="External"/><Relationship Id="rId18" Type="http://schemas.openxmlformats.org/officeDocument/2006/relationships/hyperlink" Target="https://pubmed.ncbi.nlm.nih.gov/?term=25960282%2C%2022110952%2C%2017873890%2C%2029867145%5Buid%5D" TargetMode="External"/><Relationship Id="rId2195" Type="http://schemas.openxmlformats.org/officeDocument/2006/relationships/hyperlink" Target="https://www.uniprot.org/uniprot/O00220" TargetMode="External"/><Relationship Id="rId167" Type="http://schemas.openxmlformats.org/officeDocument/2006/relationships/hyperlink" Target="https://pubmed.ncbi.nlm.nih.gov/?term=25737278%2C%2027443740%5Buid%5D" TargetMode="External"/><Relationship Id="rId374" Type="http://schemas.openxmlformats.org/officeDocument/2006/relationships/hyperlink" Target="https://pubmed.ncbi.nlm.nih.gov/?term=16678019%2C%2028808929%5Buid%5D" TargetMode="External"/><Relationship Id="rId581" Type="http://schemas.openxmlformats.org/officeDocument/2006/relationships/hyperlink" Target="https://pubmed.ncbi.nlm.nih.gov/?term=27641360%5Buid%5D" TargetMode="External"/><Relationship Id="rId2055" Type="http://schemas.openxmlformats.org/officeDocument/2006/relationships/hyperlink" Target="https://www.uniprot.org/uniprot/P29590" TargetMode="External"/><Relationship Id="rId2262" Type="http://schemas.openxmlformats.org/officeDocument/2006/relationships/hyperlink" Target="https://www.uniprot.org/uniprot/Q5T4F7" TargetMode="External"/><Relationship Id="rId234" Type="http://schemas.openxmlformats.org/officeDocument/2006/relationships/hyperlink" Target="https://pubmed.ncbi.nlm.nih.gov/?term=25712377%5Buid%5D" TargetMode="External"/><Relationship Id="rId679" Type="http://schemas.openxmlformats.org/officeDocument/2006/relationships/hyperlink" Target="https://pubmed.ncbi.nlm.nih.gov/?term=21969054%5Buid%5D" TargetMode="External"/><Relationship Id="rId886" Type="http://schemas.openxmlformats.org/officeDocument/2006/relationships/hyperlink" Target="https://pubmed.ncbi.nlm.nih.gov/?term=26119737%2C%2017938197%2C%2016916645%5Buid%5D" TargetMode="External"/><Relationship Id="rId2567" Type="http://schemas.openxmlformats.org/officeDocument/2006/relationships/hyperlink" Target="https://www.uniprot.org/uniprot/Q14393" TargetMode="External"/><Relationship Id="rId2774" Type="http://schemas.openxmlformats.org/officeDocument/2006/relationships/hyperlink" Target="https://www.uniprot.org/uniprot/P09525" TargetMode="External"/><Relationship Id="rId2" Type="http://schemas.openxmlformats.org/officeDocument/2006/relationships/hyperlink" Target="https://pubmed.ncbi.nlm.nih.gov/?term=25891226%5Buid%5D" TargetMode="External"/><Relationship Id="rId441" Type="http://schemas.openxmlformats.org/officeDocument/2006/relationships/hyperlink" Target="https://pubmed.ncbi.nlm.nih.gov/?term=27443740%5Buid%5D" TargetMode="External"/><Relationship Id="rId539" Type="http://schemas.openxmlformats.org/officeDocument/2006/relationships/hyperlink" Target="https://pubmed.ncbi.nlm.nih.gov/?term=32701410%5Buid%5D" TargetMode="External"/><Relationship Id="rId746" Type="http://schemas.openxmlformats.org/officeDocument/2006/relationships/hyperlink" Target="https://pubmed.ncbi.nlm.nih.gov/?term=30300027%5Buid%5D" TargetMode="External"/><Relationship Id="rId1071" Type="http://schemas.openxmlformats.org/officeDocument/2006/relationships/hyperlink" Target="https://www.ncbi.nlm.nih.gov/gene/7037" TargetMode="External"/><Relationship Id="rId1169" Type="http://schemas.openxmlformats.org/officeDocument/2006/relationships/hyperlink" Target="https://www.ncbi.nlm.nih.gov/gene/864" TargetMode="External"/><Relationship Id="rId1376" Type="http://schemas.openxmlformats.org/officeDocument/2006/relationships/hyperlink" Target="https://www.ncbi.nlm.nih.gov/gene/4502" TargetMode="External"/><Relationship Id="rId1583" Type="http://schemas.openxmlformats.org/officeDocument/2006/relationships/hyperlink" Target="https://www.ncbi.nlm.nih.gov/gene/2353" TargetMode="External"/><Relationship Id="rId2122" Type="http://schemas.openxmlformats.org/officeDocument/2006/relationships/hyperlink" Target="https://www.uniprot.org/uniprot/Q15018" TargetMode="External"/><Relationship Id="rId2427" Type="http://schemas.openxmlformats.org/officeDocument/2006/relationships/hyperlink" Target="https://www.uniprot.org/uniprot/Q86UE4" TargetMode="External"/><Relationship Id="rId301" Type="http://schemas.openxmlformats.org/officeDocument/2006/relationships/hyperlink" Target="https://pubmed.ncbi.nlm.nih.gov/?term=22990650%5Buid%5D" TargetMode="External"/><Relationship Id="rId953" Type="http://schemas.openxmlformats.org/officeDocument/2006/relationships/hyperlink" Target="https://www.uniprot.org/uniprot/Q13007" TargetMode="External"/><Relationship Id="rId1029" Type="http://schemas.openxmlformats.org/officeDocument/2006/relationships/hyperlink" Target="https://www.ncbi.nlm.nih.gov/gene/28951" TargetMode="External"/><Relationship Id="rId1236" Type="http://schemas.openxmlformats.org/officeDocument/2006/relationships/hyperlink" Target="https://www.ncbi.nlm.nih.gov/gene/54458" TargetMode="External"/><Relationship Id="rId1790" Type="http://schemas.openxmlformats.org/officeDocument/2006/relationships/hyperlink" Target="https://www.ncbi.nlm.nih.gov/gene/648" TargetMode="External"/><Relationship Id="rId1888" Type="http://schemas.openxmlformats.org/officeDocument/2006/relationships/hyperlink" Target="https://www.ncbi.nlm.nih.gov/gene/26574" TargetMode="External"/><Relationship Id="rId2634" Type="http://schemas.openxmlformats.org/officeDocument/2006/relationships/hyperlink" Target="https://www.uniprot.org/uniprot/Q92630" TargetMode="External"/><Relationship Id="rId82" Type="http://schemas.openxmlformats.org/officeDocument/2006/relationships/hyperlink" Target="https://pubmed.ncbi.nlm.nih.gov/?term=23147994%2C%2021693656%2C%2018089818%20%5Buid%5D" TargetMode="External"/><Relationship Id="rId606" Type="http://schemas.openxmlformats.org/officeDocument/2006/relationships/hyperlink" Target="https://pubmed.ncbi.nlm.nih.gov/?term=33244267%5Buid%5D" TargetMode="External"/><Relationship Id="rId813" Type="http://schemas.openxmlformats.org/officeDocument/2006/relationships/hyperlink" Target="https://pubmed.ncbi.nlm.nih.gov/?term=32068166%2C%2032678307%2C%2025300616%5Buid%5D" TargetMode="External"/><Relationship Id="rId1443" Type="http://schemas.openxmlformats.org/officeDocument/2006/relationships/hyperlink" Target="https://www.ncbi.nlm.nih.gov/gene/79727" TargetMode="External"/><Relationship Id="rId1650" Type="http://schemas.openxmlformats.org/officeDocument/2006/relationships/hyperlink" Target="https://www.ncbi.nlm.nih.gov/gene/1956" TargetMode="External"/><Relationship Id="rId1748" Type="http://schemas.openxmlformats.org/officeDocument/2006/relationships/hyperlink" Target="https://www.ncbi.nlm.nih.gov/gene/960" TargetMode="External"/><Relationship Id="rId2701" Type="http://schemas.openxmlformats.org/officeDocument/2006/relationships/hyperlink" Target="https://www.uniprot.org/uniprot/P25942" TargetMode="External"/><Relationship Id="rId1303" Type="http://schemas.openxmlformats.org/officeDocument/2006/relationships/hyperlink" Target="https://www.ncbi.nlm.nih.gov/gene/5156" TargetMode="External"/><Relationship Id="rId1510" Type="http://schemas.openxmlformats.org/officeDocument/2006/relationships/hyperlink" Target="https://www.ncbi.nlm.nih.gov/gene/3303" TargetMode="External"/><Relationship Id="rId1955" Type="http://schemas.openxmlformats.org/officeDocument/2006/relationships/hyperlink" Target="https://www.uniprot.org/uniprot/O43175" TargetMode="External"/><Relationship Id="rId1608" Type="http://schemas.openxmlformats.org/officeDocument/2006/relationships/hyperlink" Target="https://www.ncbi.nlm.nih.gov/gene/2187" TargetMode="External"/><Relationship Id="rId1815" Type="http://schemas.openxmlformats.org/officeDocument/2006/relationships/hyperlink" Target="https://www.ncbi.nlm.nih.gov/gene/6790" TargetMode="External"/><Relationship Id="rId189" Type="http://schemas.openxmlformats.org/officeDocument/2006/relationships/hyperlink" Target="https://pubmed.ncbi.nlm.nih.gov/?term=30093630%2C%2030069985%2C%2025825983%5Buid%5D" TargetMode="External"/><Relationship Id="rId396" Type="http://schemas.openxmlformats.org/officeDocument/2006/relationships/hyperlink" Target="https://pubmed.ncbi.nlm.nih.gov/?term=28545426%5Buid%5D" TargetMode="External"/><Relationship Id="rId2077" Type="http://schemas.openxmlformats.org/officeDocument/2006/relationships/hyperlink" Target="https://www.uniprot.org/uniprot/Q9BUN8" TargetMode="External"/><Relationship Id="rId2284" Type="http://schemas.openxmlformats.org/officeDocument/2006/relationships/hyperlink" Target="https://www.uniprot.org/uniprot/O00584" TargetMode="External"/><Relationship Id="rId2491" Type="http://schemas.openxmlformats.org/officeDocument/2006/relationships/hyperlink" Target="https://www.uniprot.org/uniprot/P13645" TargetMode="External"/><Relationship Id="rId256" Type="http://schemas.openxmlformats.org/officeDocument/2006/relationships/hyperlink" Target="https://pubmed.ncbi.nlm.nih.gov/?term=23147994%2C%2028944897%5Buid%5D" TargetMode="External"/><Relationship Id="rId463" Type="http://schemas.openxmlformats.org/officeDocument/2006/relationships/hyperlink" Target="https://pubmed.ncbi.nlm.nih.gov/?term=26530471%5Buid%5D" TargetMode="External"/><Relationship Id="rId670" Type="http://schemas.openxmlformats.org/officeDocument/2006/relationships/hyperlink" Target="https://pubmed.ncbi.nlm.nih.gov/?term=30655206%5Buid%5D" TargetMode="External"/><Relationship Id="rId1093" Type="http://schemas.openxmlformats.org/officeDocument/2006/relationships/hyperlink" Target="https://www.ncbi.nlm.nih.gov/gene/6774" TargetMode="External"/><Relationship Id="rId2144" Type="http://schemas.openxmlformats.org/officeDocument/2006/relationships/hyperlink" Target="https://www.uniprot.org/uniprot/Q04917" TargetMode="External"/><Relationship Id="rId2351" Type="http://schemas.openxmlformats.org/officeDocument/2006/relationships/hyperlink" Target="https://www.uniprot.org/uniprot/P54278" TargetMode="External"/><Relationship Id="rId2589" Type="http://schemas.openxmlformats.org/officeDocument/2006/relationships/hyperlink" Target="https://www.uniprot.org/uniprot/Q12884" TargetMode="External"/><Relationship Id="rId2796" Type="http://schemas.openxmlformats.org/officeDocument/2006/relationships/hyperlink" Target="https://www.uniprot.org/uniprot/P08910" TargetMode="External"/><Relationship Id="rId116" Type="http://schemas.openxmlformats.org/officeDocument/2006/relationships/hyperlink" Target="https://pubmed.ncbi.nlm.nih.gov/?term=18214855%2C%2028089626%2C%2030448882%2C%2027994509%5Buid%5D" TargetMode="External"/><Relationship Id="rId323" Type="http://schemas.openxmlformats.org/officeDocument/2006/relationships/hyperlink" Target="https://pubmed.ncbi.nlm.nih.gov/?term=8950993%2C%2015837757%5Buid%5D" TargetMode="External"/><Relationship Id="rId530" Type="http://schemas.openxmlformats.org/officeDocument/2006/relationships/hyperlink" Target="https://pubmed.ncbi.nlm.nih.gov/?term=26984395%2C%20%2021136676%2C%2025733373%5Buid%5D" TargetMode="External"/><Relationship Id="rId768" Type="http://schemas.openxmlformats.org/officeDocument/2006/relationships/hyperlink" Target="https://pubmed.ncbi.nlm.nih.gov/?term=28775359%5Buid%5D" TargetMode="External"/><Relationship Id="rId975" Type="http://schemas.openxmlformats.org/officeDocument/2006/relationships/hyperlink" Target="https://www.ncbi.nlm.nih.gov/gene/7532" TargetMode="External"/><Relationship Id="rId1160" Type="http://schemas.openxmlformats.org/officeDocument/2006/relationships/hyperlink" Target="https://www.ncbi.nlm.nih.gov/gene/6390" TargetMode="External"/><Relationship Id="rId1398" Type="http://schemas.openxmlformats.org/officeDocument/2006/relationships/hyperlink" Target="https://www.ncbi.nlm.nih.gov/gene/84299" TargetMode="External"/><Relationship Id="rId2004" Type="http://schemas.openxmlformats.org/officeDocument/2006/relationships/hyperlink" Target="https://www.uniprot.org/uniprot/P41181" TargetMode="External"/><Relationship Id="rId2211" Type="http://schemas.openxmlformats.org/officeDocument/2006/relationships/hyperlink" Target="https://www.uniprot.org/uniprot/O14746" TargetMode="External"/><Relationship Id="rId2449" Type="http://schemas.openxmlformats.org/officeDocument/2006/relationships/hyperlink" Target="https://www.uniprot.org/uniprot/P08581" TargetMode="External"/><Relationship Id="rId2656" Type="http://schemas.openxmlformats.org/officeDocument/2006/relationships/hyperlink" Target="https://www.uniprot.org/uniprot/P61073" TargetMode="External"/><Relationship Id="rId628" Type="http://schemas.openxmlformats.org/officeDocument/2006/relationships/hyperlink" Target="https://pubmed.ncbi.nlm.nih.gov/?term=9398618%2C%2028744813%2C%2030244973%5Buid%5D" TargetMode="External"/><Relationship Id="rId835" Type="http://schemas.openxmlformats.org/officeDocument/2006/relationships/hyperlink" Target="https://pubmed.ncbi.nlm.nih.gov/?term=26191185%5Buid%5D" TargetMode="External"/><Relationship Id="rId1258" Type="http://schemas.openxmlformats.org/officeDocument/2006/relationships/hyperlink" Target="https://www.ncbi.nlm.nih.gov/gene/10721" TargetMode="External"/><Relationship Id="rId1465" Type="http://schemas.openxmlformats.org/officeDocument/2006/relationships/hyperlink" Target="https://www.ncbi.nlm.nih.gov/gene/5927" TargetMode="External"/><Relationship Id="rId1672" Type="http://schemas.openxmlformats.org/officeDocument/2006/relationships/hyperlink" Target="https://www.ncbi.nlm.nih.gov/gene/23405" TargetMode="External"/><Relationship Id="rId2309" Type="http://schemas.openxmlformats.org/officeDocument/2006/relationships/hyperlink" Target="https://www.uniprot.org/uniprot/Q92878" TargetMode="External"/><Relationship Id="rId2516" Type="http://schemas.openxmlformats.org/officeDocument/2006/relationships/hyperlink" Target="https://www.uniprot.org/uniprot/O00425" TargetMode="External"/><Relationship Id="rId2723" Type="http://schemas.openxmlformats.org/officeDocument/2006/relationships/hyperlink" Target="https://www.uniprot.org/uniprot/P35613" TargetMode="External"/><Relationship Id="rId1020" Type="http://schemas.openxmlformats.org/officeDocument/2006/relationships/hyperlink" Target="https://www.ncbi.nlm.nih.gov/gene/7296" TargetMode="External"/><Relationship Id="rId1118" Type="http://schemas.openxmlformats.org/officeDocument/2006/relationships/hyperlink" Target="https://www.ncbi.nlm.nih.gov/gene/6605" TargetMode="External"/><Relationship Id="rId1325" Type="http://schemas.openxmlformats.org/officeDocument/2006/relationships/hyperlink" Target="https://www.ncbi.nlm.nih.gov/gene/4922" TargetMode="External"/><Relationship Id="rId1532" Type="http://schemas.openxmlformats.org/officeDocument/2006/relationships/hyperlink" Target="https://www.ncbi.nlm.nih.gov/gene/9759" TargetMode="External"/><Relationship Id="rId1977" Type="http://schemas.openxmlformats.org/officeDocument/2006/relationships/hyperlink" Target="https://www.uniprot.org/uniprot/Q9NY61" TargetMode="External"/><Relationship Id="rId902" Type="http://schemas.openxmlformats.org/officeDocument/2006/relationships/hyperlink" Target="https://pubmed.ncbi.nlm.nih.gov/?term=20663925%2C%2018004244%2C%2021970881%2C%2031235595%5Buid%5D" TargetMode="External"/><Relationship Id="rId1837" Type="http://schemas.openxmlformats.org/officeDocument/2006/relationships/hyperlink" Target="https://www.ncbi.nlm.nih.gov/gene/445" TargetMode="External"/><Relationship Id="rId31" Type="http://schemas.openxmlformats.org/officeDocument/2006/relationships/hyperlink" Target="https://pubmed.ncbi.nlm.nih.gov/?term=12697749%2C%2012517798%5Buid%5D" TargetMode="External"/><Relationship Id="rId2099" Type="http://schemas.openxmlformats.org/officeDocument/2006/relationships/hyperlink" Target="https://www.uniprot.org/uniprot/P05120" TargetMode="External"/><Relationship Id="rId180" Type="http://schemas.openxmlformats.org/officeDocument/2006/relationships/hyperlink" Target="https://pubmed.ncbi.nlm.nih.gov/?term=22675468%5Buid%5D" TargetMode="External"/><Relationship Id="rId278" Type="http://schemas.openxmlformats.org/officeDocument/2006/relationships/hyperlink" Target="https://pubmed.ncbi.nlm.nih.gov/?term=23333308%5Buid%5D" TargetMode="External"/><Relationship Id="rId1904" Type="http://schemas.openxmlformats.org/officeDocument/2006/relationships/hyperlink" Target="https://www.uniprot.org/uniprot/Q00535" TargetMode="External"/><Relationship Id="rId485" Type="http://schemas.openxmlformats.org/officeDocument/2006/relationships/hyperlink" Target="https://pubmed.ncbi.nlm.nih.gov/?term=21996734%2C%2020651982%5Buid%5D" TargetMode="External"/><Relationship Id="rId692" Type="http://schemas.openxmlformats.org/officeDocument/2006/relationships/hyperlink" Target="https://pubmed.ncbi.nlm.nih.gov/?term=26713604%2C%2029445424%5Buid%5D" TargetMode="External"/><Relationship Id="rId2166" Type="http://schemas.openxmlformats.org/officeDocument/2006/relationships/hyperlink" Target="https://www.uniprot.org/uniprot/P21796" TargetMode="External"/><Relationship Id="rId2373" Type="http://schemas.openxmlformats.org/officeDocument/2006/relationships/hyperlink" Target="https://www.uniprot.org/uniprot/P12004" TargetMode="External"/><Relationship Id="rId2580" Type="http://schemas.openxmlformats.org/officeDocument/2006/relationships/hyperlink" Target="https://www.uniprot.org/uniprot/P15328" TargetMode="External"/><Relationship Id="rId138" Type="http://schemas.openxmlformats.org/officeDocument/2006/relationships/hyperlink" Target="https://pubmed.ncbi.nlm.nih.gov/?term=21103391%2C%2016572426%5Buid%5D" TargetMode="External"/><Relationship Id="rId345" Type="http://schemas.openxmlformats.org/officeDocument/2006/relationships/hyperlink" Target="https://pubmed.ncbi.nlm.nih.gov/?term=17003113%2C%2029968778%5Buid%5D" TargetMode="External"/><Relationship Id="rId552" Type="http://schemas.openxmlformats.org/officeDocument/2006/relationships/hyperlink" Target="https://pubmed.ncbi.nlm.nih.gov/?term=27378628%5Buid%5D" TargetMode="External"/><Relationship Id="rId997" Type="http://schemas.openxmlformats.org/officeDocument/2006/relationships/hyperlink" Target="https://www.ncbi.nlm.nih.gov/gene/7428" TargetMode="External"/><Relationship Id="rId1182" Type="http://schemas.openxmlformats.org/officeDocument/2006/relationships/hyperlink" Target="https://www.ncbi.nlm.nih.gov/gene/6097" TargetMode="External"/><Relationship Id="rId2026" Type="http://schemas.openxmlformats.org/officeDocument/2006/relationships/hyperlink" Target="https://www.uniprot.org/uniprot/P05362" TargetMode="External"/><Relationship Id="rId2233" Type="http://schemas.openxmlformats.org/officeDocument/2006/relationships/hyperlink" Target="https://www.uniprot.org/uniprot/O00570" TargetMode="External"/><Relationship Id="rId2440" Type="http://schemas.openxmlformats.org/officeDocument/2006/relationships/hyperlink" Target="https://www.uniprot.org/uniprot/P08253" TargetMode="External"/><Relationship Id="rId2678" Type="http://schemas.openxmlformats.org/officeDocument/2006/relationships/hyperlink" Target="https://www.uniprot.org/uniprot/O95832" TargetMode="External"/><Relationship Id="rId205" Type="http://schemas.openxmlformats.org/officeDocument/2006/relationships/hyperlink" Target="https://pubmed.ncbi.nlm.nih.gov/?term=28839145%5Buid%5D" TargetMode="External"/><Relationship Id="rId412" Type="http://schemas.openxmlformats.org/officeDocument/2006/relationships/hyperlink" Target="https://pubmed.ncbi.nlm.nih.gov/?term=22415136%2C%2031599032%5Buid%5D" TargetMode="External"/><Relationship Id="rId857" Type="http://schemas.openxmlformats.org/officeDocument/2006/relationships/hyperlink" Target="https://pubmed.ncbi.nlm.nih.gov/?term=31023317%5Buid%5D" TargetMode="External"/><Relationship Id="rId1042" Type="http://schemas.openxmlformats.org/officeDocument/2006/relationships/hyperlink" Target="https://www.ncbi.nlm.nih.gov/gene/7150" TargetMode="External"/><Relationship Id="rId1487" Type="http://schemas.openxmlformats.org/officeDocument/2006/relationships/hyperlink" Target="https://www.ncbi.nlm.nih.gov/gene/3569" TargetMode="External"/><Relationship Id="rId1694" Type="http://schemas.openxmlformats.org/officeDocument/2006/relationships/hyperlink" Target="https://www.ncbi.nlm.nih.gov/gene/3627" TargetMode="External"/><Relationship Id="rId2300" Type="http://schemas.openxmlformats.org/officeDocument/2006/relationships/hyperlink" Target="https://www.uniprot.org/uniprot/Q96I25" TargetMode="External"/><Relationship Id="rId2538" Type="http://schemas.openxmlformats.org/officeDocument/2006/relationships/hyperlink" Target="https://www.uniprot.org/uniprot/Q16665" TargetMode="External"/><Relationship Id="rId2745" Type="http://schemas.openxmlformats.org/officeDocument/2006/relationships/hyperlink" Target="https://www.uniprot.org/uniprot/Q16611" TargetMode="External"/><Relationship Id="rId717" Type="http://schemas.openxmlformats.org/officeDocument/2006/relationships/hyperlink" Target="https://pubmed.ncbi.nlm.nih.gov/?term=30072396%5Buid%5D" TargetMode="External"/><Relationship Id="rId924" Type="http://schemas.openxmlformats.org/officeDocument/2006/relationships/hyperlink" Target="https://pubmed.ncbi.nlm.nih.gov/?term=31653849%5Buid%5D" TargetMode="External"/><Relationship Id="rId1347" Type="http://schemas.openxmlformats.org/officeDocument/2006/relationships/hyperlink" Target="https://www.ncbi.nlm.nih.gov/gene/4763" TargetMode="External"/><Relationship Id="rId1554" Type="http://schemas.openxmlformats.org/officeDocument/2006/relationships/hyperlink" Target="https://www.ncbi.nlm.nih.gov/gene/9052" TargetMode="External"/><Relationship Id="rId1761" Type="http://schemas.openxmlformats.org/officeDocument/2006/relationships/hyperlink" Target="https://www.ncbi.nlm.nih.gov/gene/6347" TargetMode="External"/><Relationship Id="rId1999" Type="http://schemas.openxmlformats.org/officeDocument/2006/relationships/hyperlink" Target="https://www.uniprot.org/uniprot/Q92831" TargetMode="External"/><Relationship Id="rId2605" Type="http://schemas.openxmlformats.org/officeDocument/2006/relationships/hyperlink" Target="https://www.uniprot.org/uniprot/P14921" TargetMode="External"/><Relationship Id="rId53" Type="http://schemas.openxmlformats.org/officeDocument/2006/relationships/hyperlink" Target="https://pubmed.ncbi.nlm.nih.gov/?term=19533750%2C%2026982031%2C%2027765932%5Buid%5D" TargetMode="External"/><Relationship Id="rId1207" Type="http://schemas.openxmlformats.org/officeDocument/2006/relationships/hyperlink" Target="https://www.ncbi.nlm.nih.gov/gene/5925" TargetMode="External"/><Relationship Id="rId1414" Type="http://schemas.openxmlformats.org/officeDocument/2006/relationships/hyperlink" Target="https://www.ncbi.nlm.nih.gov/gene/5601" TargetMode="External"/><Relationship Id="rId1621" Type="http://schemas.openxmlformats.org/officeDocument/2006/relationships/hyperlink" Target="https://www.ncbi.nlm.nih.gov/gene/1909" TargetMode="External"/><Relationship Id="rId1859" Type="http://schemas.openxmlformats.org/officeDocument/2006/relationships/hyperlink" Target="https://www.ncbi.nlm.nih.gov/gene/208" TargetMode="External"/><Relationship Id="rId1719" Type="http://schemas.openxmlformats.org/officeDocument/2006/relationships/hyperlink" Target="https://www.ncbi.nlm.nih.gov/gene/1365" TargetMode="External"/><Relationship Id="rId1926" Type="http://schemas.openxmlformats.org/officeDocument/2006/relationships/hyperlink" Target="https://www.uniprot.org/uniprot/Q969G5" TargetMode="External"/><Relationship Id="rId2090" Type="http://schemas.openxmlformats.org/officeDocument/2006/relationships/hyperlink" Target="https://www.uniprot.org/uniprot/Q9HC84" TargetMode="External"/><Relationship Id="rId2188" Type="http://schemas.openxmlformats.org/officeDocument/2006/relationships/hyperlink" Target="https://www.uniprot.org/uniprot/Q92547" TargetMode="External"/><Relationship Id="rId2395" Type="http://schemas.openxmlformats.org/officeDocument/2006/relationships/hyperlink" Target="https://www.uniprot.org/uniprot/P15559" TargetMode="External"/><Relationship Id="rId367" Type="http://schemas.openxmlformats.org/officeDocument/2006/relationships/hyperlink" Target="https://pubmed.ncbi.nlm.nih.gov/?term=15149548%5Buid%5D" TargetMode="External"/><Relationship Id="rId574" Type="http://schemas.openxmlformats.org/officeDocument/2006/relationships/hyperlink" Target="https://pubmed.ncbi.nlm.nih.gov/?term=28790113%5Buid%5D" TargetMode="External"/><Relationship Id="rId2048" Type="http://schemas.openxmlformats.org/officeDocument/2006/relationships/hyperlink" Target="https://www.uniprot.org/uniprot/P08174" TargetMode="External"/><Relationship Id="rId2255" Type="http://schemas.openxmlformats.org/officeDocument/2006/relationships/hyperlink" Target="https://www.uniprot.org/uniprot/O75751" TargetMode="External"/><Relationship Id="rId227" Type="http://schemas.openxmlformats.org/officeDocument/2006/relationships/hyperlink" Target="https://pubmed.ncbi.nlm.nih.gov/?term=22333708%5Buid%5D" TargetMode="External"/><Relationship Id="rId781" Type="http://schemas.openxmlformats.org/officeDocument/2006/relationships/hyperlink" Target="https://pubmed.ncbi.nlm.nih.gov/?term=26671993,29515757,19784067" TargetMode="External"/><Relationship Id="rId879" Type="http://schemas.openxmlformats.org/officeDocument/2006/relationships/hyperlink" Target="https://pubmed.ncbi.nlm.nih.gov/?term=22248473%2C%2027779244%2C%2015150118%2C%2025656992%5Buid%5D" TargetMode="External"/><Relationship Id="rId2462" Type="http://schemas.openxmlformats.org/officeDocument/2006/relationships/hyperlink" Target="https://www.uniprot.org/uniprot/P28482" TargetMode="External"/><Relationship Id="rId2767" Type="http://schemas.openxmlformats.org/officeDocument/2006/relationships/hyperlink" Target="https://www.uniprot.org/uniprot/P00966" TargetMode="External"/><Relationship Id="rId434" Type="http://schemas.openxmlformats.org/officeDocument/2006/relationships/hyperlink" Target="https://pubmed.ncbi.nlm.nih.gov/?term=28383032%2C%2016697074%5Buid%5D" TargetMode="External"/><Relationship Id="rId641" Type="http://schemas.openxmlformats.org/officeDocument/2006/relationships/hyperlink" Target="https://pubmed.ncbi.nlm.nih.gov/?term=27533083%5Buid%5D" TargetMode="External"/><Relationship Id="rId739" Type="http://schemas.openxmlformats.org/officeDocument/2006/relationships/hyperlink" Target="https://pubmed.ncbi.nlm.nih.gov/?term=30544766%2C%2027140478%2C%2030013182%5Buid%5D" TargetMode="External"/><Relationship Id="rId1064" Type="http://schemas.openxmlformats.org/officeDocument/2006/relationships/hyperlink" Target="https://www.ncbi.nlm.nih.gov/gene/7052" TargetMode="External"/><Relationship Id="rId1271" Type="http://schemas.openxmlformats.org/officeDocument/2006/relationships/hyperlink" Target="https://www.ncbi.nlm.nih.gov/gene/5371" TargetMode="External"/><Relationship Id="rId1369" Type="http://schemas.openxmlformats.org/officeDocument/2006/relationships/hyperlink" Target="https://www.ncbi.nlm.nih.gov/gene/94025" TargetMode="External"/><Relationship Id="rId1576" Type="http://schemas.openxmlformats.org/officeDocument/2006/relationships/hyperlink" Target="https://www.ncbi.nlm.nih.gov/gene/27086" TargetMode="External"/><Relationship Id="rId2115" Type="http://schemas.openxmlformats.org/officeDocument/2006/relationships/hyperlink" Target="https://www.uniprot.org/uniprot/O43313" TargetMode="External"/><Relationship Id="rId2322" Type="http://schemas.openxmlformats.org/officeDocument/2006/relationships/hyperlink" Target="https://www.uniprot.org/uniprot/O43490" TargetMode="External"/><Relationship Id="rId501" Type="http://schemas.openxmlformats.org/officeDocument/2006/relationships/hyperlink" Target="https://pubmed.ncbi.nlm.nih.gov/?term=28530221%5Buid%5D" TargetMode="External"/><Relationship Id="rId946" Type="http://schemas.openxmlformats.org/officeDocument/2006/relationships/hyperlink" Target="https://www.ncbi.nlm.nih.gov/gene/6733" TargetMode="External"/><Relationship Id="rId1131" Type="http://schemas.openxmlformats.org/officeDocument/2006/relationships/hyperlink" Target="https://www.ncbi.nlm.nih.gov/gene/55630" TargetMode="External"/><Relationship Id="rId1229" Type="http://schemas.openxmlformats.org/officeDocument/2006/relationships/hyperlink" Target="https://www.ncbi.nlm.nih.gov/gene/5733" TargetMode="External"/><Relationship Id="rId1783" Type="http://schemas.openxmlformats.org/officeDocument/2006/relationships/hyperlink" Target="https://www.ncbi.nlm.nih.gov/gene/65980" TargetMode="External"/><Relationship Id="rId1990" Type="http://schemas.openxmlformats.org/officeDocument/2006/relationships/hyperlink" Target="https://www.uniprot.org/uniprot/Q01973" TargetMode="External"/><Relationship Id="rId2627" Type="http://schemas.openxmlformats.org/officeDocument/2006/relationships/hyperlink" Target="https://www.uniprot.org/uniprot/P18146" TargetMode="External"/><Relationship Id="rId75" Type="http://schemas.openxmlformats.org/officeDocument/2006/relationships/hyperlink" Target="https://pubmed.ncbi.nlm.nih.gov/?term=25560806%2C%2023723247%5Buid%5D" TargetMode="External"/><Relationship Id="rId806" Type="http://schemas.openxmlformats.org/officeDocument/2006/relationships/hyperlink" Target="https://pubmed.ncbi.nlm.nih.gov/?term=23578204%5Buid%5D" TargetMode="External"/><Relationship Id="rId1436" Type="http://schemas.openxmlformats.org/officeDocument/2006/relationships/hyperlink" Target="https://www.ncbi.nlm.nih.gov/gene/56413" TargetMode="External"/><Relationship Id="rId1643" Type="http://schemas.openxmlformats.org/officeDocument/2006/relationships/hyperlink" Target="https://www.ncbi.nlm.nih.gov/gene/1977" TargetMode="External"/><Relationship Id="rId1850" Type="http://schemas.openxmlformats.org/officeDocument/2006/relationships/hyperlink" Target="https://www.ncbi.nlm.nih.gov/gene/306" TargetMode="External"/><Relationship Id="rId1503" Type="http://schemas.openxmlformats.org/officeDocument/2006/relationships/hyperlink" Target="https://www.ncbi.nlm.nih.gov/gene/27429" TargetMode="External"/><Relationship Id="rId1710" Type="http://schemas.openxmlformats.org/officeDocument/2006/relationships/hyperlink" Target="https://www.ncbi.nlm.nih.gov/gene/1301" TargetMode="External"/><Relationship Id="rId1948" Type="http://schemas.openxmlformats.org/officeDocument/2006/relationships/hyperlink" Target="https://www.uniprot.org/uniprot/Q14160" TargetMode="External"/><Relationship Id="rId291" Type="http://schemas.openxmlformats.org/officeDocument/2006/relationships/hyperlink" Target="https://pubmed.ncbi.nlm.nih.gov/?term=26385482%2C%2017106252%5Buid%5D" TargetMode="External"/><Relationship Id="rId1808" Type="http://schemas.openxmlformats.org/officeDocument/2006/relationships/hyperlink" Target="https://www.ncbi.nlm.nih.gov/gene/581" TargetMode="External"/><Relationship Id="rId151" Type="http://schemas.openxmlformats.org/officeDocument/2006/relationships/hyperlink" Target="https://pubmed.ncbi.nlm.nih.gov/?term=30293817%2C%2026966728%2C%2025255219%2C%2029713760%5Buid%5D" TargetMode="External"/><Relationship Id="rId389" Type="http://schemas.openxmlformats.org/officeDocument/2006/relationships/hyperlink" Target="https://pubmed.ncbi.nlm.nih.gov/?term=21888831%2C%2029017331%2C%2032848724%2C%2016080521%2C%2011403922%2C%2026872057%5Buid%5D" TargetMode="External"/><Relationship Id="rId596" Type="http://schemas.openxmlformats.org/officeDocument/2006/relationships/hyperlink" Target="https://pubmed.ncbi.nlm.nih.gov/?term=22266184%5Buid%5D" TargetMode="External"/><Relationship Id="rId2277" Type="http://schemas.openxmlformats.org/officeDocument/2006/relationships/hyperlink" Target="https://www.uniprot.org/uniprot/Q9UBS0" TargetMode="External"/><Relationship Id="rId2484" Type="http://schemas.openxmlformats.org/officeDocument/2006/relationships/hyperlink" Target="https://www.uniprot.org/uniprot/P17931" TargetMode="External"/><Relationship Id="rId2691" Type="http://schemas.openxmlformats.org/officeDocument/2006/relationships/hyperlink" Target="https://www.uniprot.org/uniprot/P11802" TargetMode="External"/><Relationship Id="rId249" Type="http://schemas.openxmlformats.org/officeDocument/2006/relationships/hyperlink" Target="https://pubmed.ncbi.nlm.nih.gov/?term=24080033%2C%2026935993%5Buid%5D" TargetMode="External"/><Relationship Id="rId456" Type="http://schemas.openxmlformats.org/officeDocument/2006/relationships/hyperlink" Target="https://pubmed.ncbi.nlm.nih.gov/?term=20487264%2C%2024722796%2C%2026134445%5Buid%5D" TargetMode="External"/><Relationship Id="rId663" Type="http://schemas.openxmlformats.org/officeDocument/2006/relationships/hyperlink" Target="https://pubmed.ncbi.nlm.nih.gov/?term=27779244%2C%2029805561%2C%2030650069%5Buid%5D" TargetMode="External"/><Relationship Id="rId870" Type="http://schemas.openxmlformats.org/officeDocument/2006/relationships/hyperlink" Target="https://pubmed.ncbi.nlm.nih.gov/?term=32238696%5Buid%5D" TargetMode="External"/><Relationship Id="rId1086" Type="http://schemas.openxmlformats.org/officeDocument/2006/relationships/hyperlink" Target="https://www.ncbi.nlm.nih.gov/gene/9263" TargetMode="External"/><Relationship Id="rId1293" Type="http://schemas.openxmlformats.org/officeDocument/2006/relationships/hyperlink" Target="https://www.ncbi.nlm.nih.gov/gene/8864" TargetMode="External"/><Relationship Id="rId2137" Type="http://schemas.openxmlformats.org/officeDocument/2006/relationships/hyperlink" Target="https://www.uniprot.org/uniprot/P25101" TargetMode="External"/><Relationship Id="rId2344" Type="http://schemas.openxmlformats.org/officeDocument/2006/relationships/hyperlink" Target="https://www.uniprot.org/uniprot/Q9NRF9" TargetMode="External"/><Relationship Id="rId2551" Type="http://schemas.openxmlformats.org/officeDocument/2006/relationships/hyperlink" Target="https://www.uniprot.org/uniprot/Q9Y2Q3" TargetMode="External"/><Relationship Id="rId2789" Type="http://schemas.openxmlformats.org/officeDocument/2006/relationships/hyperlink" Target="https://www.uniprot.org/uniprot/Q8TD06" TargetMode="External"/><Relationship Id="rId109" Type="http://schemas.openxmlformats.org/officeDocument/2006/relationships/hyperlink" Target="https://pubmed.ncbi.nlm.nih.gov/?term=28714904%2C%2032457312%5Buid%5D" TargetMode="External"/><Relationship Id="rId316" Type="http://schemas.openxmlformats.org/officeDocument/2006/relationships/hyperlink" Target="https://pubmed.ncbi.nlm.nih.gov/?term=24814195%2C%2029716743%2C%2020210796%2C%2019160093%2C%2028664915%2C%2026857210%5Buid%5D" TargetMode="External"/><Relationship Id="rId523" Type="http://schemas.openxmlformats.org/officeDocument/2006/relationships/hyperlink" Target="https://pubmed.ncbi.nlm.nih.gov/?term=16061661%2C%2027623342%2C%2029808689%2C%2033750814%20%5Buid%5D" TargetMode="External"/><Relationship Id="rId968" Type="http://schemas.openxmlformats.org/officeDocument/2006/relationships/hyperlink" Target="https://www.ncbi.nlm.nih.gov/gene/7702" TargetMode="External"/><Relationship Id="rId1153" Type="http://schemas.openxmlformats.org/officeDocument/2006/relationships/hyperlink" Target="https://www.ncbi.nlm.nih.gov/gene/27244" TargetMode="External"/><Relationship Id="rId1598" Type="http://schemas.openxmlformats.org/officeDocument/2006/relationships/hyperlink" Target="https://www.ncbi.nlm.nih.gov/gene/355" TargetMode="External"/><Relationship Id="rId2204" Type="http://schemas.openxmlformats.org/officeDocument/2006/relationships/hyperlink" Target="https://www.uniprot.org/uniprot/P07996" TargetMode="External"/><Relationship Id="rId2649" Type="http://schemas.openxmlformats.org/officeDocument/2006/relationships/hyperlink" Target="https://www.uniprot.org/uniprot/Q9H816" TargetMode="External"/><Relationship Id="rId97" Type="http://schemas.openxmlformats.org/officeDocument/2006/relationships/hyperlink" Target="https://pubmed.ncbi.nlm.nih.gov/?term=29769618%2C%2011145600%2C%2022669575%2C%2028804784%5Buid%5D" TargetMode="External"/><Relationship Id="rId730" Type="http://schemas.openxmlformats.org/officeDocument/2006/relationships/hyperlink" Target="https://pubmed.ncbi.nlm.nih.gov/?term=26186909%5Buid%5D" TargetMode="External"/><Relationship Id="rId828" Type="http://schemas.openxmlformats.org/officeDocument/2006/relationships/hyperlink" Target="https://pubmed.ncbi.nlm.nih.gov/?term=31570278%2C%2030404004%2C%2032355773%2C%2032817374%5Buid%5D" TargetMode="External"/><Relationship Id="rId1013" Type="http://schemas.openxmlformats.org/officeDocument/2006/relationships/hyperlink" Target="https://www.ncbi.nlm.nih.gov/gene/7345" TargetMode="External"/><Relationship Id="rId1360" Type="http://schemas.openxmlformats.org/officeDocument/2006/relationships/hyperlink" Target="https://www.ncbi.nlm.nih.gov/gene/79923" TargetMode="External"/><Relationship Id="rId1458" Type="http://schemas.openxmlformats.org/officeDocument/2006/relationships/hyperlink" Target="https://www.ncbi.nlm.nih.gov/gene/688" TargetMode="External"/><Relationship Id="rId1665" Type="http://schemas.openxmlformats.org/officeDocument/2006/relationships/hyperlink" Target="https://www.ncbi.nlm.nih.gov/gene/1828" TargetMode="External"/><Relationship Id="rId1872" Type="http://schemas.openxmlformats.org/officeDocument/2006/relationships/hyperlink" Target="https://www.ncbi.nlm.nih.gov/gene/81" TargetMode="External"/><Relationship Id="rId2411" Type="http://schemas.openxmlformats.org/officeDocument/2006/relationships/hyperlink" Target="https://www.uniprot.org/uniprot/Q9Y6Q9" TargetMode="External"/><Relationship Id="rId2509" Type="http://schemas.openxmlformats.org/officeDocument/2006/relationships/hyperlink" Target="https://www.uniprot.org/uniprot/P08648" TargetMode="External"/><Relationship Id="rId2716" Type="http://schemas.openxmlformats.org/officeDocument/2006/relationships/hyperlink" Target="https://www.uniprot.org/uniprot/P42575" TargetMode="External"/><Relationship Id="rId1220" Type="http://schemas.openxmlformats.org/officeDocument/2006/relationships/hyperlink" Target="https://www.ncbi.nlm.nih.gov/gene/7879" TargetMode="External"/><Relationship Id="rId1318" Type="http://schemas.openxmlformats.org/officeDocument/2006/relationships/hyperlink" Target="https://www.ncbi.nlm.nih.gov/gene/79728" TargetMode="External"/><Relationship Id="rId1525" Type="http://schemas.openxmlformats.org/officeDocument/2006/relationships/hyperlink" Target="https://www.ncbi.nlm.nih.gov/gene/28996" TargetMode="External"/><Relationship Id="rId1732" Type="http://schemas.openxmlformats.org/officeDocument/2006/relationships/hyperlink" Target="https://www.ncbi.nlm.nih.gov/gene/1027" TargetMode="External"/><Relationship Id="rId24" Type="http://schemas.openxmlformats.org/officeDocument/2006/relationships/hyperlink" Target="https://pubmed.ncbi.nlm.nih.gov/?term=18283299%5Buid%5D" TargetMode="External"/><Relationship Id="rId2299" Type="http://schemas.openxmlformats.org/officeDocument/2006/relationships/hyperlink" Target="https://www.uniprot.org/uniprot/P98179" TargetMode="External"/><Relationship Id="rId173" Type="http://schemas.openxmlformats.org/officeDocument/2006/relationships/hyperlink" Target="https://pubmed.ncbi.nlm.nih.gov/?term=28614291%2C%2032754286%5Buid%5D" TargetMode="External"/><Relationship Id="rId380" Type="http://schemas.openxmlformats.org/officeDocument/2006/relationships/hyperlink" Target="https://pubmed.ncbi.nlm.nih.gov/?term=29660518%5Buid%5D" TargetMode="External"/><Relationship Id="rId2061" Type="http://schemas.openxmlformats.org/officeDocument/2006/relationships/hyperlink" Target="https://www.uniprot.org/uniprot/P14207" TargetMode="External"/><Relationship Id="rId240" Type="http://schemas.openxmlformats.org/officeDocument/2006/relationships/hyperlink" Target="https://pubmed.ncbi.nlm.nih.gov/?term=11391854%5Buid%5D" TargetMode="External"/><Relationship Id="rId478" Type="http://schemas.openxmlformats.org/officeDocument/2006/relationships/hyperlink" Target="https://pubmed.ncbi.nlm.nih.gov/?term=9926932%5Buid%5D" TargetMode="External"/><Relationship Id="rId685" Type="http://schemas.openxmlformats.org/officeDocument/2006/relationships/hyperlink" Target="https://pubmed.ncbi.nlm.nih.gov/?term=15126333%2C%2027465554%5Buid%5D" TargetMode="External"/><Relationship Id="rId892" Type="http://schemas.openxmlformats.org/officeDocument/2006/relationships/hyperlink" Target="https://pubmed.ncbi.nlm.nih.gov/?term=21357694%2C%2028110804%5Buid%5D" TargetMode="External"/><Relationship Id="rId2159" Type="http://schemas.openxmlformats.org/officeDocument/2006/relationships/hyperlink" Target="https://www.uniprot.org/uniprot/Q6GPH4" TargetMode="External"/><Relationship Id="rId2366" Type="http://schemas.openxmlformats.org/officeDocument/2006/relationships/hyperlink" Target="https://www.uniprot.org/uniprot/Q5T2W1" TargetMode="External"/><Relationship Id="rId2573" Type="http://schemas.openxmlformats.org/officeDocument/2006/relationships/hyperlink" Target="https://www.uniprot.org/uniprot/O43524" TargetMode="External"/><Relationship Id="rId2780" Type="http://schemas.openxmlformats.org/officeDocument/2006/relationships/hyperlink" Target="https://www.uniprot.org/uniprot/P00352" TargetMode="External"/><Relationship Id="rId100" Type="http://schemas.openxmlformats.org/officeDocument/2006/relationships/hyperlink" Target="https://pubmed.ncbi.nlm.nih.gov/?term=23188704%5Buid%5D" TargetMode="External"/><Relationship Id="rId338" Type="http://schemas.openxmlformats.org/officeDocument/2006/relationships/hyperlink" Target="https://pubmed.ncbi.nlm.nih.gov/?term=30015866%2C%2024458516%5Buid%5D" TargetMode="External"/><Relationship Id="rId545" Type="http://schemas.openxmlformats.org/officeDocument/2006/relationships/hyperlink" Target="https://pubmed.ncbi.nlm.nih.gov/?term=28379054%5Buid%5D" TargetMode="External"/><Relationship Id="rId752" Type="http://schemas.openxmlformats.org/officeDocument/2006/relationships/hyperlink" Target="https://pubmed.ncbi.nlm.nih.gov/?term=31472149%5Buid%5D" TargetMode="External"/><Relationship Id="rId1175" Type="http://schemas.openxmlformats.org/officeDocument/2006/relationships/hyperlink" Target="https://www.ncbi.nlm.nih.gov/gene/6197" TargetMode="External"/><Relationship Id="rId1382" Type="http://schemas.openxmlformats.org/officeDocument/2006/relationships/hyperlink" Target="https://www.ncbi.nlm.nih.gov/gene/4437" TargetMode="External"/><Relationship Id="rId2019" Type="http://schemas.openxmlformats.org/officeDocument/2006/relationships/hyperlink" Target="https://www.uniprot.org/uniprot/Q6P5W5" TargetMode="External"/><Relationship Id="rId2226" Type="http://schemas.openxmlformats.org/officeDocument/2006/relationships/hyperlink" Target="https://www.uniprot.org/uniprot/Q08170" TargetMode="External"/><Relationship Id="rId2433" Type="http://schemas.openxmlformats.org/officeDocument/2006/relationships/hyperlink" Target="https://www.uniprot.org/uniprot/O43196" TargetMode="External"/><Relationship Id="rId2640" Type="http://schemas.openxmlformats.org/officeDocument/2006/relationships/hyperlink" Target="https://www.uniprot.org/uniprot/O94907" TargetMode="External"/><Relationship Id="rId405" Type="http://schemas.openxmlformats.org/officeDocument/2006/relationships/hyperlink" Target="https://pubmed.ncbi.nlm.nih.gov/?term=8938138%2C%2017096856%5Buid%5D" TargetMode="External"/><Relationship Id="rId612" Type="http://schemas.openxmlformats.org/officeDocument/2006/relationships/hyperlink" Target="https://pubmed.ncbi.nlm.nih.gov/?term=32581546%2C%2032386122%2C%2025719555%2C%2033284994%5Buid%5D" TargetMode="External"/><Relationship Id="rId1035" Type="http://schemas.openxmlformats.org/officeDocument/2006/relationships/hyperlink" Target="https://www.ncbi.nlm.nih.gov/gene/94241" TargetMode="External"/><Relationship Id="rId1242" Type="http://schemas.openxmlformats.org/officeDocument/2006/relationships/hyperlink" Target="https://www.ncbi.nlm.nih.gov/gene/5579" TargetMode="External"/><Relationship Id="rId1687" Type="http://schemas.openxmlformats.org/officeDocument/2006/relationships/hyperlink" Target="https://www.ncbi.nlm.nih.gov/gene/51339" TargetMode="External"/><Relationship Id="rId1894" Type="http://schemas.openxmlformats.org/officeDocument/2006/relationships/hyperlink" Target="https://www.uniprot.org/uniprot/Q14094" TargetMode="External"/><Relationship Id="rId2500" Type="http://schemas.openxmlformats.org/officeDocument/2006/relationships/hyperlink" Target="https://www.uniprot.org/uniprot/P17535" TargetMode="External"/><Relationship Id="rId2738" Type="http://schemas.openxmlformats.org/officeDocument/2006/relationships/hyperlink" Target="https://www.uniprot.org/uniprot/Q07817" TargetMode="External"/><Relationship Id="rId917" Type="http://schemas.openxmlformats.org/officeDocument/2006/relationships/hyperlink" Target="https://pubmed.ncbi.nlm.nih.gov/?term=31275435%2C%2019192406%5Buid%5D" TargetMode="External"/><Relationship Id="rId1102" Type="http://schemas.openxmlformats.org/officeDocument/2006/relationships/hyperlink" Target="https://www.ncbi.nlm.nih.gov/gene/6696" TargetMode="External"/><Relationship Id="rId1547" Type="http://schemas.openxmlformats.org/officeDocument/2006/relationships/hyperlink" Target="https://www.ncbi.nlm.nih.gov/gene/27165" TargetMode="External"/><Relationship Id="rId1754" Type="http://schemas.openxmlformats.org/officeDocument/2006/relationships/hyperlink" Target="https://www.ncbi.nlm.nih.gov/gene/10983" TargetMode="External"/><Relationship Id="rId1961" Type="http://schemas.openxmlformats.org/officeDocument/2006/relationships/hyperlink" Target="https://www.uniprot.org/uniprot/Q8TAF3" TargetMode="External"/><Relationship Id="rId2805" Type="http://schemas.openxmlformats.org/officeDocument/2006/relationships/hyperlink" Target="https://www.uniprot.org/uniprot/P08183" TargetMode="External"/><Relationship Id="rId46" Type="http://schemas.openxmlformats.org/officeDocument/2006/relationships/hyperlink" Target="https://pubmed.ncbi.nlm.nih.gov/?term=28459431%5Buid%5D" TargetMode="External"/><Relationship Id="rId1407" Type="http://schemas.openxmlformats.org/officeDocument/2006/relationships/hyperlink" Target="https://www.ncbi.nlm.nih.gov/gene/4194" TargetMode="External"/><Relationship Id="rId1614" Type="http://schemas.openxmlformats.org/officeDocument/2006/relationships/hyperlink" Target="https://www.ncbi.nlm.nih.gov/gene/8772" TargetMode="External"/><Relationship Id="rId1821" Type="http://schemas.openxmlformats.org/officeDocument/2006/relationships/hyperlink" Target="https://www.ncbi.nlm.nih.gov/gene/529" TargetMode="External"/><Relationship Id="rId195" Type="http://schemas.openxmlformats.org/officeDocument/2006/relationships/hyperlink" Target="https://pubmed.ncbi.nlm.nih.gov/?term=31205536%5Buid%5D" TargetMode="External"/><Relationship Id="rId1919" Type="http://schemas.openxmlformats.org/officeDocument/2006/relationships/hyperlink" Target="https://www.uniprot.org/uniprot/Q9GZX6" TargetMode="External"/><Relationship Id="rId2083" Type="http://schemas.openxmlformats.org/officeDocument/2006/relationships/hyperlink" Target="https://www.uniprot.org/uniprot/P14618" TargetMode="External"/><Relationship Id="rId2290" Type="http://schemas.openxmlformats.org/officeDocument/2006/relationships/hyperlink" Target="https://www.uniprot.org/uniprot/P35250" TargetMode="External"/><Relationship Id="rId2388" Type="http://schemas.openxmlformats.org/officeDocument/2006/relationships/hyperlink" Target="https://www.uniprot.org/uniprot/P30990" TargetMode="External"/><Relationship Id="rId2595" Type="http://schemas.openxmlformats.org/officeDocument/2006/relationships/hyperlink" Target="https://www.uniprot.org/uniprot/Q9HB96" TargetMode="External"/><Relationship Id="rId262" Type="http://schemas.openxmlformats.org/officeDocument/2006/relationships/hyperlink" Target="https://pubmed.ncbi.nlm.nih.gov/?term=16112085%2C%2023274876%2C%2014679128%2C%2028989055%2C%2019575783%2C%2018337622%5Buid%5D" TargetMode="External"/><Relationship Id="rId567" Type="http://schemas.openxmlformats.org/officeDocument/2006/relationships/hyperlink" Target="https://pubmed.ncbi.nlm.nih.gov/?term=23720056%5Buid%5D" TargetMode="External"/><Relationship Id="rId1197" Type="http://schemas.openxmlformats.org/officeDocument/2006/relationships/hyperlink" Target="https://www.ncbi.nlm.nih.gov/gene/51455" TargetMode="External"/><Relationship Id="rId2150" Type="http://schemas.openxmlformats.org/officeDocument/2006/relationships/hyperlink" Target="https://www.uniprot.org/uniprot/Q13426" TargetMode="External"/><Relationship Id="rId2248" Type="http://schemas.openxmlformats.org/officeDocument/2006/relationships/hyperlink" Target="https://www.uniprot.org/uniprot/Q9NP59" TargetMode="External"/><Relationship Id="rId122" Type="http://schemas.openxmlformats.org/officeDocument/2006/relationships/hyperlink" Target="https://pubmed.ncbi.nlm.nih.gov/?term=18842681%2C%2016357177%5Buid%5D" TargetMode="External"/><Relationship Id="rId774" Type="http://schemas.openxmlformats.org/officeDocument/2006/relationships/hyperlink" Target="https://pubmed.ncbi.nlm.nih.gov/?term=28085111%2C%2029867145%5Buid%5D" TargetMode="External"/><Relationship Id="rId981" Type="http://schemas.openxmlformats.org/officeDocument/2006/relationships/hyperlink" Target="https://www.ncbi.nlm.nih.gov/gene/7518" TargetMode="External"/><Relationship Id="rId1057" Type="http://schemas.openxmlformats.org/officeDocument/2006/relationships/hyperlink" Target="https://www.ncbi.nlm.nih.gov/gene/7078" TargetMode="External"/><Relationship Id="rId2010" Type="http://schemas.openxmlformats.org/officeDocument/2006/relationships/hyperlink" Target="https://www.uniprot.org/uniprot/P40792" TargetMode="External"/><Relationship Id="rId2455" Type="http://schemas.openxmlformats.org/officeDocument/2006/relationships/hyperlink" Target="https://www.uniprot.org/uniprot/P45984" TargetMode="External"/><Relationship Id="rId2662" Type="http://schemas.openxmlformats.org/officeDocument/2006/relationships/hyperlink" Target="https://www.uniprot.org/uniprot/P35221" TargetMode="External"/><Relationship Id="rId427" Type="http://schemas.openxmlformats.org/officeDocument/2006/relationships/hyperlink" Target="https://pubmed.ncbi.nlm.nih.gov/?term=23942796%5Buid%5D" TargetMode="External"/><Relationship Id="rId634" Type="http://schemas.openxmlformats.org/officeDocument/2006/relationships/hyperlink" Target="https://pubmed.ncbi.nlm.nih.gov/?term=30038717%2C%2024449906%5Buid%5D" TargetMode="External"/><Relationship Id="rId841" Type="http://schemas.openxmlformats.org/officeDocument/2006/relationships/hyperlink" Target="https://pubmed.ncbi.nlm.nih.gov/?term=28384067%2C%2029587485%5Buid%5D" TargetMode="External"/><Relationship Id="rId1264" Type="http://schemas.openxmlformats.org/officeDocument/2006/relationships/hyperlink" Target="https://www.ncbi.nlm.nih.gov/gene/10714" TargetMode="External"/><Relationship Id="rId1471" Type="http://schemas.openxmlformats.org/officeDocument/2006/relationships/hyperlink" Target="https://www.ncbi.nlm.nih.gov/gene/3727" TargetMode="External"/><Relationship Id="rId1569" Type="http://schemas.openxmlformats.org/officeDocument/2006/relationships/hyperlink" Target="https://www.ncbi.nlm.nih.gov/gene/90480" TargetMode="External"/><Relationship Id="rId2108" Type="http://schemas.openxmlformats.org/officeDocument/2006/relationships/hyperlink" Target="https://www.uniprot.org/uniprot/Q6UW68" TargetMode="External"/><Relationship Id="rId2315" Type="http://schemas.openxmlformats.org/officeDocument/2006/relationships/hyperlink" Target="https://www.uniprot.org/uniprot/P60484" TargetMode="External"/><Relationship Id="rId2522" Type="http://schemas.openxmlformats.org/officeDocument/2006/relationships/hyperlink" Target="https://www.uniprot.org/uniprot/P04792" TargetMode="External"/><Relationship Id="rId701" Type="http://schemas.openxmlformats.org/officeDocument/2006/relationships/hyperlink" Target="https://pubmed.ncbi.nlm.nih.gov/?term=16495473%2C%2029864443%2C%2029598900%5Buid%5D" TargetMode="External"/><Relationship Id="rId939" Type="http://schemas.openxmlformats.org/officeDocument/2006/relationships/hyperlink" Target="https://www.uniprot.org/uniprot/P05023" TargetMode="External"/><Relationship Id="rId1124" Type="http://schemas.openxmlformats.org/officeDocument/2006/relationships/hyperlink" Target="https://www.ncbi.nlm.nih.gov/gene/91607" TargetMode="External"/><Relationship Id="rId1331" Type="http://schemas.openxmlformats.org/officeDocument/2006/relationships/hyperlink" Target="https://www.ncbi.nlm.nih.gov/gene/3164" TargetMode="External"/><Relationship Id="rId1776" Type="http://schemas.openxmlformats.org/officeDocument/2006/relationships/hyperlink" Target="https://www.ncbi.nlm.nih.gov/gene/823" TargetMode="External"/><Relationship Id="rId1983" Type="http://schemas.openxmlformats.org/officeDocument/2006/relationships/hyperlink" Target="https://www.uniprot.org/uniprot/P49662" TargetMode="External"/><Relationship Id="rId68" Type="http://schemas.openxmlformats.org/officeDocument/2006/relationships/hyperlink" Target="https://pubmed.ncbi.nlm.nih.gov/?term=11519050%2C%2015547183%2C%2028592880%5Buid%5D" TargetMode="External"/><Relationship Id="rId1429" Type="http://schemas.openxmlformats.org/officeDocument/2006/relationships/hyperlink" Target="https://www.ncbi.nlm.nih.gov/gene/84557" TargetMode="External"/><Relationship Id="rId1636" Type="http://schemas.openxmlformats.org/officeDocument/2006/relationships/hyperlink" Target="https://www.ncbi.nlm.nih.gov/gene/5168" TargetMode="External"/><Relationship Id="rId1843" Type="http://schemas.openxmlformats.org/officeDocument/2006/relationships/hyperlink" Target="https://www.ncbi.nlm.nih.gov/gene/397" TargetMode="External"/><Relationship Id="rId1703" Type="http://schemas.openxmlformats.org/officeDocument/2006/relationships/hyperlink" Target="https://www.ncbi.nlm.nih.gov/gene/1410" TargetMode="External"/><Relationship Id="rId1910" Type="http://schemas.openxmlformats.org/officeDocument/2006/relationships/hyperlink" Target="https://www.uniprot.org/uniprot/Q16763" TargetMode="External"/><Relationship Id="rId284" Type="http://schemas.openxmlformats.org/officeDocument/2006/relationships/hyperlink" Target="https://pubmed.ncbi.nlm.nih.gov/?term=27626685%5Buid%5D" TargetMode="External"/><Relationship Id="rId491" Type="http://schemas.openxmlformats.org/officeDocument/2006/relationships/hyperlink" Target="https://pubmed.ncbi.nlm.nih.gov/?term=30648820%2C%2023401855.%2026215093%5Buid%5D" TargetMode="External"/><Relationship Id="rId2172" Type="http://schemas.openxmlformats.org/officeDocument/2006/relationships/hyperlink" Target="https://www.uniprot.org/uniprot/Q16739" TargetMode="External"/><Relationship Id="rId144" Type="http://schemas.openxmlformats.org/officeDocument/2006/relationships/hyperlink" Target="https://pubmed.ncbi.nlm.nih.gov/?term=27044825%2C%2022010829%2C%2024885116%5Buid%5D" TargetMode="External"/><Relationship Id="rId589" Type="http://schemas.openxmlformats.org/officeDocument/2006/relationships/hyperlink" Target="https://pubmed.ncbi.nlm.nih.gov/?term=27443740%5Buid%5D" TargetMode="External"/><Relationship Id="rId796" Type="http://schemas.openxmlformats.org/officeDocument/2006/relationships/hyperlink" Target="https://pubmed.ncbi.nlm.nih.gov/?term=18992864%2C%2025014664%2C%2017235047%5Buid%5D" TargetMode="External"/><Relationship Id="rId2477" Type="http://schemas.openxmlformats.org/officeDocument/2006/relationships/hyperlink" Target="https://www.uniprot.org/uniprot/Q8IWT6" TargetMode="External"/><Relationship Id="rId2684" Type="http://schemas.openxmlformats.org/officeDocument/2006/relationships/hyperlink" Target="https://www.uniprot.org/uniprot/O15519" TargetMode="External"/><Relationship Id="rId351" Type="http://schemas.openxmlformats.org/officeDocument/2006/relationships/hyperlink" Target="https://pubmed.ncbi.nlm.nih.gov/?term=23330092%2C%2029845423%5Buid%5D" TargetMode="External"/><Relationship Id="rId449" Type="http://schemas.openxmlformats.org/officeDocument/2006/relationships/hyperlink" Target="https://pubmed.ncbi.nlm.nih.gov/?term=27876874%2C%2029152102%2C%2021097529%2C%2022088438%5Buid%5D" TargetMode="External"/><Relationship Id="rId656" Type="http://schemas.openxmlformats.org/officeDocument/2006/relationships/hyperlink" Target="https://pubmed.ncbi.nlm.nih.gov/?term=26300055%2C%2027554045%2C%2016166454%2C%207635571%2C%2020654585%2C%2019117992%5Buid%5D" TargetMode="External"/><Relationship Id="rId863" Type="http://schemas.openxmlformats.org/officeDocument/2006/relationships/hyperlink" Target="https://pubmed.ncbi.nlm.nih.gov/?term=29028101%2C%2026003539%5Buid%5D" TargetMode="External"/><Relationship Id="rId1079" Type="http://schemas.openxmlformats.org/officeDocument/2006/relationships/hyperlink" Target="https://www.ncbi.nlm.nih.gov/gene/6909" TargetMode="External"/><Relationship Id="rId1286" Type="http://schemas.openxmlformats.org/officeDocument/2006/relationships/hyperlink" Target="https://www.ncbi.nlm.nih.gov/gene/5290" TargetMode="External"/><Relationship Id="rId1493" Type="http://schemas.openxmlformats.org/officeDocument/2006/relationships/hyperlink" Target="https://www.ncbi.nlm.nih.gov/gene/3589" TargetMode="External"/><Relationship Id="rId2032" Type="http://schemas.openxmlformats.org/officeDocument/2006/relationships/hyperlink" Target="https://www.uniprot.org/uniprot/Q12983" TargetMode="External"/><Relationship Id="rId2337" Type="http://schemas.openxmlformats.org/officeDocument/2006/relationships/hyperlink" Target="https://www.uniprot.org/uniprot/O15297" TargetMode="External"/><Relationship Id="rId2544" Type="http://schemas.openxmlformats.org/officeDocument/2006/relationships/hyperlink" Target="https://www.uniprot.org/uniprot/Q9NWW0" TargetMode="External"/><Relationship Id="rId211" Type="http://schemas.openxmlformats.org/officeDocument/2006/relationships/hyperlink" Target="https://pubmed.ncbi.nlm.nih.gov/?term=21785230%5Buid%5D" TargetMode="External"/><Relationship Id="rId309" Type="http://schemas.openxmlformats.org/officeDocument/2006/relationships/hyperlink" Target="https://pubmed.ncbi.nlm.nih.gov/?term=21571862%5Buid%5D" TargetMode="External"/><Relationship Id="rId516" Type="http://schemas.openxmlformats.org/officeDocument/2006/relationships/hyperlink" Target="https://pubmed.ncbi.nlm.nih.gov/?term=27578576%2C%2025966119%2C%2030038702%2C%2010470370%2C%2021285347%20%5Buid%5D" TargetMode="External"/><Relationship Id="rId1146" Type="http://schemas.openxmlformats.org/officeDocument/2006/relationships/hyperlink" Target="https://www.ncbi.nlm.nih.gov/gene/23411" TargetMode="External"/><Relationship Id="rId1798" Type="http://schemas.openxmlformats.org/officeDocument/2006/relationships/hyperlink" Target="https://www.ncbi.nlm.nih.gov/gene/637" TargetMode="External"/><Relationship Id="rId2751" Type="http://schemas.openxmlformats.org/officeDocument/2006/relationships/hyperlink" Target="https://www.uniprot.org/uniprot/P35670" TargetMode="External"/><Relationship Id="rId723" Type="http://schemas.openxmlformats.org/officeDocument/2006/relationships/hyperlink" Target="https://pubmed.ncbi.nlm.nih.gov/?term=29642900%2C%2032667058%2C%2017508026%5Buid%5D" TargetMode="External"/><Relationship Id="rId930" Type="http://schemas.openxmlformats.org/officeDocument/2006/relationships/hyperlink" Target="https://pubmed.ncbi.nlm.nih.gov/?term=28942243%2C%2032083004%2C%2026451776%5Buid%5D" TargetMode="External"/><Relationship Id="rId1006" Type="http://schemas.openxmlformats.org/officeDocument/2006/relationships/hyperlink" Target="https://www.ncbi.nlm.nih.gov/gene/8975" TargetMode="External"/><Relationship Id="rId1353" Type="http://schemas.openxmlformats.org/officeDocument/2006/relationships/hyperlink" Target="https://www.ncbi.nlm.nih.gov/gene/4734" TargetMode="External"/><Relationship Id="rId1560" Type="http://schemas.openxmlformats.org/officeDocument/2006/relationships/hyperlink" Target="https://www.ncbi.nlm.nih.gov/gene/2735" TargetMode="External"/><Relationship Id="rId1658" Type="http://schemas.openxmlformats.org/officeDocument/2006/relationships/hyperlink" Target="https://www.ncbi.nlm.nih.gov/gene/8445" TargetMode="External"/><Relationship Id="rId1865" Type="http://schemas.openxmlformats.org/officeDocument/2006/relationships/hyperlink" Target="https://www.ncbi.nlm.nih.gov/gene/57016" TargetMode="External"/><Relationship Id="rId2404" Type="http://schemas.openxmlformats.org/officeDocument/2006/relationships/hyperlink" Target="https://www.uniprot.org/uniprot/P19838" TargetMode="External"/><Relationship Id="rId2611" Type="http://schemas.openxmlformats.org/officeDocument/2006/relationships/hyperlink" Target="https://www.uniprot.org/uniprot/P19447" TargetMode="External"/><Relationship Id="rId2709" Type="http://schemas.openxmlformats.org/officeDocument/2006/relationships/hyperlink" Target="https://www.uniprot.org/uniprot/A6NI79" TargetMode="External"/><Relationship Id="rId1213" Type="http://schemas.openxmlformats.org/officeDocument/2006/relationships/hyperlink" Target="https://www.ncbi.nlm.nih.gov/gene/5889" TargetMode="External"/><Relationship Id="rId1420" Type="http://schemas.openxmlformats.org/officeDocument/2006/relationships/hyperlink" Target="https://www.ncbi.nlm.nih.gov/gene/5600" TargetMode="External"/><Relationship Id="rId1518" Type="http://schemas.openxmlformats.org/officeDocument/2006/relationships/hyperlink" Target="https://www.ncbi.nlm.nih.gov/gene/3209" TargetMode="External"/><Relationship Id="rId1725" Type="http://schemas.openxmlformats.org/officeDocument/2006/relationships/hyperlink" Target="https://www.ncbi.nlm.nih.gov/gene/1111" TargetMode="External"/><Relationship Id="rId1932" Type="http://schemas.openxmlformats.org/officeDocument/2006/relationships/hyperlink" Target="https://www.uniprot.org/uniprot/O43474" TargetMode="External"/><Relationship Id="rId17" Type="http://schemas.openxmlformats.org/officeDocument/2006/relationships/hyperlink" Target="https://pubmed.ncbi.nlm.nih.gov/?term=27133165%5Buid%5D" TargetMode="External"/><Relationship Id="rId2194" Type="http://schemas.openxmlformats.org/officeDocument/2006/relationships/hyperlink" Target="https://www.uniprot.org/uniprot/O14763" TargetMode="External"/><Relationship Id="rId166" Type="http://schemas.openxmlformats.org/officeDocument/2006/relationships/hyperlink" Target="https://pubmed.ncbi.nlm.nih.gov/?term=23313194%2C%2023167276%5Buid%5D" TargetMode="External"/><Relationship Id="rId373" Type="http://schemas.openxmlformats.org/officeDocument/2006/relationships/hyperlink" Target="https://pubmed.ncbi.nlm.nih.gov/?term=29466876%5Buid%5D" TargetMode="External"/><Relationship Id="rId580" Type="http://schemas.openxmlformats.org/officeDocument/2006/relationships/hyperlink" Target="https://pubmed.ncbi.nlm.nih.gov/?term=30472259%2C%2029872499%5Buid%5D" TargetMode="External"/><Relationship Id="rId2054" Type="http://schemas.openxmlformats.org/officeDocument/2006/relationships/hyperlink" Target="https://www.uniprot.org/uniprot/Q9Y2H9" TargetMode="External"/><Relationship Id="rId2261" Type="http://schemas.openxmlformats.org/officeDocument/2006/relationships/hyperlink" Target="https://www.uniprot.org/uniprot/O00141" TargetMode="External"/><Relationship Id="rId2499" Type="http://schemas.openxmlformats.org/officeDocument/2006/relationships/hyperlink" Target="https://www.uniprot.org/uniprot/Q12791" TargetMode="External"/><Relationship Id="rId1" Type="http://schemas.openxmlformats.org/officeDocument/2006/relationships/hyperlink" Target="https://pubmed.ncbi.nlm.nih.gov/?term=22909821%2C%2018004398%5Buid%5D" TargetMode="External"/><Relationship Id="rId233" Type="http://schemas.openxmlformats.org/officeDocument/2006/relationships/hyperlink" Target="https://pubmed.ncbi.nlm.nih.gov/?term=30464262%2C%2030559443%5Buid%5D" TargetMode="External"/><Relationship Id="rId440" Type="http://schemas.openxmlformats.org/officeDocument/2006/relationships/hyperlink" Target="https://pubmed.ncbi.nlm.nih.gov/?term=23869764%2C%2030900384%5Buid%5D" TargetMode="External"/><Relationship Id="rId678" Type="http://schemas.openxmlformats.org/officeDocument/2006/relationships/hyperlink" Target="https://pubmed.ncbi.nlm.nih.gov/?term=29636548%2C%2030626032%5Buid%5D" TargetMode="External"/><Relationship Id="rId885" Type="http://schemas.openxmlformats.org/officeDocument/2006/relationships/hyperlink" Target="https://pubmed.ncbi.nlm.nih.gov/?term=19083192%5Buid%5D" TargetMode="External"/><Relationship Id="rId1070" Type="http://schemas.openxmlformats.org/officeDocument/2006/relationships/hyperlink" Target="https://www.ncbi.nlm.nih.gov/gene/7040" TargetMode="External"/><Relationship Id="rId2121" Type="http://schemas.openxmlformats.org/officeDocument/2006/relationships/hyperlink" Target="https://www.uniprot.org/uniprot/Q8NEZ4" TargetMode="External"/><Relationship Id="rId2359" Type="http://schemas.openxmlformats.org/officeDocument/2006/relationships/hyperlink" Target="https://www.uniprot.org/uniprot/P27986" TargetMode="External"/><Relationship Id="rId2566" Type="http://schemas.openxmlformats.org/officeDocument/2006/relationships/hyperlink" Target="https://www.uniprot.org/uniprot/P48506" TargetMode="External"/><Relationship Id="rId2773" Type="http://schemas.openxmlformats.org/officeDocument/2006/relationships/hyperlink" Target="https://www.uniprot.org/uniprot/P25054" TargetMode="External"/><Relationship Id="rId300" Type="http://schemas.openxmlformats.org/officeDocument/2006/relationships/hyperlink" Target="https://pubmed.ncbi.nlm.nih.gov/?term=26718738%2C%2024880630%5Buid%5D" TargetMode="External"/><Relationship Id="rId538" Type="http://schemas.openxmlformats.org/officeDocument/2006/relationships/hyperlink" Target="https://pubmed.ncbi.nlm.nih.gov/?term=21342274%2C%2027884977%2C%2027105520%2C%2032710593%5Buid%5D" TargetMode="External"/><Relationship Id="rId745" Type="http://schemas.openxmlformats.org/officeDocument/2006/relationships/hyperlink" Target="https://pubmed.ncbi.nlm.nih.gov/?term=28975405%5Buid%5D" TargetMode="External"/><Relationship Id="rId952" Type="http://schemas.openxmlformats.org/officeDocument/2006/relationships/hyperlink" Target="https://www.ncbi.nlm.nih.gov/gene/11009" TargetMode="External"/><Relationship Id="rId1168" Type="http://schemas.openxmlformats.org/officeDocument/2006/relationships/hyperlink" Target="https://www.ncbi.nlm.nih.gov/gene/6275" TargetMode="External"/><Relationship Id="rId1375" Type="http://schemas.openxmlformats.org/officeDocument/2006/relationships/hyperlink" Target="https://www.ncbi.nlm.nih.gov/gene/4504" TargetMode="External"/><Relationship Id="rId1582" Type="http://schemas.openxmlformats.org/officeDocument/2006/relationships/hyperlink" Target="https://www.ncbi.nlm.nih.gov/gene/2354" TargetMode="External"/><Relationship Id="rId2219" Type="http://schemas.openxmlformats.org/officeDocument/2006/relationships/hyperlink" Target="https://www.uniprot.org/uniprot/Q13586" TargetMode="External"/><Relationship Id="rId2426" Type="http://schemas.openxmlformats.org/officeDocument/2006/relationships/hyperlink" Target="https://www.uniprot.org/uniprot/P42345" TargetMode="External"/><Relationship Id="rId2633" Type="http://schemas.openxmlformats.org/officeDocument/2006/relationships/hyperlink" Target="https://www.uniprot.org/uniprot/Q01094" TargetMode="External"/><Relationship Id="rId81" Type="http://schemas.openxmlformats.org/officeDocument/2006/relationships/hyperlink" Target="https://pubmed.ncbi.nlm.nih.gov/?term=30395583%2C%2033547197%5Buid%5D" TargetMode="External"/><Relationship Id="rId605" Type="http://schemas.openxmlformats.org/officeDocument/2006/relationships/hyperlink" Target="https://pubmed.ncbi.nlm.nih.gov/?term=32102425%2C%2030569123%2C%2023481023%5Buid%5D" TargetMode="External"/><Relationship Id="rId812" Type="http://schemas.openxmlformats.org/officeDocument/2006/relationships/hyperlink" Target="https://pubmed.ncbi.nlm.nih.gov/?term=28326487%2C%2025015419%2C%2021364678%5Buid%5D" TargetMode="External"/><Relationship Id="rId1028" Type="http://schemas.openxmlformats.org/officeDocument/2006/relationships/hyperlink" Target="https://www.ncbi.nlm.nih.gov/gene/5987" TargetMode="External"/><Relationship Id="rId1235" Type="http://schemas.openxmlformats.org/officeDocument/2006/relationships/hyperlink" Target="https://www.ncbi.nlm.nih.gov/gene/5644" TargetMode="External"/><Relationship Id="rId1442" Type="http://schemas.openxmlformats.org/officeDocument/2006/relationships/hyperlink" Target="https://www.ncbi.nlm.nih.gov/gene/389421" TargetMode="External"/><Relationship Id="rId1887" Type="http://schemas.openxmlformats.org/officeDocument/2006/relationships/hyperlink" Target="https://www.ncbi.nlm.nih.gov/gene/10351" TargetMode="External"/><Relationship Id="rId1302" Type="http://schemas.openxmlformats.org/officeDocument/2006/relationships/hyperlink" Target="https://www.ncbi.nlm.nih.gov/gene/5159" TargetMode="External"/><Relationship Id="rId1747" Type="http://schemas.openxmlformats.org/officeDocument/2006/relationships/hyperlink" Target="https://www.ncbi.nlm.nih.gov/gene/1604" TargetMode="External"/><Relationship Id="rId1954" Type="http://schemas.openxmlformats.org/officeDocument/2006/relationships/hyperlink" Target="https://ebi14.uniprot.org/uniprot/Q12933" TargetMode="External"/><Relationship Id="rId2700" Type="http://schemas.openxmlformats.org/officeDocument/2006/relationships/hyperlink" Target="https://www.uniprot.org/uniprot/P29965" TargetMode="External"/><Relationship Id="rId39" Type="http://schemas.openxmlformats.org/officeDocument/2006/relationships/hyperlink" Target="https://pubmed.ncbi.nlm.nih.gov/?term=28886730%2C%2028224423%5Buid%5D" TargetMode="External"/><Relationship Id="rId1607" Type="http://schemas.openxmlformats.org/officeDocument/2006/relationships/hyperlink" Target="https://www.ncbi.nlm.nih.gov/gene/2176" TargetMode="External"/><Relationship Id="rId1814" Type="http://schemas.openxmlformats.org/officeDocument/2006/relationships/hyperlink" Target="https://www.ncbi.nlm.nih.gov/gene/558" TargetMode="External"/><Relationship Id="rId188" Type="http://schemas.openxmlformats.org/officeDocument/2006/relationships/hyperlink" Target="https://pubmed.ncbi.nlm.nih.gov/?term=29872321%2C%2022951905%5Buid%5D" TargetMode="External"/><Relationship Id="rId395" Type="http://schemas.openxmlformats.org/officeDocument/2006/relationships/hyperlink" Target="https://pubmed.ncbi.nlm.nih.gov/?term=19318572%2C%2024727326%5Buid%5D" TargetMode="External"/><Relationship Id="rId2076" Type="http://schemas.openxmlformats.org/officeDocument/2006/relationships/hyperlink" Target="https://www.uniprot.org/uniprot/P06733" TargetMode="External"/><Relationship Id="rId2283" Type="http://schemas.openxmlformats.org/officeDocument/2006/relationships/hyperlink" Target="https://www.uniprot.org/uniprot/Q99496" TargetMode="External"/><Relationship Id="rId2490" Type="http://schemas.openxmlformats.org/officeDocument/2006/relationships/hyperlink" Target="https://www.uniprot.org/uniprot/P05783" TargetMode="External"/><Relationship Id="rId2588" Type="http://schemas.openxmlformats.org/officeDocument/2006/relationships/hyperlink" Target="https://www.uniprot.org/uniprot/P25445" TargetMode="External"/><Relationship Id="rId255" Type="http://schemas.openxmlformats.org/officeDocument/2006/relationships/hyperlink" Target="https://pubmed.ncbi.nlm.nih.gov/?term=26132438%5Buid%5D" TargetMode="External"/><Relationship Id="rId462" Type="http://schemas.openxmlformats.org/officeDocument/2006/relationships/hyperlink" Target="https://pubmed.ncbi.nlm.nih.gov/?term=26530471%2C%2030015914%5Buid%5D" TargetMode="External"/><Relationship Id="rId1092" Type="http://schemas.openxmlformats.org/officeDocument/2006/relationships/hyperlink" Target="https://www.ncbi.nlm.nih.gov/gene/6776" TargetMode="External"/><Relationship Id="rId1397" Type="http://schemas.openxmlformats.org/officeDocument/2006/relationships/hyperlink" Target="https://www.ncbi.nlm.nih.gov/gene/4286" TargetMode="External"/><Relationship Id="rId2143" Type="http://schemas.openxmlformats.org/officeDocument/2006/relationships/hyperlink" Target="https://www.uniprot.org/uniprot/P27348" TargetMode="External"/><Relationship Id="rId2350" Type="http://schemas.openxmlformats.org/officeDocument/2006/relationships/hyperlink" Target="https://www.uniprot.org/uniprot/Q96T60" TargetMode="External"/><Relationship Id="rId2795" Type="http://schemas.openxmlformats.org/officeDocument/2006/relationships/hyperlink" Target="https://www.uniprot.org/uniprot/P00519" TargetMode="External"/><Relationship Id="rId115" Type="http://schemas.openxmlformats.org/officeDocument/2006/relationships/hyperlink" Target="https://pubmed.ncbi.nlm.nih.gov/?term=28089626%5Buid%5D" TargetMode="External"/><Relationship Id="rId322" Type="http://schemas.openxmlformats.org/officeDocument/2006/relationships/hyperlink" Target="https://pubmed.ncbi.nlm.nih.gov/?term=31802036%5Buid%5D" TargetMode="External"/><Relationship Id="rId767" Type="http://schemas.openxmlformats.org/officeDocument/2006/relationships/hyperlink" Target="https://pubmed.ncbi.nlm.nih.gov/?term=19509135%2C%2020930109%2C%2023564780%5Buid%5D" TargetMode="External"/><Relationship Id="rId974" Type="http://schemas.openxmlformats.org/officeDocument/2006/relationships/hyperlink" Target="https://www.ncbi.nlm.nih.gov/gene/7533" TargetMode="External"/><Relationship Id="rId2003" Type="http://schemas.openxmlformats.org/officeDocument/2006/relationships/hyperlink" Target="https://www.uniprot.org/uniprot/O15379" TargetMode="External"/><Relationship Id="rId2210" Type="http://schemas.openxmlformats.org/officeDocument/2006/relationships/hyperlink" Target="https://www.uniprot.org/uniprot/Q8NFU7" TargetMode="External"/><Relationship Id="rId2448" Type="http://schemas.openxmlformats.org/officeDocument/2006/relationships/hyperlink" Target="https://www.uniprot.org/uniprot/P26572" TargetMode="External"/><Relationship Id="rId2655" Type="http://schemas.openxmlformats.org/officeDocument/2006/relationships/hyperlink" Target="https://www.uniprot.org/uniprot/Q16678" TargetMode="External"/><Relationship Id="rId627" Type="http://schemas.openxmlformats.org/officeDocument/2006/relationships/hyperlink" Target="https://pubmed.ncbi.nlm.nih.gov/?term=23921446%2C%2026066081%5Buid%5D" TargetMode="External"/><Relationship Id="rId834" Type="http://schemas.openxmlformats.org/officeDocument/2006/relationships/hyperlink" Target="https://pubmed.ncbi.nlm.nih.gov/?term=29795279%5Buid%5D" TargetMode="External"/><Relationship Id="rId1257" Type="http://schemas.openxmlformats.org/officeDocument/2006/relationships/hyperlink" Target="https://www.ncbi.nlm.nih.gov/gene/10631" TargetMode="External"/><Relationship Id="rId1464" Type="http://schemas.openxmlformats.org/officeDocument/2006/relationships/hyperlink" Target="https://www.ncbi.nlm.nih.gov/gene/3791" TargetMode="External"/><Relationship Id="rId1671" Type="http://schemas.openxmlformats.org/officeDocument/2006/relationships/hyperlink" Target="https://www.ncbi.nlm.nih.gov/gene/9077" TargetMode="External"/><Relationship Id="rId2308" Type="http://schemas.openxmlformats.org/officeDocument/2006/relationships/hyperlink" Target="https://www.uniprot.org/uniprot/Q06609" TargetMode="External"/><Relationship Id="rId2515" Type="http://schemas.openxmlformats.org/officeDocument/2006/relationships/hyperlink" Target="https://www.uniprot.org/uniprot/Q14164" TargetMode="External"/><Relationship Id="rId2722" Type="http://schemas.openxmlformats.org/officeDocument/2006/relationships/hyperlink" Target="https://www.uniprot.org/uniprot/Q07021" TargetMode="External"/><Relationship Id="rId901" Type="http://schemas.openxmlformats.org/officeDocument/2006/relationships/hyperlink" Target="https://pubmed.ncbi.nlm.nih.gov/?term=18362892%2C%2020937774%2C%2019770592%2C%2022285227%2C%2022954696%20%5Buid%5D" TargetMode="External"/><Relationship Id="rId1117" Type="http://schemas.openxmlformats.org/officeDocument/2006/relationships/hyperlink" Target="https://www.ncbi.nlm.nih.gov/gene/6608" TargetMode="External"/><Relationship Id="rId1324" Type="http://schemas.openxmlformats.org/officeDocument/2006/relationships/hyperlink" Target="https://www.ncbi.nlm.nih.gov/gene/4923" TargetMode="External"/><Relationship Id="rId1531" Type="http://schemas.openxmlformats.org/officeDocument/2006/relationships/hyperlink" Target="https://www.ncbi.nlm.nih.gov/gene/79654" TargetMode="External"/><Relationship Id="rId1769" Type="http://schemas.openxmlformats.org/officeDocument/2006/relationships/hyperlink" Target="https://www.ncbi.nlm.nih.gov/gene/839" TargetMode="External"/><Relationship Id="rId1976" Type="http://schemas.openxmlformats.org/officeDocument/2006/relationships/hyperlink" Target="https://www.uniprot.org/uniprot/Q09328" TargetMode="External"/><Relationship Id="rId30" Type="http://schemas.openxmlformats.org/officeDocument/2006/relationships/hyperlink" Target="https://pubmed.ncbi.nlm.nih.gov/?term=33287446%5Buid%5D" TargetMode="External"/><Relationship Id="rId1629" Type="http://schemas.openxmlformats.org/officeDocument/2006/relationships/hyperlink" Target="https://www.ncbi.nlm.nih.gov/gene/2067" TargetMode="External"/><Relationship Id="rId1836" Type="http://schemas.openxmlformats.org/officeDocument/2006/relationships/hyperlink" Target="https://www.ncbi.nlm.nih.gov/gene/1386" TargetMode="External"/><Relationship Id="rId1903" Type="http://schemas.openxmlformats.org/officeDocument/2006/relationships/hyperlink" Target="https://www.uniprot.org/uniprot/P0DMV8" TargetMode="External"/><Relationship Id="rId2098" Type="http://schemas.openxmlformats.org/officeDocument/2006/relationships/hyperlink" Target="https://www.uniprot.org/uniprot/O43711" TargetMode="External"/><Relationship Id="rId277" Type="http://schemas.openxmlformats.org/officeDocument/2006/relationships/hyperlink" Target="https://pubmed.ncbi.nlm.nih.gov/?term=17396147%5Buid%5D" TargetMode="External"/><Relationship Id="rId484" Type="http://schemas.openxmlformats.org/officeDocument/2006/relationships/hyperlink" Target="https://pubmed.ncbi.nlm.nih.gov/?term=12637505%2C%2029956791%2C%2015386344%5Buid%5D" TargetMode="External"/><Relationship Id="rId2165" Type="http://schemas.openxmlformats.org/officeDocument/2006/relationships/hyperlink" Target="https://www.uniprot.org/uniprot/P15692" TargetMode="External"/><Relationship Id="rId137" Type="http://schemas.openxmlformats.org/officeDocument/2006/relationships/hyperlink" Target="https://pubmed.ncbi.nlm.nih.gov/?term=20395447%5Buid%5D" TargetMode="External"/><Relationship Id="rId344" Type="http://schemas.openxmlformats.org/officeDocument/2006/relationships/hyperlink" Target="https://pubmed.ncbi.nlm.nih.gov/?term=30056367%2C%2033192515%5Buid%5D" TargetMode="External"/><Relationship Id="rId691" Type="http://schemas.openxmlformats.org/officeDocument/2006/relationships/hyperlink" Target="https://pubmed.ncbi.nlm.nih.gov/?term=20428827%2C%2026238431.%2011336696%5Buid%5D" TargetMode="External"/><Relationship Id="rId789" Type="http://schemas.openxmlformats.org/officeDocument/2006/relationships/hyperlink" Target="https://pubmed.ncbi.nlm.nih.gov/?term=31364751%2C%2030225719%2C%2025499851%5Buid%5D" TargetMode="External"/><Relationship Id="rId996" Type="http://schemas.openxmlformats.org/officeDocument/2006/relationships/hyperlink" Target="https://www.ncbi.nlm.nih.gov/gene/7431" TargetMode="External"/><Relationship Id="rId2025" Type="http://schemas.openxmlformats.org/officeDocument/2006/relationships/hyperlink" Target="https://www.uniprot.org/uniprot/Q1HG43" TargetMode="External"/><Relationship Id="rId2372" Type="http://schemas.openxmlformats.org/officeDocument/2006/relationships/hyperlink" Target="https://www.uniprot.org/uniprot/Q53EL6" TargetMode="External"/><Relationship Id="rId2677" Type="http://schemas.openxmlformats.org/officeDocument/2006/relationships/hyperlink" Target="https://www.uniprot.org/uniprot/O15551" TargetMode="External"/><Relationship Id="rId551" Type="http://schemas.openxmlformats.org/officeDocument/2006/relationships/hyperlink" Target="https://pubmed.ncbi.nlm.nih.gov/?term=29203787%2C%2030543142%5Buid%5D" TargetMode="External"/><Relationship Id="rId649" Type="http://schemas.openxmlformats.org/officeDocument/2006/relationships/hyperlink" Target="https://pubmed.ncbi.nlm.nih.gov/?term=23087057%2C%2026800397%2C%2031221814%5Buid%5D" TargetMode="External"/><Relationship Id="rId856" Type="http://schemas.openxmlformats.org/officeDocument/2006/relationships/hyperlink" Target="https://pubmed.ncbi.nlm.nih.gov/?term=20371719%2C%2014716031%5Buid%5D" TargetMode="External"/><Relationship Id="rId1181" Type="http://schemas.openxmlformats.org/officeDocument/2006/relationships/hyperlink" Target="https://www.ncbi.nlm.nih.gov/gene/6117" TargetMode="External"/><Relationship Id="rId1279" Type="http://schemas.openxmlformats.org/officeDocument/2006/relationships/hyperlink" Target="https://www.ncbi.nlm.nih.gov/gene/65018" TargetMode="External"/><Relationship Id="rId1486" Type="http://schemas.openxmlformats.org/officeDocument/2006/relationships/hyperlink" Target="https://www.ncbi.nlm.nih.gov/gene/3570" TargetMode="External"/><Relationship Id="rId2232" Type="http://schemas.openxmlformats.org/officeDocument/2006/relationships/hyperlink" Target="https://www.uniprot.org/uniprot/P48431" TargetMode="External"/><Relationship Id="rId2537" Type="http://schemas.openxmlformats.org/officeDocument/2006/relationships/hyperlink" Target="https://www.uniprot.org/uniprot/Q9H2X6" TargetMode="External"/><Relationship Id="rId204" Type="http://schemas.openxmlformats.org/officeDocument/2006/relationships/hyperlink" Target="https://pubmed.ncbi.nlm.nih.gov/?term=16251482%2C%2012675844%2C%2015239125%5Buid%5D" TargetMode="External"/><Relationship Id="rId411" Type="http://schemas.openxmlformats.org/officeDocument/2006/relationships/hyperlink" Target="https://pubmed.ncbi.nlm.nih.gov/?term=28388577%5Buid%5D" TargetMode="External"/><Relationship Id="rId509" Type="http://schemas.openxmlformats.org/officeDocument/2006/relationships/hyperlink" Target="https://pubmed.ncbi.nlm.nih.gov/?term=31406154%5Buid%5D" TargetMode="External"/><Relationship Id="rId1041" Type="http://schemas.openxmlformats.org/officeDocument/2006/relationships/hyperlink" Target="https://www.ncbi.nlm.nih.gov/gene/7153" TargetMode="External"/><Relationship Id="rId1139" Type="http://schemas.openxmlformats.org/officeDocument/2006/relationships/hyperlink" Target="https://www.ncbi.nlm.nih.gov/gene/6580" TargetMode="External"/><Relationship Id="rId1346" Type="http://schemas.openxmlformats.org/officeDocument/2006/relationships/hyperlink" Target="https://www.ncbi.nlm.nih.gov/gene/4771" TargetMode="External"/><Relationship Id="rId1693" Type="http://schemas.openxmlformats.org/officeDocument/2006/relationships/hyperlink" Target="https://www.ncbi.nlm.nih.gov/gene/6387" TargetMode="External"/><Relationship Id="rId1998" Type="http://schemas.openxmlformats.org/officeDocument/2006/relationships/hyperlink" Target="https://www.uniprot.org/uniprot/O60315" TargetMode="External"/><Relationship Id="rId2744" Type="http://schemas.openxmlformats.org/officeDocument/2006/relationships/hyperlink" Target="https://www.uniprot.org/uniprot/Q92560" TargetMode="External"/><Relationship Id="rId716" Type="http://schemas.openxmlformats.org/officeDocument/2006/relationships/hyperlink" Target="https://pubmed.ncbi.nlm.nih.gov/?term=30808674%5Buid%5D" TargetMode="External"/><Relationship Id="rId923" Type="http://schemas.openxmlformats.org/officeDocument/2006/relationships/hyperlink" Target="https://pubmed.ncbi.nlm.nih.gov/?term=8797596%2C%2015703814%2C%2015750632%5Buid%5D" TargetMode="External"/><Relationship Id="rId1553" Type="http://schemas.openxmlformats.org/officeDocument/2006/relationships/hyperlink" Target="https://www.ncbi.nlm.nih.gov/gene/2878" TargetMode="External"/><Relationship Id="rId1760" Type="http://schemas.openxmlformats.org/officeDocument/2006/relationships/hyperlink" Target="https://www.ncbi.nlm.nih.gov/gene/6370" TargetMode="External"/><Relationship Id="rId1858" Type="http://schemas.openxmlformats.org/officeDocument/2006/relationships/hyperlink" Target="https://www.ncbi.nlm.nih.gov/gene/216" TargetMode="External"/><Relationship Id="rId2604" Type="http://schemas.openxmlformats.org/officeDocument/2006/relationships/hyperlink" Target="https://www.uniprot.org/uniprot/Q9UQ84" TargetMode="External"/><Relationship Id="rId52" Type="http://schemas.openxmlformats.org/officeDocument/2006/relationships/hyperlink" Target="https://pubmed.ncbi.nlm.nih.gov/?term=26967059%2C%2010928066%2C%2023907215%5Buid%5D" TargetMode="External"/><Relationship Id="rId1206" Type="http://schemas.openxmlformats.org/officeDocument/2006/relationships/hyperlink" Target="https://www.ncbi.nlm.nih.gov/gene/5932" TargetMode="External"/><Relationship Id="rId1413" Type="http://schemas.openxmlformats.org/officeDocument/2006/relationships/hyperlink" Target="https://www.ncbi.nlm.nih.gov/gene/22983" TargetMode="External"/><Relationship Id="rId1620" Type="http://schemas.openxmlformats.org/officeDocument/2006/relationships/hyperlink" Target="https://www.ncbi.nlm.nih.gov/gene/2113" TargetMode="External"/><Relationship Id="rId1718" Type="http://schemas.openxmlformats.org/officeDocument/2006/relationships/hyperlink" Target="https://www.ncbi.nlm.nih.gov/gene/1364" TargetMode="External"/><Relationship Id="rId1925" Type="http://schemas.openxmlformats.org/officeDocument/2006/relationships/hyperlink" Target="https://www.uniprot.org/uniprot/Q86WV6" TargetMode="External"/><Relationship Id="rId299" Type="http://schemas.openxmlformats.org/officeDocument/2006/relationships/hyperlink" Target="https://pubmed.ncbi.nlm.nih.gov/?term=20065949%5Buid%5D" TargetMode="External"/><Relationship Id="rId2187" Type="http://schemas.openxmlformats.org/officeDocument/2006/relationships/hyperlink" Target="https://www.uniprot.org/uniprot/P04637" TargetMode="External"/><Relationship Id="rId2394" Type="http://schemas.openxmlformats.org/officeDocument/2006/relationships/hyperlink" Target="https://www.uniprot.org/uniprot/O75469" TargetMode="External"/><Relationship Id="rId159" Type="http://schemas.openxmlformats.org/officeDocument/2006/relationships/hyperlink" Target="https://pubmed.ncbi.nlm.nih.gov/?term=25411854%2C%2028455421%5Buid%5D" TargetMode="External"/><Relationship Id="rId366" Type="http://schemas.openxmlformats.org/officeDocument/2006/relationships/hyperlink" Target="https://pubmed.ncbi.nlm.nih.gov/?term=14996735%2C%2025351134%5Buid%5D" TargetMode="External"/><Relationship Id="rId573" Type="http://schemas.openxmlformats.org/officeDocument/2006/relationships/hyperlink" Target="https://pubmed.ncbi.nlm.nih.gov/?term=28790113%5Buid%5D" TargetMode="External"/><Relationship Id="rId780" Type="http://schemas.openxmlformats.org/officeDocument/2006/relationships/hyperlink" Target="https://pubmed.ncbi.nlm.nih.gov/?term=22721696%2C%2030127991%5Buid%5D" TargetMode="External"/><Relationship Id="rId2047" Type="http://schemas.openxmlformats.org/officeDocument/2006/relationships/hyperlink" Target="https://www.uniprot.org/uniprot/P06239" TargetMode="External"/><Relationship Id="rId2254" Type="http://schemas.openxmlformats.org/officeDocument/2006/relationships/hyperlink" Target="https://www.uniprot.org/uniprot/P53007" TargetMode="External"/><Relationship Id="rId2461" Type="http://schemas.openxmlformats.org/officeDocument/2006/relationships/hyperlink" Target="https://www.uniprot.org/uniprot/Q15759" TargetMode="External"/><Relationship Id="rId2699" Type="http://schemas.openxmlformats.org/officeDocument/2006/relationships/hyperlink" Target="https://www.uniprot.org/uniprot/P16070" TargetMode="External"/><Relationship Id="rId226" Type="http://schemas.openxmlformats.org/officeDocument/2006/relationships/hyperlink" Target="https://pubmed.ncbi.nlm.nih.gov/?term=28545442%2C%2026146406%2C%2017397945%5Buid%5D" TargetMode="External"/><Relationship Id="rId433" Type="http://schemas.openxmlformats.org/officeDocument/2006/relationships/hyperlink" Target="https://pubmed.ncbi.nlm.nih.gov/?term=20371346%5Buid%5D" TargetMode="External"/><Relationship Id="rId878" Type="http://schemas.openxmlformats.org/officeDocument/2006/relationships/hyperlink" Target="https://pubmed.ncbi.nlm.nih.gov/?term=27876874%2C%2025867064%2C%2030066890%20%5Buid%5D" TargetMode="External"/><Relationship Id="rId1063" Type="http://schemas.openxmlformats.org/officeDocument/2006/relationships/hyperlink" Target="https://www.ncbi.nlm.nih.gov/gene/7053" TargetMode="External"/><Relationship Id="rId1270" Type="http://schemas.openxmlformats.org/officeDocument/2006/relationships/hyperlink" Target="https://www.ncbi.nlm.nih.gov/gene/5395" TargetMode="External"/><Relationship Id="rId2114" Type="http://schemas.openxmlformats.org/officeDocument/2006/relationships/hyperlink" Target="https://www.uniprot.org/uniprot/Q92993" TargetMode="External"/><Relationship Id="rId2559" Type="http://schemas.openxmlformats.org/officeDocument/2006/relationships/hyperlink" Target="https://www.uniprot.org/uniprot/Q9H4A5" TargetMode="External"/><Relationship Id="rId2766" Type="http://schemas.openxmlformats.org/officeDocument/2006/relationships/hyperlink" Target="https://www.uniprot.org/uniprot/P15336" TargetMode="External"/><Relationship Id="rId640" Type="http://schemas.openxmlformats.org/officeDocument/2006/relationships/hyperlink" Target="https://pubmed.ncbi.nlm.nih.gov/?term=19908865%2C%2016787914%2C%2019995904%5Buid%5D" TargetMode="External"/><Relationship Id="rId738" Type="http://schemas.openxmlformats.org/officeDocument/2006/relationships/hyperlink" Target="https://pubmed.ncbi.nlm.nih.gov/?term=31495720%5Buid%5D" TargetMode="External"/><Relationship Id="rId945" Type="http://schemas.openxmlformats.org/officeDocument/2006/relationships/hyperlink" Target="https://www.uniprot.org/uniprot/Q03013" TargetMode="External"/><Relationship Id="rId1368" Type="http://schemas.openxmlformats.org/officeDocument/2006/relationships/hyperlink" Target="https://www.ncbi.nlm.nih.gov/gene/727897" TargetMode="External"/><Relationship Id="rId1575" Type="http://schemas.openxmlformats.org/officeDocument/2006/relationships/hyperlink" Target="https://www.ncbi.nlm.nih.gov/gene/11167" TargetMode="External"/><Relationship Id="rId1782" Type="http://schemas.openxmlformats.org/officeDocument/2006/relationships/hyperlink" Target="https://www.ncbi.nlm.nih.gov/gene/83990" TargetMode="External"/><Relationship Id="rId2321" Type="http://schemas.openxmlformats.org/officeDocument/2006/relationships/hyperlink" Target="https://www.uniprot.org/uniprot/Q9NZ81" TargetMode="External"/><Relationship Id="rId2419" Type="http://schemas.openxmlformats.org/officeDocument/2006/relationships/hyperlink" Target="https://www.uniprot.org/uniprot/P01106" TargetMode="External"/><Relationship Id="rId2626" Type="http://schemas.openxmlformats.org/officeDocument/2006/relationships/hyperlink" Target="https://www.uniprot.org/uniprot/Q9NZJ5" TargetMode="External"/><Relationship Id="rId74" Type="http://schemas.openxmlformats.org/officeDocument/2006/relationships/hyperlink" Target="https://pubmed.ncbi.nlm.nih.gov/?term=25560806%5Buid%5D" TargetMode="External"/><Relationship Id="rId500" Type="http://schemas.openxmlformats.org/officeDocument/2006/relationships/hyperlink" Target="https://pubmed.ncbi.nlm.nih.gov/?term=25693518%5Buid%5D" TargetMode="External"/><Relationship Id="rId805" Type="http://schemas.openxmlformats.org/officeDocument/2006/relationships/hyperlink" Target="https://pubmed.ncbi.nlm.nih.gov/?term=25884497%5Buid%5D" TargetMode="External"/><Relationship Id="rId1130" Type="http://schemas.openxmlformats.org/officeDocument/2006/relationships/hyperlink" Target="https://www.ncbi.nlm.nih.gov/gene/6520" TargetMode="External"/><Relationship Id="rId1228" Type="http://schemas.openxmlformats.org/officeDocument/2006/relationships/hyperlink" Target="https://www.ncbi.nlm.nih.gov/gene/5743" TargetMode="External"/><Relationship Id="rId1435" Type="http://schemas.openxmlformats.org/officeDocument/2006/relationships/hyperlink" Target="https://www.ncbi.nlm.nih.gov/gene/51747" TargetMode="External"/><Relationship Id="rId1642" Type="http://schemas.openxmlformats.org/officeDocument/2006/relationships/hyperlink" Target="https://www.ncbi.nlm.nih.gov/gene/1978" TargetMode="External"/><Relationship Id="rId1947" Type="http://schemas.openxmlformats.org/officeDocument/2006/relationships/hyperlink" Target="https://www.uniprot.org/uniprot/Q9BYJ9" TargetMode="External"/><Relationship Id="rId1502" Type="http://schemas.openxmlformats.org/officeDocument/2006/relationships/hyperlink" Target="https://www.ncbi.nlm.nih.gov/gene/3383" TargetMode="External"/><Relationship Id="rId1807" Type="http://schemas.openxmlformats.org/officeDocument/2006/relationships/hyperlink" Target="https://www.ncbi.nlm.nih.gov/gene/27113" TargetMode="External"/><Relationship Id="rId290" Type="http://schemas.openxmlformats.org/officeDocument/2006/relationships/hyperlink" Target="https://pubmed.ncbi.nlm.nih.gov/?term=29452344%5Buid%5D" TargetMode="External"/><Relationship Id="rId388" Type="http://schemas.openxmlformats.org/officeDocument/2006/relationships/hyperlink" Target="https://pubmed.ncbi.nlm.nih.gov/?term=24756776%2C%2029650944%5Buid%5D" TargetMode="External"/><Relationship Id="rId2069" Type="http://schemas.openxmlformats.org/officeDocument/2006/relationships/hyperlink" Target="https://www.uniprot.org/uniprot/Q9UBP4" TargetMode="External"/><Relationship Id="rId150" Type="http://schemas.openxmlformats.org/officeDocument/2006/relationships/hyperlink" Target="https://pubmed.ncbi.nlm.nih.gov/?term=25432132%2C%2020930109%5Buid%5D" TargetMode="External"/><Relationship Id="rId595" Type="http://schemas.openxmlformats.org/officeDocument/2006/relationships/hyperlink" Target="https://pubmed.ncbi.nlm.nih.gov/?term=29240605%5Buid%5D" TargetMode="External"/><Relationship Id="rId2276" Type="http://schemas.openxmlformats.org/officeDocument/2006/relationships/hyperlink" Target="https://www.uniprot.org/uniprot/P08865" TargetMode="External"/><Relationship Id="rId2483" Type="http://schemas.openxmlformats.org/officeDocument/2006/relationships/hyperlink" Target="https://www.uniprot.org/uniprot/P49916" TargetMode="External"/><Relationship Id="rId2690" Type="http://schemas.openxmlformats.org/officeDocument/2006/relationships/hyperlink" Target="https://www.uniprot.org/uniprot/P50613" TargetMode="External"/><Relationship Id="rId248" Type="http://schemas.openxmlformats.org/officeDocument/2006/relationships/hyperlink" Target="https://pubmed.ncbi.nlm.nih.gov/?term=21625209%2C%2026213845%2C%2021610145%5Buid%5D" TargetMode="External"/><Relationship Id="rId455" Type="http://schemas.openxmlformats.org/officeDocument/2006/relationships/hyperlink" Target="https://pubmed.ncbi.nlm.nih.gov/?term=24533712%2C%2017643379%2C%2019053130%5Buid%5D" TargetMode="External"/><Relationship Id="rId662" Type="http://schemas.openxmlformats.org/officeDocument/2006/relationships/hyperlink" Target="https://pubmed.ncbi.nlm.nih.gov/?term=18836486%2C%2023135908%2C%2032483269%5Buid%5D" TargetMode="External"/><Relationship Id="rId1085" Type="http://schemas.openxmlformats.org/officeDocument/2006/relationships/hyperlink" Target="https://www.ncbi.nlm.nih.gov/gene/6789" TargetMode="External"/><Relationship Id="rId1292" Type="http://schemas.openxmlformats.org/officeDocument/2006/relationships/hyperlink" Target="https://www.ncbi.nlm.nih.gov/gene/5209" TargetMode="External"/><Relationship Id="rId2136" Type="http://schemas.openxmlformats.org/officeDocument/2006/relationships/hyperlink" Target="https://www.uniprot.org/uniprot/Q0VG06" TargetMode="External"/><Relationship Id="rId2343" Type="http://schemas.openxmlformats.org/officeDocument/2006/relationships/hyperlink" Target="https://www.uniprot.org/uniprot/Q9Y253" TargetMode="External"/><Relationship Id="rId2550" Type="http://schemas.openxmlformats.org/officeDocument/2006/relationships/hyperlink" Target="https://www.uniprot.org/uniprot/P09488" TargetMode="External"/><Relationship Id="rId2788" Type="http://schemas.openxmlformats.org/officeDocument/2006/relationships/hyperlink" Target="https://www.uniprot.org/uniprot/O95831" TargetMode="External"/><Relationship Id="rId108" Type="http://schemas.openxmlformats.org/officeDocument/2006/relationships/hyperlink" Target="https://pubmed.ncbi.nlm.nih.gov/?term=18264087%2C%2022711857%2C%2020877358%2C%2029066501%5Buid%5D" TargetMode="External"/><Relationship Id="rId315" Type="http://schemas.openxmlformats.org/officeDocument/2006/relationships/hyperlink" Target="https://pubmed.ncbi.nlm.nih.gov/?term=24576622%2C%2024202965%2C%2028664915%5Buid%5D" TargetMode="External"/><Relationship Id="rId522" Type="http://schemas.openxmlformats.org/officeDocument/2006/relationships/hyperlink" Target="https://pubmed.ncbi.nlm.nih.gov/?term=3175622%2C%209216861%2C%2029854276%2C%2033122816%5Buid%5D" TargetMode="External"/><Relationship Id="rId967" Type="http://schemas.openxmlformats.org/officeDocument/2006/relationships/hyperlink" Target="https://www.ncbi.nlm.nih.gov/gene/81931" TargetMode="External"/><Relationship Id="rId1152" Type="http://schemas.openxmlformats.org/officeDocument/2006/relationships/hyperlink" Target="https://www.ncbi.nlm.nih.gov/gene/29072" TargetMode="External"/><Relationship Id="rId1597" Type="http://schemas.openxmlformats.org/officeDocument/2006/relationships/hyperlink" Target="https://www.ncbi.nlm.nih.gov/gene/356" TargetMode="External"/><Relationship Id="rId2203" Type="http://schemas.openxmlformats.org/officeDocument/2006/relationships/hyperlink" Target="https://www.uniprot.org/uniprot/P35590" TargetMode="External"/><Relationship Id="rId2410" Type="http://schemas.openxmlformats.org/officeDocument/2006/relationships/hyperlink" Target="https://www.uniprot.org/uniprot/Q15843" TargetMode="External"/><Relationship Id="rId2648" Type="http://schemas.openxmlformats.org/officeDocument/2006/relationships/hyperlink" Target="https://www.uniprot.org/uniprot/Q16531" TargetMode="External"/><Relationship Id="rId96" Type="http://schemas.openxmlformats.org/officeDocument/2006/relationships/hyperlink" Target="https://pubmed.ncbi.nlm.nih.gov/?term=21447800%2C%2030733337%2C%2022778941%5Buid%5D" TargetMode="External"/><Relationship Id="rId827" Type="http://schemas.openxmlformats.org/officeDocument/2006/relationships/hyperlink" Target="https://pubmed.ncbi.nlm.nih.gov/?term=28150354%2C%2028643947%5Buid%5D" TargetMode="External"/><Relationship Id="rId1012" Type="http://schemas.openxmlformats.org/officeDocument/2006/relationships/hyperlink" Target="https://www.ncbi.nlm.nih.gov/gene/7351" TargetMode="External"/><Relationship Id="rId1457" Type="http://schemas.openxmlformats.org/officeDocument/2006/relationships/hyperlink" Target="https://www.ncbi.nlm.nih.gov/gene/3845" TargetMode="External"/><Relationship Id="rId1664" Type="http://schemas.openxmlformats.org/officeDocument/2006/relationships/hyperlink" Target="https://www.ncbi.nlm.nih.gov/gene/90527" TargetMode="External"/><Relationship Id="rId1871" Type="http://schemas.openxmlformats.org/officeDocument/2006/relationships/hyperlink" Target="https://www.ncbi.nlm.nih.gov/gene/130399" TargetMode="External"/><Relationship Id="rId2508" Type="http://schemas.openxmlformats.org/officeDocument/2006/relationships/hyperlink" Target="https://www.uniprot.org/uniprot/P23229" TargetMode="External"/><Relationship Id="rId2715" Type="http://schemas.openxmlformats.org/officeDocument/2006/relationships/hyperlink" Target="https://www.uniprot.org/uniprot/P42574" TargetMode="External"/><Relationship Id="rId1317" Type="http://schemas.openxmlformats.org/officeDocument/2006/relationships/hyperlink" Target="https://www.ncbi.nlm.nih.gov/gene/23022" TargetMode="External"/><Relationship Id="rId1524" Type="http://schemas.openxmlformats.org/officeDocument/2006/relationships/hyperlink" Target="https://www.ncbi.nlm.nih.gov/gene/3099" TargetMode="External"/><Relationship Id="rId1731" Type="http://schemas.openxmlformats.org/officeDocument/2006/relationships/hyperlink" Target="https://www.ncbi.nlm.nih.gov/gene/1028" TargetMode="External"/><Relationship Id="rId1969" Type="http://schemas.openxmlformats.org/officeDocument/2006/relationships/hyperlink" Target="https://www.uniprot.org/uniprot/Q86YN6" TargetMode="External"/><Relationship Id="rId23" Type="http://schemas.openxmlformats.org/officeDocument/2006/relationships/hyperlink" Target="https://pubmed.ncbi.nlm.nih.gov/?term=22361111%5Buid%5D" TargetMode="External"/><Relationship Id="rId1829" Type="http://schemas.openxmlformats.org/officeDocument/2006/relationships/hyperlink" Target="https://www.ncbi.nlm.nih.gov/gene/472" TargetMode="External"/><Relationship Id="rId2298" Type="http://schemas.openxmlformats.org/officeDocument/2006/relationships/hyperlink" Target="https://www.uniprot.org/uniprot/Q6XE24" TargetMode="External"/><Relationship Id="rId172" Type="http://schemas.openxmlformats.org/officeDocument/2006/relationships/hyperlink" Target="https://pubmed.ncbi.nlm.nih.gov/?term=30106121%2C%2029103022%2C%2030410608%2C%2026629248%5Buid%5D" TargetMode="External"/><Relationship Id="rId477" Type="http://schemas.openxmlformats.org/officeDocument/2006/relationships/hyperlink" Target="https://pubmed.ncbi.nlm.nih.gov/?term=23678002%5Buid%5D" TargetMode="External"/><Relationship Id="rId684" Type="http://schemas.openxmlformats.org/officeDocument/2006/relationships/hyperlink" Target="https://pubmed.ncbi.nlm.nih.gov/?term=25368520%2C%2015126333%20%5Buid%5D" TargetMode="External"/><Relationship Id="rId2060" Type="http://schemas.openxmlformats.org/officeDocument/2006/relationships/hyperlink" Target="https://www.uniprot.org/uniprot/P01579" TargetMode="External"/><Relationship Id="rId2158" Type="http://schemas.openxmlformats.org/officeDocument/2006/relationships/hyperlink" Target="https://www.uniprot.org/uniprot/P17861" TargetMode="External"/><Relationship Id="rId2365" Type="http://schemas.openxmlformats.org/officeDocument/2006/relationships/hyperlink" Target="https://www.uniprot.org/uniprot/Q16875" TargetMode="External"/><Relationship Id="rId337" Type="http://schemas.openxmlformats.org/officeDocument/2006/relationships/hyperlink" Target="https://pubmed.ncbi.nlm.nih.gov/?term=20005867%5Buid%5D" TargetMode="External"/><Relationship Id="rId891" Type="http://schemas.openxmlformats.org/officeDocument/2006/relationships/hyperlink" Target="https://pubmed.ncbi.nlm.nih.gov/?term=30705591%2C%2029396516%2C%2025806231%2C%2028569838%2C%2025806229%5Buid%5D" TargetMode="External"/><Relationship Id="rId989" Type="http://schemas.openxmlformats.org/officeDocument/2006/relationships/hyperlink" Target="https://www.ncbi.nlm.nih.gov/gene/7494" TargetMode="External"/><Relationship Id="rId2018" Type="http://schemas.openxmlformats.org/officeDocument/2006/relationships/hyperlink" Target="https://www.uniprot.org/uniprot/Q9H467" TargetMode="External"/><Relationship Id="rId2572" Type="http://schemas.openxmlformats.org/officeDocument/2006/relationships/hyperlink" Target="https://www.uniprot.org/uniprot/Q9H334" TargetMode="External"/><Relationship Id="rId544" Type="http://schemas.openxmlformats.org/officeDocument/2006/relationships/hyperlink" Target="https://pubmed.ncbi.nlm.nih.gov/?term=30032449%5Buid%5D" TargetMode="External"/><Relationship Id="rId751" Type="http://schemas.openxmlformats.org/officeDocument/2006/relationships/hyperlink" Target="https://pubmed.ncbi.nlm.nih.gov/?term=28678322%2C%2026431211%5Buid%5D" TargetMode="External"/><Relationship Id="rId849" Type="http://schemas.openxmlformats.org/officeDocument/2006/relationships/hyperlink" Target="https://pubmed.ncbi.nlm.nih.gov/?term=27374141%5Buid%5D" TargetMode="External"/><Relationship Id="rId1174" Type="http://schemas.openxmlformats.org/officeDocument/2006/relationships/hyperlink" Target="https://www.ncbi.nlm.nih.gov/gene/6198" TargetMode="External"/><Relationship Id="rId1381" Type="http://schemas.openxmlformats.org/officeDocument/2006/relationships/hyperlink" Target="https://www.ncbi.nlm.nih.gov/gene/4439" TargetMode="External"/><Relationship Id="rId1479" Type="http://schemas.openxmlformats.org/officeDocument/2006/relationships/hyperlink" Target="https://www.ncbi.nlm.nih.gov/gene/3688" TargetMode="External"/><Relationship Id="rId1686" Type="http://schemas.openxmlformats.org/officeDocument/2006/relationships/hyperlink" Target="https://www.ncbi.nlm.nih.gov/gene/1613" TargetMode="External"/><Relationship Id="rId2225" Type="http://schemas.openxmlformats.org/officeDocument/2006/relationships/hyperlink" Target="https://www.uniprot.org/uniprot/P15907" TargetMode="External"/><Relationship Id="rId2432" Type="http://schemas.openxmlformats.org/officeDocument/2006/relationships/hyperlink" Target="https://www.uniprot.org/uniprot/P52701" TargetMode="External"/><Relationship Id="rId404" Type="http://schemas.openxmlformats.org/officeDocument/2006/relationships/hyperlink" Target="https://pubmed.ncbi.nlm.nih.gov/?term=30655852%5Buid%5D" TargetMode="External"/><Relationship Id="rId611" Type="http://schemas.openxmlformats.org/officeDocument/2006/relationships/hyperlink" Target="https://pubmed.ncbi.nlm.nih.gov/?term=20957754%2C%2018183577%2C%2028562344%2C%2025112877%5Buid%5D" TargetMode="External"/><Relationship Id="rId1034" Type="http://schemas.openxmlformats.org/officeDocument/2006/relationships/hyperlink" Target="https://www.ncbi.nlm.nih.gov/gene/8626" TargetMode="External"/><Relationship Id="rId1241" Type="http://schemas.openxmlformats.org/officeDocument/2006/relationships/hyperlink" Target="https://www.ncbi.nlm.nih.gov/gene/5580" TargetMode="External"/><Relationship Id="rId1339" Type="http://schemas.openxmlformats.org/officeDocument/2006/relationships/hyperlink" Target="https://www.ncbi.nlm.nih.gov/gene/4843" TargetMode="External"/><Relationship Id="rId1893" Type="http://schemas.openxmlformats.org/officeDocument/2006/relationships/hyperlink" Target="https://www.uniprot.org/uniprot/Q13509" TargetMode="External"/><Relationship Id="rId2737" Type="http://schemas.openxmlformats.org/officeDocument/2006/relationships/hyperlink" Target="https://www.uniprot.org/uniprot/O43521" TargetMode="External"/><Relationship Id="rId709" Type="http://schemas.openxmlformats.org/officeDocument/2006/relationships/hyperlink" Target="https://pubmed.ncbi.nlm.nih.gov/?term=29719287%5Buid%5D" TargetMode="External"/><Relationship Id="rId916" Type="http://schemas.openxmlformats.org/officeDocument/2006/relationships/hyperlink" Target="https://pubmed.ncbi.nlm.nih.gov/?term=24525731%5Buid%5D" TargetMode="External"/><Relationship Id="rId1101" Type="http://schemas.openxmlformats.org/officeDocument/2006/relationships/hyperlink" Target="https://www.ncbi.nlm.nih.gov/gene/8878" TargetMode="External"/><Relationship Id="rId1546" Type="http://schemas.openxmlformats.org/officeDocument/2006/relationships/hyperlink" Target="https://www.ncbi.nlm.nih.gov/gene/2934" TargetMode="External"/><Relationship Id="rId1753" Type="http://schemas.openxmlformats.org/officeDocument/2006/relationships/hyperlink" Target="https://www.ncbi.nlm.nih.gov/gene/10803" TargetMode="External"/><Relationship Id="rId1960" Type="http://schemas.openxmlformats.org/officeDocument/2006/relationships/hyperlink" Target="https://www.uniprot.org/uniprot/O43293" TargetMode="External"/><Relationship Id="rId2804" Type="http://schemas.openxmlformats.org/officeDocument/2006/relationships/hyperlink" Target="https://www.uniprot.org/uniprot/P33527" TargetMode="External"/><Relationship Id="rId45" Type="http://schemas.openxmlformats.org/officeDocument/2006/relationships/hyperlink" Target="https://pubmed.ncbi.nlm.nih.gov/?term=27933604%2C%2024643204%5Buid%5D" TargetMode="External"/><Relationship Id="rId1406" Type="http://schemas.openxmlformats.org/officeDocument/2006/relationships/hyperlink" Target="https://www.ncbi.nlm.nih.gov/gene/9833" TargetMode="External"/><Relationship Id="rId1613" Type="http://schemas.openxmlformats.org/officeDocument/2006/relationships/hyperlink" Target="https://www.ncbi.nlm.nih.gov/gene/23201" TargetMode="External"/><Relationship Id="rId1820" Type="http://schemas.openxmlformats.org/officeDocument/2006/relationships/hyperlink" Target="https://www.ncbi.nlm.nih.gov/gene/533" TargetMode="External"/><Relationship Id="rId194" Type="http://schemas.openxmlformats.org/officeDocument/2006/relationships/hyperlink" Target="https://pubmed.ncbi.nlm.nih.gov/?term=27384994%2C%2026860078%2C%2025214561%20%5Buid%5D" TargetMode="External"/><Relationship Id="rId1918" Type="http://schemas.openxmlformats.org/officeDocument/2006/relationships/hyperlink" Target="https://www.uniprot.org/uniprot/Q9H293" TargetMode="External"/><Relationship Id="rId2082" Type="http://schemas.openxmlformats.org/officeDocument/2006/relationships/hyperlink" Target="https://www.uniprot.org/uniprot/Q9Y4X5" TargetMode="External"/><Relationship Id="rId261" Type="http://schemas.openxmlformats.org/officeDocument/2006/relationships/hyperlink" Target="https://pubmed.ncbi.nlm.nih.gov/?term=32417448%2C%2032115889%2C%2027653549%5Buid%5D" TargetMode="External"/><Relationship Id="rId499" Type="http://schemas.openxmlformats.org/officeDocument/2006/relationships/hyperlink" Target="https://pubmed.ncbi.nlm.nih.gov/?term=20005867%5Buid%5D" TargetMode="External"/><Relationship Id="rId2387" Type="http://schemas.openxmlformats.org/officeDocument/2006/relationships/hyperlink" Target="https://www.uniprot.org/uniprot/P30989" TargetMode="External"/><Relationship Id="rId2594" Type="http://schemas.openxmlformats.org/officeDocument/2006/relationships/hyperlink" Target="https://www.uniprot.org/uniprot/Q9NPI8" TargetMode="External"/><Relationship Id="rId359" Type="http://schemas.openxmlformats.org/officeDocument/2006/relationships/hyperlink" Target="https://pubmed.ncbi.nlm.nih.gov/?term=28039608%5Buid%5D" TargetMode="External"/><Relationship Id="rId566" Type="http://schemas.openxmlformats.org/officeDocument/2006/relationships/hyperlink" Target="https://pubmed.ncbi.nlm.nih.gov/?term=27572875%5Buid%5D" TargetMode="External"/><Relationship Id="rId773" Type="http://schemas.openxmlformats.org/officeDocument/2006/relationships/hyperlink" Target="https://pubmed.ncbi.nlm.nih.gov/?term=19058911%2C%2028242177%5Buid%5D" TargetMode="External"/><Relationship Id="rId1196" Type="http://schemas.openxmlformats.org/officeDocument/2006/relationships/hyperlink" Target="https://www.ncbi.nlm.nih.gov/gene/5980" TargetMode="External"/><Relationship Id="rId2247" Type="http://schemas.openxmlformats.org/officeDocument/2006/relationships/hyperlink" Target="https://www.uniprot.org/uniprot/Q96NT5" TargetMode="External"/><Relationship Id="rId2454" Type="http://schemas.openxmlformats.org/officeDocument/2006/relationships/hyperlink" Target="https://www.uniprot.org/uniprot/Q07820" TargetMode="External"/><Relationship Id="rId121" Type="http://schemas.openxmlformats.org/officeDocument/2006/relationships/hyperlink" Target="https://pubmed.ncbi.nlm.nih.gov/?term=11703590%2C%2027384994%2C%209787143%5Buid%5D" TargetMode="External"/><Relationship Id="rId219" Type="http://schemas.openxmlformats.org/officeDocument/2006/relationships/hyperlink" Target="https://pubmed.ncbi.nlm.nih.gov/?term=26898799%2C%2029856124%5Buid%5D" TargetMode="External"/><Relationship Id="rId426" Type="http://schemas.openxmlformats.org/officeDocument/2006/relationships/hyperlink" Target="https://pubmed.ncbi.nlm.nih.gov/?term=11916245%2C%2028358415%5Buid%5D" TargetMode="External"/><Relationship Id="rId633" Type="http://schemas.openxmlformats.org/officeDocument/2006/relationships/hyperlink" Target="https://pubmed.ncbi.nlm.nih.gov/?term=30214636%2C%2030344713%2C%2030388038%20%5Buid%5D" TargetMode="External"/><Relationship Id="rId980" Type="http://schemas.openxmlformats.org/officeDocument/2006/relationships/hyperlink" Target="https://www.ncbi.nlm.nih.gov/gene/7520" TargetMode="External"/><Relationship Id="rId1056" Type="http://schemas.openxmlformats.org/officeDocument/2006/relationships/hyperlink" Target="https://www.ncbi.nlm.nih.gov/gene/9874" TargetMode="External"/><Relationship Id="rId1263" Type="http://schemas.openxmlformats.org/officeDocument/2006/relationships/hyperlink" Target="https://www.ncbi.nlm.nih.gov/gene/54107" TargetMode="External"/><Relationship Id="rId2107" Type="http://schemas.openxmlformats.org/officeDocument/2006/relationships/hyperlink" Target="https://www.uniprot.org/uniprot/Q9Y2Y6" TargetMode="External"/><Relationship Id="rId2314" Type="http://schemas.openxmlformats.org/officeDocument/2006/relationships/hyperlink" Target="https://www.uniprot.org/uniprot/P35354" TargetMode="External"/><Relationship Id="rId2661" Type="http://schemas.openxmlformats.org/officeDocument/2006/relationships/hyperlink" Target="https://www.uniprot.org/uniprot/P35222" TargetMode="External"/><Relationship Id="rId2759" Type="http://schemas.openxmlformats.org/officeDocument/2006/relationships/hyperlink" Target="https://www.uniprot.org/uniprot/P05026" TargetMode="External"/><Relationship Id="rId840" Type="http://schemas.openxmlformats.org/officeDocument/2006/relationships/hyperlink" Target="https://pubmed.ncbi.nlm.nih.gov/?term=30181600%5Buid%5D" TargetMode="External"/><Relationship Id="rId938" Type="http://schemas.openxmlformats.org/officeDocument/2006/relationships/hyperlink" Target="https://www.ncbi.nlm.nih.gov/gene/476" TargetMode="External"/><Relationship Id="rId1470" Type="http://schemas.openxmlformats.org/officeDocument/2006/relationships/hyperlink" Target="https://www.ncbi.nlm.nih.gov/gene/8850" TargetMode="External"/><Relationship Id="rId1568" Type="http://schemas.openxmlformats.org/officeDocument/2006/relationships/hyperlink" Target="https://www.ncbi.nlm.nih.gov/gene/2621" TargetMode="External"/><Relationship Id="rId1775" Type="http://schemas.openxmlformats.org/officeDocument/2006/relationships/hyperlink" Target="https://www.ncbi.nlm.nih.gov/gene/29775" TargetMode="External"/><Relationship Id="rId2521" Type="http://schemas.openxmlformats.org/officeDocument/2006/relationships/hyperlink" Target="https://www.uniprot.org/uniprot/O43464" TargetMode="External"/><Relationship Id="rId2619" Type="http://schemas.openxmlformats.org/officeDocument/2006/relationships/hyperlink" Target="https://www.uniprot.org/uniprot/Q13822" TargetMode="External"/><Relationship Id="rId67" Type="http://schemas.openxmlformats.org/officeDocument/2006/relationships/hyperlink" Target="https://pubmed.ncbi.nlm.nih.gov/?term=11519050%2C%2015547183%5Buid%5D" TargetMode="External"/><Relationship Id="rId700" Type="http://schemas.openxmlformats.org/officeDocument/2006/relationships/hyperlink" Target="https://pubmed.ncbi.nlm.nih.gov/?term=25795775%2C%2024276455%5Buid%5D" TargetMode="External"/><Relationship Id="rId1123" Type="http://schemas.openxmlformats.org/officeDocument/2006/relationships/hyperlink" Target="https://www.ncbi.nlm.nih.gov/gene/548593" TargetMode="External"/><Relationship Id="rId1330" Type="http://schemas.openxmlformats.org/officeDocument/2006/relationships/hyperlink" Target="https://www.ncbi.nlm.nih.gov/gene/4893" TargetMode="External"/><Relationship Id="rId1428" Type="http://schemas.openxmlformats.org/officeDocument/2006/relationships/hyperlink" Target="https://www.ncbi.nlm.nih.gov/gene/81631" TargetMode="External"/><Relationship Id="rId1635" Type="http://schemas.openxmlformats.org/officeDocument/2006/relationships/hyperlink" Target="https://www.ncbi.nlm.nih.gov/gene/2033" TargetMode="External"/><Relationship Id="rId1982" Type="http://schemas.openxmlformats.org/officeDocument/2006/relationships/hyperlink" Target="https://www.uniprot.org/uniprot/Q9NTG7" TargetMode="External"/><Relationship Id="rId1842" Type="http://schemas.openxmlformats.org/officeDocument/2006/relationships/hyperlink" Target="https://www.ncbi.nlm.nih.gov/gene/8289" TargetMode="External"/><Relationship Id="rId1702" Type="http://schemas.openxmlformats.org/officeDocument/2006/relationships/hyperlink" Target="https://www.ncbi.nlm.nih.gov/gene/1435" TargetMode="External"/><Relationship Id="rId283" Type="http://schemas.openxmlformats.org/officeDocument/2006/relationships/hyperlink" Target="https://pubmed.ncbi.nlm.nih.gov/?term=28864460%2C%2024486548%5Buid%5D" TargetMode="External"/><Relationship Id="rId490" Type="http://schemas.openxmlformats.org/officeDocument/2006/relationships/hyperlink" Target="https://pubmed.ncbi.nlm.nih.gov/?term=19634140%2C%2012036450%2C%2016361547%5Buid%5D" TargetMode="External"/><Relationship Id="rId2171" Type="http://schemas.openxmlformats.org/officeDocument/2006/relationships/hyperlink" Target="https://www.uniprot.org/uniprot/Q96RL1" TargetMode="External"/><Relationship Id="rId143" Type="http://schemas.openxmlformats.org/officeDocument/2006/relationships/hyperlink" Target="https://pubmed.ncbi.nlm.nih.gov/?term=27044825%2C%2022010829%2C%2024885116%5Buid%5D" TargetMode="External"/><Relationship Id="rId350" Type="http://schemas.openxmlformats.org/officeDocument/2006/relationships/hyperlink" Target="https://pubmed.ncbi.nlm.nih.gov/?term=21150160,30431119,2898306" TargetMode="External"/><Relationship Id="rId588" Type="http://schemas.openxmlformats.org/officeDocument/2006/relationships/hyperlink" Target="https://pubmed.ncbi.nlm.nih.gov/?term=16609680%2C%2018439754%5Buid%5D" TargetMode="External"/><Relationship Id="rId795" Type="http://schemas.openxmlformats.org/officeDocument/2006/relationships/hyperlink" Target="https://pubmed.ncbi.nlm.nih.gov/?term=29099271%2C%2027625374%2C%2031658996%20%5Buid%5D" TargetMode="External"/><Relationship Id="rId2031" Type="http://schemas.openxmlformats.org/officeDocument/2006/relationships/hyperlink" Target="https://www.uniprot.org/uniprot/Q8N682" TargetMode="External"/><Relationship Id="rId2269" Type="http://schemas.openxmlformats.org/officeDocument/2006/relationships/hyperlink" Target="https://www.uniprot.org/uniprot/Q99643" TargetMode="External"/><Relationship Id="rId2476" Type="http://schemas.openxmlformats.org/officeDocument/2006/relationships/hyperlink" Target="https://www.uniprot.org/uniprot/Q7L1W4" TargetMode="External"/><Relationship Id="rId2683" Type="http://schemas.openxmlformats.org/officeDocument/2006/relationships/hyperlink" Target="https://www.uniprot.org/uniprot/Q14839" TargetMode="External"/><Relationship Id="rId9" Type="http://schemas.openxmlformats.org/officeDocument/2006/relationships/hyperlink" Target="https://pubmed.ncbi.nlm.nih.gov/?term=25248111,10728601,17982673" TargetMode="External"/><Relationship Id="rId210" Type="http://schemas.openxmlformats.org/officeDocument/2006/relationships/hyperlink" Target="https://pubmed.ncbi.nlm.nih.gov/?term=28430596%5Buid%5D" TargetMode="External"/><Relationship Id="rId448" Type="http://schemas.openxmlformats.org/officeDocument/2006/relationships/hyperlink" Target="https://pubmed.ncbi.nlm.nih.gov/?term=23449973%2C%2029100303%5Buid%5D" TargetMode="External"/><Relationship Id="rId655" Type="http://schemas.openxmlformats.org/officeDocument/2006/relationships/hyperlink" Target="https://pubmed.ncbi.nlm.nih.gov/?term=8853907%2C%2026543233%5Buid%5D" TargetMode="External"/><Relationship Id="rId862" Type="http://schemas.openxmlformats.org/officeDocument/2006/relationships/hyperlink" Target="https://pubmed.ncbi.nlm.nih.gov/?term=21263267%5Buid%5D" TargetMode="External"/><Relationship Id="rId1078" Type="http://schemas.openxmlformats.org/officeDocument/2006/relationships/hyperlink" Target="https://www.ncbi.nlm.nih.gov/gene/7003" TargetMode="External"/><Relationship Id="rId1285" Type="http://schemas.openxmlformats.org/officeDocument/2006/relationships/hyperlink" Target="https://www.ncbi.nlm.nih.gov/gene/5291" TargetMode="External"/><Relationship Id="rId1492" Type="http://schemas.openxmlformats.org/officeDocument/2006/relationships/hyperlink" Target="https://www.ncbi.nlm.nih.gov/gene/3552" TargetMode="External"/><Relationship Id="rId2129" Type="http://schemas.openxmlformats.org/officeDocument/2006/relationships/hyperlink" Target="https://www.uniprot.org/uniprot/Q9H4B6" TargetMode="External"/><Relationship Id="rId2336" Type="http://schemas.openxmlformats.org/officeDocument/2006/relationships/hyperlink" Target="https://www.uniprot.org/uniprot/P67775" TargetMode="External"/><Relationship Id="rId2543" Type="http://schemas.openxmlformats.org/officeDocument/2006/relationships/hyperlink" Target="https://www.uniprot.org/uniprot/Q13547" TargetMode="External"/><Relationship Id="rId2750" Type="http://schemas.openxmlformats.org/officeDocument/2006/relationships/hyperlink" Target="https://www.uniprot.org/uniprot/Q13535" TargetMode="External"/><Relationship Id="rId308" Type="http://schemas.openxmlformats.org/officeDocument/2006/relationships/hyperlink" Target="https://pubmed.ncbi.nlm.nih.gov/?term=29433550%5Buid%5D" TargetMode="External"/><Relationship Id="rId515" Type="http://schemas.openxmlformats.org/officeDocument/2006/relationships/hyperlink" Target="https://pubmed.ncbi.nlm.nih.gov/?term=21696631%2C%2015947132%2C%2026519826%5Buid%5D" TargetMode="External"/><Relationship Id="rId722" Type="http://schemas.openxmlformats.org/officeDocument/2006/relationships/hyperlink" Target="https://pubmed.ncbi.nlm.nih.gov/?term=23800275%5Buid%5D" TargetMode="External"/><Relationship Id="rId1145" Type="http://schemas.openxmlformats.org/officeDocument/2006/relationships/hyperlink" Target="https://www.ncbi.nlm.nih.gov/gene/23410" TargetMode="External"/><Relationship Id="rId1352" Type="http://schemas.openxmlformats.org/officeDocument/2006/relationships/hyperlink" Target="https://www.ncbi.nlm.nih.gov/gene/23327" TargetMode="External"/><Relationship Id="rId1797" Type="http://schemas.openxmlformats.org/officeDocument/2006/relationships/hyperlink" Target="https://www.ncbi.nlm.nih.gov/gene/638" TargetMode="External"/><Relationship Id="rId2403" Type="http://schemas.openxmlformats.org/officeDocument/2006/relationships/hyperlink" Target="https://www.uniprot.org/uniprot/Q00653" TargetMode="External"/><Relationship Id="rId89" Type="http://schemas.openxmlformats.org/officeDocument/2006/relationships/hyperlink" Target="https://pubmed.ncbi.nlm.nih.gov/?term=21561860%2C%2022924699%5Buid%5D" TargetMode="External"/><Relationship Id="rId1005" Type="http://schemas.openxmlformats.org/officeDocument/2006/relationships/hyperlink" Target="https://www.ncbi.nlm.nih.gov/gene/23326" TargetMode="External"/><Relationship Id="rId1212" Type="http://schemas.openxmlformats.org/officeDocument/2006/relationships/hyperlink" Target="https://www.ncbi.nlm.nih.gov/gene/5892" TargetMode="External"/><Relationship Id="rId1657" Type="http://schemas.openxmlformats.org/officeDocument/2006/relationships/hyperlink" Target="https://www.ncbi.nlm.nih.gov/gene/1869" TargetMode="External"/><Relationship Id="rId1864" Type="http://schemas.openxmlformats.org/officeDocument/2006/relationships/hyperlink" Target="https://www.ncbi.nlm.nih.gov/gene/1645" TargetMode="External"/><Relationship Id="rId2610" Type="http://schemas.openxmlformats.org/officeDocument/2006/relationships/hyperlink" Target="https://www.uniprot.org/uniprot/Q92889" TargetMode="External"/><Relationship Id="rId2708" Type="http://schemas.openxmlformats.org/officeDocument/2006/relationships/hyperlink" Target="https://www.uniprot.org/uniprot/P13500" TargetMode="External"/><Relationship Id="rId1517" Type="http://schemas.openxmlformats.org/officeDocument/2006/relationships/hyperlink" Target="https://www.ncbi.nlm.nih.gov/gene/3201" TargetMode="External"/><Relationship Id="rId1724" Type="http://schemas.openxmlformats.org/officeDocument/2006/relationships/hyperlink" Target="https://www.ncbi.nlm.nih.gov/gene/11200" TargetMode="External"/><Relationship Id="rId16" Type="http://schemas.openxmlformats.org/officeDocument/2006/relationships/hyperlink" Target="https://pubmed.ncbi.nlm.nih.gov/?term=29883801%5Buid%5D" TargetMode="External"/><Relationship Id="rId1931" Type="http://schemas.openxmlformats.org/officeDocument/2006/relationships/hyperlink" Target="https://www.uniprot.org/uniprot/P26447" TargetMode="External"/><Relationship Id="rId2193" Type="http://schemas.openxmlformats.org/officeDocument/2006/relationships/hyperlink" Target="https://www.uniprot.org/uniprot/P50591" TargetMode="External"/><Relationship Id="rId2498" Type="http://schemas.openxmlformats.org/officeDocument/2006/relationships/hyperlink" Target="https://www.uniprot.org/uniprot/Q9Y4C1" TargetMode="External"/><Relationship Id="rId165" Type="http://schemas.openxmlformats.org/officeDocument/2006/relationships/hyperlink" Target="https://pubmed.ncbi.nlm.nih.gov/?term=26087191%2C%2029748013%5Buid%5D" TargetMode="External"/><Relationship Id="rId372" Type="http://schemas.openxmlformats.org/officeDocument/2006/relationships/hyperlink" Target="https://pubmed.ncbi.nlm.nih.gov/?term=25327479%2C%2020851854%5Buid%5D" TargetMode="External"/><Relationship Id="rId677" Type="http://schemas.openxmlformats.org/officeDocument/2006/relationships/hyperlink" Target="https://pubmed.ncbi.nlm.nih.gov/?term=25096996%5Buid%5D" TargetMode="External"/><Relationship Id="rId2053" Type="http://schemas.openxmlformats.org/officeDocument/2006/relationships/hyperlink" Target="https://www.uniprot.org/uniprot/O14727" TargetMode="External"/><Relationship Id="rId2260" Type="http://schemas.openxmlformats.org/officeDocument/2006/relationships/hyperlink" Target="https://www.uniprot.org/uniprot/Q96EB6" TargetMode="External"/><Relationship Id="rId2358" Type="http://schemas.openxmlformats.org/officeDocument/2006/relationships/hyperlink" Target="https://www.uniprot.org/uniprot/O00459" TargetMode="External"/><Relationship Id="rId232" Type="http://schemas.openxmlformats.org/officeDocument/2006/relationships/hyperlink" Target="https://pubmed.ncbi.nlm.nih.gov/?term=18225596%2C%2020572159%5Buid%5D" TargetMode="External"/><Relationship Id="rId884" Type="http://schemas.openxmlformats.org/officeDocument/2006/relationships/hyperlink" Target="https://pubmed.ncbi.nlm.nih.gov/?term=10490269%5Buid%5D" TargetMode="External"/><Relationship Id="rId2120" Type="http://schemas.openxmlformats.org/officeDocument/2006/relationships/hyperlink" Target="https://www.uniprot.org/uniprot/Q9UMN6" TargetMode="External"/><Relationship Id="rId2565" Type="http://schemas.openxmlformats.org/officeDocument/2006/relationships/hyperlink" Target="https://www.uniprot.org/uniprot/Q99988" TargetMode="External"/><Relationship Id="rId2772" Type="http://schemas.openxmlformats.org/officeDocument/2006/relationships/hyperlink" Target="https://www.uniprot.org/uniprot/P27695" TargetMode="External"/><Relationship Id="rId537" Type="http://schemas.openxmlformats.org/officeDocument/2006/relationships/hyperlink" Target="https://pubmed.ncbi.nlm.nih.gov/?term=19305429%2C%2021743489%2C%2017130457%5Buid%5D" TargetMode="External"/><Relationship Id="rId744" Type="http://schemas.openxmlformats.org/officeDocument/2006/relationships/hyperlink" Target="https://pubmed.ncbi.nlm.nih.gov/?term=23185467%2C%2024810714%5Buid%5D" TargetMode="External"/><Relationship Id="rId951" Type="http://schemas.openxmlformats.org/officeDocument/2006/relationships/hyperlink" Target="https://www.uniprot.org/uniprot/O95365" TargetMode="External"/><Relationship Id="rId1167" Type="http://schemas.openxmlformats.org/officeDocument/2006/relationships/hyperlink" Target="https://www.ncbi.nlm.nih.gov/gene/6278" TargetMode="External"/><Relationship Id="rId1374" Type="http://schemas.openxmlformats.org/officeDocument/2006/relationships/hyperlink" Target="https://www.ncbi.nlm.nih.gov/gene/4514" TargetMode="External"/><Relationship Id="rId1581" Type="http://schemas.openxmlformats.org/officeDocument/2006/relationships/hyperlink" Target="https://www.ncbi.nlm.nih.gov/gene/8061" TargetMode="External"/><Relationship Id="rId1679" Type="http://schemas.openxmlformats.org/officeDocument/2006/relationships/hyperlink" Target="https://www.ncbi.nlm.nih.gov/gene/1643" TargetMode="External"/><Relationship Id="rId2218" Type="http://schemas.openxmlformats.org/officeDocument/2006/relationships/hyperlink" Target="https://www.uniprot.org/uniprot/Q15831" TargetMode="External"/><Relationship Id="rId2425" Type="http://schemas.openxmlformats.org/officeDocument/2006/relationships/hyperlink" Target="https://www.uniprot.org/uniprot/Q9UBK8" TargetMode="External"/><Relationship Id="rId2632" Type="http://schemas.openxmlformats.org/officeDocument/2006/relationships/hyperlink" Target="https://www.uniprot.org/uniprot/Q14209" TargetMode="External"/><Relationship Id="rId80" Type="http://schemas.openxmlformats.org/officeDocument/2006/relationships/hyperlink" Target="https://pubmed.ncbi.nlm.nih.gov/?term=21823019%2C%2026406239%5Buid%5D" TargetMode="External"/><Relationship Id="rId604" Type="http://schemas.openxmlformats.org/officeDocument/2006/relationships/hyperlink" Target="https://pubmed.ncbi.nlm.nih.gov/?term=27322682%5Buid%5D" TargetMode="External"/><Relationship Id="rId811" Type="http://schemas.openxmlformats.org/officeDocument/2006/relationships/hyperlink" Target="https://pubmed.ncbi.nlm.nih.gov/?term=21765211%5Buid%5D" TargetMode="External"/><Relationship Id="rId1027" Type="http://schemas.openxmlformats.org/officeDocument/2006/relationships/hyperlink" Target="https://www.ncbi.nlm.nih.gov/gene/201292" TargetMode="External"/><Relationship Id="rId1234" Type="http://schemas.openxmlformats.org/officeDocument/2006/relationships/hyperlink" Target="https://www.ncbi.nlm.nih.gov/gene/5699" TargetMode="External"/><Relationship Id="rId1441" Type="http://schemas.openxmlformats.org/officeDocument/2006/relationships/hyperlink" Target="https://www.ncbi.nlm.nih.gov/gene/8543" TargetMode="External"/><Relationship Id="rId1886" Type="http://schemas.openxmlformats.org/officeDocument/2006/relationships/hyperlink" Target="https://www.ncbi.nlm.nih.gov/gene/5243" TargetMode="External"/><Relationship Id="rId909" Type="http://schemas.openxmlformats.org/officeDocument/2006/relationships/hyperlink" Target="https://pubmed.ncbi.nlm.nih.gov/?term=28749195%5Buid%5D" TargetMode="External"/><Relationship Id="rId1301" Type="http://schemas.openxmlformats.org/officeDocument/2006/relationships/hyperlink" Target="https://www.ncbi.nlm.nih.gov/gene/2923" TargetMode="External"/><Relationship Id="rId1539" Type="http://schemas.openxmlformats.org/officeDocument/2006/relationships/hyperlink" Target="https://www.ncbi.nlm.nih.gov/gene/2952" TargetMode="External"/><Relationship Id="rId1746" Type="http://schemas.openxmlformats.org/officeDocument/2006/relationships/hyperlink" Target="https://www.ncbi.nlm.nih.gov/gene/925" TargetMode="External"/><Relationship Id="rId1953" Type="http://schemas.openxmlformats.org/officeDocument/2006/relationships/hyperlink" Target="https://www.uniprot.org/uniprot/Q15418" TargetMode="External"/><Relationship Id="rId38" Type="http://schemas.openxmlformats.org/officeDocument/2006/relationships/hyperlink" Target="https://pubmed.ncbi.nlm.nih.gov/?term=18980987%2C%2024531715%5Buid%5D" TargetMode="External"/><Relationship Id="rId1606" Type="http://schemas.openxmlformats.org/officeDocument/2006/relationships/hyperlink" Target="https://www.ncbi.nlm.nih.gov/gene/2177" TargetMode="External"/><Relationship Id="rId1813" Type="http://schemas.openxmlformats.org/officeDocument/2006/relationships/hyperlink" Target="https://www.ncbi.nlm.nih.gov/gene/572" TargetMode="External"/><Relationship Id="rId187" Type="http://schemas.openxmlformats.org/officeDocument/2006/relationships/hyperlink" Target="https://pubmed.ncbi.nlm.nih.gov/?term=23592244%5Buid%5D" TargetMode="External"/><Relationship Id="rId394" Type="http://schemas.openxmlformats.org/officeDocument/2006/relationships/hyperlink" Target="https://pubmed.ncbi.nlm.nih.gov/?term=27133165%2C%207768637%2C%2010735496%2C%2026695443%5Buid%5D" TargetMode="External"/><Relationship Id="rId2075" Type="http://schemas.openxmlformats.org/officeDocument/2006/relationships/hyperlink" Target="https://www.uniprot.org/uniprot/P62081" TargetMode="External"/><Relationship Id="rId2282" Type="http://schemas.openxmlformats.org/officeDocument/2006/relationships/hyperlink" Target="https://www.uniprot.org/uniprot/Q01974" TargetMode="External"/><Relationship Id="rId254" Type="http://schemas.openxmlformats.org/officeDocument/2006/relationships/hyperlink" Target="https://pubmed.ncbi.nlm.nih.gov/?term=29707144%5Buid%5D" TargetMode="External"/><Relationship Id="rId699" Type="http://schemas.openxmlformats.org/officeDocument/2006/relationships/hyperlink" Target="https://pubmed.ncbi.nlm.nih.gov/?term=20564628%2C%2029921694%5Buid%5D" TargetMode="External"/><Relationship Id="rId1091" Type="http://schemas.openxmlformats.org/officeDocument/2006/relationships/hyperlink" Target="https://www.ncbi.nlm.nih.gov/gene/6777" TargetMode="External"/><Relationship Id="rId2587" Type="http://schemas.openxmlformats.org/officeDocument/2006/relationships/hyperlink" Target="https://www.uniprot.org/uniprot/P48023" TargetMode="External"/><Relationship Id="rId2794" Type="http://schemas.openxmlformats.org/officeDocument/2006/relationships/hyperlink" Target="https://www.uniprot.org/uniprot/Q9NR19" TargetMode="External"/><Relationship Id="rId114" Type="http://schemas.openxmlformats.org/officeDocument/2006/relationships/hyperlink" Target="https://pubmed.ncbi.nlm.nih.gov/?term=30127991%5Buid%5D" TargetMode="External"/><Relationship Id="rId461" Type="http://schemas.openxmlformats.org/officeDocument/2006/relationships/hyperlink" Target="https://pubmed.ncbi.nlm.nih.gov/?term=30089260%5Buid%5D" TargetMode="External"/><Relationship Id="rId559" Type="http://schemas.openxmlformats.org/officeDocument/2006/relationships/hyperlink" Target="https://pubmed.ncbi.nlm.nih.gov/?term=18506185%5Buid%5D" TargetMode="External"/><Relationship Id="rId766" Type="http://schemas.openxmlformats.org/officeDocument/2006/relationships/hyperlink" Target="https://pubmed.ncbi.nlm.nih.gov/?term=22491798%2C%2026158423%2C%2029630768%2C%2023010323%5Buid%5D" TargetMode="External"/><Relationship Id="rId1189" Type="http://schemas.openxmlformats.org/officeDocument/2006/relationships/hyperlink" Target="https://www.ncbi.nlm.nih.gov/gene/55183" TargetMode="External"/><Relationship Id="rId1396" Type="http://schemas.openxmlformats.org/officeDocument/2006/relationships/hyperlink" Target="https://www.ncbi.nlm.nih.gov/gene/4292" TargetMode="External"/><Relationship Id="rId2142" Type="http://schemas.openxmlformats.org/officeDocument/2006/relationships/hyperlink" Target="https://www.uniprot.org/uniprot/P63104" TargetMode="External"/><Relationship Id="rId2447" Type="http://schemas.openxmlformats.org/officeDocument/2006/relationships/hyperlink" Target="https://www.uniprot.org/uniprot/P16455" TargetMode="External"/><Relationship Id="rId321" Type="http://schemas.openxmlformats.org/officeDocument/2006/relationships/hyperlink" Target="https://pubmed.ncbi.nlm.nih.gov/26337086,31814893" TargetMode="External"/><Relationship Id="rId419" Type="http://schemas.openxmlformats.org/officeDocument/2006/relationships/hyperlink" Target="https://pubmed.ncbi.nlm.nih.gov/?term=30808674,32534716" TargetMode="External"/><Relationship Id="rId626" Type="http://schemas.openxmlformats.org/officeDocument/2006/relationships/hyperlink" Target="https://pubmed.ncbi.nlm.nih.gov/?term=25143433%2C%2023302226%2C%2022509021%5Buid%5D" TargetMode="External"/><Relationship Id="rId973" Type="http://schemas.openxmlformats.org/officeDocument/2006/relationships/hyperlink" Target="https://www.ncbi.nlm.nih.gov/gene/10971" TargetMode="External"/><Relationship Id="rId1049" Type="http://schemas.openxmlformats.org/officeDocument/2006/relationships/hyperlink" Target="https://www.ncbi.nlm.nih.gov/gene/7124" TargetMode="External"/><Relationship Id="rId1256" Type="http://schemas.openxmlformats.org/officeDocument/2006/relationships/hyperlink" Target="https://www.ncbi.nlm.nih.gov/gene/5460" TargetMode="External"/><Relationship Id="rId2002" Type="http://schemas.openxmlformats.org/officeDocument/2006/relationships/hyperlink" Target="https://www.uniprot.org/uniprot/Q9NZQ7" TargetMode="External"/><Relationship Id="rId2307" Type="http://schemas.openxmlformats.org/officeDocument/2006/relationships/hyperlink" Target="https://www.uniprot.org/uniprot/O15315" TargetMode="External"/><Relationship Id="rId2654" Type="http://schemas.openxmlformats.org/officeDocument/2006/relationships/hyperlink" Target="https://www.uniprot.org/uniprot/P05181" TargetMode="External"/><Relationship Id="rId833" Type="http://schemas.openxmlformats.org/officeDocument/2006/relationships/hyperlink" Target="https://pubmed.ncbi.nlm.nih.gov/?term=31436806%5Buid%5D" TargetMode="External"/><Relationship Id="rId1116" Type="http://schemas.openxmlformats.org/officeDocument/2006/relationships/hyperlink" Target="https://www.ncbi.nlm.nih.gov/gene/6609" TargetMode="External"/><Relationship Id="rId1463" Type="http://schemas.openxmlformats.org/officeDocument/2006/relationships/hyperlink" Target="https://www.ncbi.nlm.nih.gov/gene/9817" TargetMode="External"/><Relationship Id="rId1670" Type="http://schemas.openxmlformats.org/officeDocument/2006/relationships/hyperlink" Target="https://www.ncbi.nlm.nih.gov/gene/22943" TargetMode="External"/><Relationship Id="rId1768" Type="http://schemas.openxmlformats.org/officeDocument/2006/relationships/hyperlink" Target="https://www.ncbi.nlm.nih.gov/gene/840" TargetMode="External"/><Relationship Id="rId2514" Type="http://schemas.openxmlformats.org/officeDocument/2006/relationships/hyperlink" Target="https://www.uniprot.org/uniprot/P20809" TargetMode="External"/><Relationship Id="rId2721" Type="http://schemas.openxmlformats.org/officeDocument/2006/relationships/hyperlink" Target="https://www.uniprot.org/uniprot/P27708" TargetMode="External"/><Relationship Id="rId900" Type="http://schemas.openxmlformats.org/officeDocument/2006/relationships/hyperlink" Target="https://pubmed.ncbi.nlm.nih.gov/?term=24029657%2C%2024378876%5Buid%5D" TargetMode="External"/><Relationship Id="rId1323" Type="http://schemas.openxmlformats.org/officeDocument/2006/relationships/hyperlink" Target="https://www.ncbi.nlm.nih.gov/gene/23636" TargetMode="External"/><Relationship Id="rId1530" Type="http://schemas.openxmlformats.org/officeDocument/2006/relationships/hyperlink" Target="https://www.ncbi.nlm.nih.gov/gene/113510" TargetMode="External"/><Relationship Id="rId1628" Type="http://schemas.openxmlformats.org/officeDocument/2006/relationships/hyperlink" Target="https://www.ncbi.nlm.nih.gov/gene/2068" TargetMode="External"/><Relationship Id="rId1975" Type="http://schemas.openxmlformats.org/officeDocument/2006/relationships/hyperlink" Target="https://www.uniprot.org/uniprot/P19440" TargetMode="External"/><Relationship Id="rId1835" Type="http://schemas.openxmlformats.org/officeDocument/2006/relationships/hyperlink" Target="https://www.ncbi.nlm.nih.gov/gene/467" TargetMode="External"/><Relationship Id="rId1902" Type="http://schemas.openxmlformats.org/officeDocument/2006/relationships/hyperlink" Target="https://www.uniprot.org/uniprot/Q96SD1" TargetMode="External"/><Relationship Id="rId2097" Type="http://schemas.openxmlformats.org/officeDocument/2006/relationships/hyperlink" Target="https://www.uniprot.org/uniprot/Q9UKV5" TargetMode="External"/><Relationship Id="rId276" Type="http://schemas.openxmlformats.org/officeDocument/2006/relationships/hyperlink" Target="https://pubmed.ncbi.nlm.nih.gov/?term=29391894%5Buid%5D" TargetMode="External"/><Relationship Id="rId483" Type="http://schemas.openxmlformats.org/officeDocument/2006/relationships/hyperlink" Target="https://pubmed.ncbi.nlm.nih.gov/?term=12637505%2C%2015386344%5Buid%5D" TargetMode="External"/><Relationship Id="rId690" Type="http://schemas.openxmlformats.org/officeDocument/2006/relationships/hyperlink" Target="https://pubmed.ncbi.nlm.nih.gov/?term=23147544%2C%2029368096%2C%2025368379%5Buid%5D" TargetMode="External"/><Relationship Id="rId2164" Type="http://schemas.openxmlformats.org/officeDocument/2006/relationships/hyperlink" Target="https://www.uniprot.org/uniprot/P40337" TargetMode="External"/><Relationship Id="rId2371" Type="http://schemas.openxmlformats.org/officeDocument/2006/relationships/hyperlink" Target="https://www.uniprot.org/uniprot/Q9GZP0" TargetMode="External"/><Relationship Id="rId136" Type="http://schemas.openxmlformats.org/officeDocument/2006/relationships/hyperlink" Target="https://pubmed.ncbi.nlm.nih.gov/?term=29207607%2C%2019583808%5Buid%5D" TargetMode="External"/><Relationship Id="rId343" Type="http://schemas.openxmlformats.org/officeDocument/2006/relationships/hyperlink" Target="https://pubmed.ncbi.nlm.nih.gov/?term=31556117%5Buid%5D" TargetMode="External"/><Relationship Id="rId550" Type="http://schemas.openxmlformats.org/officeDocument/2006/relationships/hyperlink" Target="https://pubmed.ncbi.nlm.nih.gov/?term=22296500%5Buid%5D" TargetMode="External"/><Relationship Id="rId788" Type="http://schemas.openxmlformats.org/officeDocument/2006/relationships/hyperlink" Target="https://pubmed.ncbi.nlm.nih.gov/?term=20682985%5Buid%5D" TargetMode="External"/><Relationship Id="rId995" Type="http://schemas.openxmlformats.org/officeDocument/2006/relationships/hyperlink" Target="https://www.ncbi.nlm.nih.gov/gene/57599" TargetMode="External"/><Relationship Id="rId1180" Type="http://schemas.openxmlformats.org/officeDocument/2006/relationships/hyperlink" Target="https://www.ncbi.nlm.nih.gov/gene/25873" TargetMode="External"/><Relationship Id="rId2024" Type="http://schemas.openxmlformats.org/officeDocument/2006/relationships/hyperlink" Target="https://www.uniprot.org/uniprot/Q00059" TargetMode="External"/><Relationship Id="rId2231" Type="http://schemas.openxmlformats.org/officeDocument/2006/relationships/hyperlink" Target="https://www.uniprot.org/uniprot/P09486" TargetMode="External"/><Relationship Id="rId2469" Type="http://schemas.openxmlformats.org/officeDocument/2006/relationships/hyperlink" Target="https://www.uniprot.org/uniprot/Q9H492" TargetMode="External"/><Relationship Id="rId2676" Type="http://schemas.openxmlformats.org/officeDocument/2006/relationships/hyperlink" Target="https://www.uniprot.org/uniprot/O14493" TargetMode="External"/><Relationship Id="rId203" Type="http://schemas.openxmlformats.org/officeDocument/2006/relationships/hyperlink" Target="https://pubmed.ncbi.nlm.nih.gov/?term=27922681%2C%2024408020%5Buid%5D" TargetMode="External"/><Relationship Id="rId648" Type="http://schemas.openxmlformats.org/officeDocument/2006/relationships/hyperlink" Target="https://pubmed.ncbi.nlm.nih.gov/?term=23518861%5Buid%5D" TargetMode="External"/><Relationship Id="rId855" Type="http://schemas.openxmlformats.org/officeDocument/2006/relationships/hyperlink" Target="https://pubmed.ncbi.nlm.nih.gov/?term=19110234%2C%2021472713%2C%2023907406%2C%2026492363%5Buid%5D" TargetMode="External"/><Relationship Id="rId1040" Type="http://schemas.openxmlformats.org/officeDocument/2006/relationships/hyperlink" Target="https://www.ncbi.nlm.nih.gov/gene/7156" TargetMode="External"/><Relationship Id="rId1278" Type="http://schemas.openxmlformats.org/officeDocument/2006/relationships/hyperlink" Target="https://www.ncbi.nlm.nih.gov/gene/55124" TargetMode="External"/><Relationship Id="rId1485" Type="http://schemas.openxmlformats.org/officeDocument/2006/relationships/hyperlink" Target="https://www.ncbi.nlm.nih.gov/gene/3574" TargetMode="External"/><Relationship Id="rId1692" Type="http://schemas.openxmlformats.org/officeDocument/2006/relationships/hyperlink" Target="https://www.ncbi.nlm.nih.gov/gene/3576" TargetMode="External"/><Relationship Id="rId2329" Type="http://schemas.openxmlformats.org/officeDocument/2006/relationships/hyperlink" Target="https://www.uniprot.org/uniprot/P10644" TargetMode="External"/><Relationship Id="rId2536" Type="http://schemas.openxmlformats.org/officeDocument/2006/relationships/hyperlink" Target="https://www.uniprot.org/uniprot/P52789" TargetMode="External"/><Relationship Id="rId2743" Type="http://schemas.openxmlformats.org/officeDocument/2006/relationships/hyperlink" Target="https://www.uniprot.org/uniprot/Q99728" TargetMode="External"/><Relationship Id="rId410" Type="http://schemas.openxmlformats.org/officeDocument/2006/relationships/hyperlink" Target="https://pubmed.ncbi.nlm.nih.gov/?term=27340780,29731768,20236757,27108527,26313152" TargetMode="External"/><Relationship Id="rId508" Type="http://schemas.openxmlformats.org/officeDocument/2006/relationships/hyperlink" Target="https://pubmed.ncbi.nlm.nih.gov/?term=19874802%2C%2027384994%2C%2031157304%5Buid%5D" TargetMode="External"/><Relationship Id="rId715" Type="http://schemas.openxmlformats.org/officeDocument/2006/relationships/hyperlink" Target="https://pubmed.ncbi.nlm.nih.gov/?term=30056367%2C%2027239958%5Buid%5D" TargetMode="External"/><Relationship Id="rId922" Type="http://schemas.openxmlformats.org/officeDocument/2006/relationships/hyperlink" Target="https://pubmed.ncbi.nlm.nih.gov/?term=26716514%5Buid%5D" TargetMode="External"/><Relationship Id="rId1138" Type="http://schemas.openxmlformats.org/officeDocument/2006/relationships/hyperlink" Target="https://www.ncbi.nlm.nih.gov/gene/6582" TargetMode="External"/><Relationship Id="rId1345" Type="http://schemas.openxmlformats.org/officeDocument/2006/relationships/hyperlink" Target="https://www.ncbi.nlm.nih.gov/gene/4780" TargetMode="External"/><Relationship Id="rId1552" Type="http://schemas.openxmlformats.org/officeDocument/2006/relationships/hyperlink" Target="https://www.ncbi.nlm.nih.gov/gene/2879" TargetMode="External"/><Relationship Id="rId1997" Type="http://schemas.openxmlformats.org/officeDocument/2006/relationships/hyperlink" Target="https://www.uniprot.org/uniprot/Q04743" TargetMode="External"/><Relationship Id="rId2603" Type="http://schemas.openxmlformats.org/officeDocument/2006/relationships/hyperlink" Target="https://www.uniprot.org/uniprot/Q15910" TargetMode="External"/><Relationship Id="rId1205" Type="http://schemas.openxmlformats.org/officeDocument/2006/relationships/hyperlink" Target="https://www.ncbi.nlm.nih.gov/gene/84991" TargetMode="External"/><Relationship Id="rId1857" Type="http://schemas.openxmlformats.org/officeDocument/2006/relationships/hyperlink" Target="https://www.ncbi.nlm.nih.gov/gene/218" TargetMode="External"/><Relationship Id="rId51" Type="http://schemas.openxmlformats.org/officeDocument/2006/relationships/hyperlink" Target="https://pubmed.ncbi.nlm.nih.gov/?term=25476899%2C%2025925371%5Buid%5D" TargetMode="External"/><Relationship Id="rId1412" Type="http://schemas.openxmlformats.org/officeDocument/2006/relationships/hyperlink" Target="https://www.ncbi.nlm.nih.gov/gene/4154" TargetMode="External"/><Relationship Id="rId1717" Type="http://schemas.openxmlformats.org/officeDocument/2006/relationships/hyperlink" Target="https://www.ncbi.nlm.nih.gov/gene/1366" TargetMode="External"/><Relationship Id="rId1924" Type="http://schemas.openxmlformats.org/officeDocument/2006/relationships/hyperlink" Target="https://www.uniprot.org/uniprot/Q9P2H5" TargetMode="External"/><Relationship Id="rId298" Type="http://schemas.openxmlformats.org/officeDocument/2006/relationships/hyperlink" Target="https://pubmed.ncbi.nlm.nih.gov/?term=19830698%2C%2019671159%5Buid%5D" TargetMode="External"/><Relationship Id="rId158" Type="http://schemas.openxmlformats.org/officeDocument/2006/relationships/hyperlink" Target="https://pubmed.ncbi.nlm.nih.gov/?term=26698249%2C%2030621723%5Buid%5D" TargetMode="External"/><Relationship Id="rId2186" Type="http://schemas.openxmlformats.org/officeDocument/2006/relationships/hyperlink" Target="https://www.uniprot.org/uniprot/Q12888" TargetMode="External"/><Relationship Id="rId2393" Type="http://schemas.openxmlformats.org/officeDocument/2006/relationships/hyperlink" Target="https://www.uniprot.org/uniprot/P22736" TargetMode="External"/><Relationship Id="rId2698" Type="http://schemas.openxmlformats.org/officeDocument/2006/relationships/hyperlink" Target="https://www.uniprot.org/uniprot/P10966" TargetMode="External"/><Relationship Id="rId365" Type="http://schemas.openxmlformats.org/officeDocument/2006/relationships/hyperlink" Target="https://pubmed.ncbi.nlm.nih.gov/?term=29146722%5Buid%5D" TargetMode="External"/><Relationship Id="rId572" Type="http://schemas.openxmlformats.org/officeDocument/2006/relationships/hyperlink" Target="https://pubmed.ncbi.nlm.nih.gov/?term=28746220%5Buid%5D" TargetMode="External"/><Relationship Id="rId2046" Type="http://schemas.openxmlformats.org/officeDocument/2006/relationships/hyperlink" Target="https://www.uniprot.org/uniprot/Q8NEM2" TargetMode="External"/><Relationship Id="rId2253" Type="http://schemas.openxmlformats.org/officeDocument/2006/relationships/hyperlink" Target="https://www.uniprot.org/uniprot/O14975" TargetMode="External"/><Relationship Id="rId2460" Type="http://schemas.openxmlformats.org/officeDocument/2006/relationships/hyperlink" Target="https://www.uniprot.org/uniprot/P53778" TargetMode="External"/><Relationship Id="rId225" Type="http://schemas.openxmlformats.org/officeDocument/2006/relationships/hyperlink" Target="https://pubmed.ncbi.nlm.nih.gov/?term=23684582%5Buid%5D" TargetMode="External"/><Relationship Id="rId432" Type="http://schemas.openxmlformats.org/officeDocument/2006/relationships/hyperlink" Target="https://pubmed.ncbi.nlm.nih.gov/?term=27694900%5Buid%5D" TargetMode="External"/><Relationship Id="rId877" Type="http://schemas.openxmlformats.org/officeDocument/2006/relationships/hyperlink" Target="https://pubmed.ncbi.nlm.nih.gov/?term=30643929%2C%2025107571%5Buid%5D" TargetMode="External"/><Relationship Id="rId1062" Type="http://schemas.openxmlformats.org/officeDocument/2006/relationships/hyperlink" Target="https://www.ncbi.nlm.nih.gov/gene/7057" TargetMode="External"/><Relationship Id="rId2113" Type="http://schemas.openxmlformats.org/officeDocument/2006/relationships/hyperlink" Target="https://www.uniprot.org/uniprot/P54132" TargetMode="External"/><Relationship Id="rId2320" Type="http://schemas.openxmlformats.org/officeDocument/2006/relationships/hyperlink" Target="https://www.uniprot.org/uniprot/P07477" TargetMode="External"/><Relationship Id="rId2558" Type="http://schemas.openxmlformats.org/officeDocument/2006/relationships/hyperlink" Target="https://www.uniprot.org/uniprot/Q86WP2" TargetMode="External"/><Relationship Id="rId2765" Type="http://schemas.openxmlformats.org/officeDocument/2006/relationships/hyperlink" Target="https://www.uniprot.org/uniprot/P18848" TargetMode="External"/><Relationship Id="rId737" Type="http://schemas.openxmlformats.org/officeDocument/2006/relationships/hyperlink" Target="https://pubmed.ncbi.nlm.nih.gov/?term=31479922%5Buid%5D" TargetMode="External"/><Relationship Id="rId944" Type="http://schemas.openxmlformats.org/officeDocument/2006/relationships/hyperlink" Target="https://www.ncbi.nlm.nih.gov/gene/2948" TargetMode="External"/><Relationship Id="rId1367" Type="http://schemas.openxmlformats.org/officeDocument/2006/relationships/hyperlink" Target="https://www.ncbi.nlm.nih.gov/gene/80198" TargetMode="External"/><Relationship Id="rId1574" Type="http://schemas.openxmlformats.org/officeDocument/2006/relationships/hyperlink" Target="https://www.ncbi.nlm.nih.gov/gene/8880" TargetMode="External"/><Relationship Id="rId1781" Type="http://schemas.openxmlformats.org/officeDocument/2006/relationships/hyperlink" Target="https://www.ncbi.nlm.nih.gov/gene/682" TargetMode="External"/><Relationship Id="rId2418" Type="http://schemas.openxmlformats.org/officeDocument/2006/relationships/hyperlink" Target="https://www.uniprot.org/uniprot/Q99836" TargetMode="External"/><Relationship Id="rId2625" Type="http://schemas.openxmlformats.org/officeDocument/2006/relationships/hyperlink" Target="https://www.uniprot.org/uniprot/Q14152" TargetMode="External"/><Relationship Id="rId73" Type="http://schemas.openxmlformats.org/officeDocument/2006/relationships/hyperlink" Target="https://pubmed.ncbi.nlm.nih.gov/?term=12216079%2C%2018610736%2C%2015790435%5Buid%5D" TargetMode="External"/><Relationship Id="rId804" Type="http://schemas.openxmlformats.org/officeDocument/2006/relationships/hyperlink" Target="https://pubmed.ncbi.nlm.nih.gov/?term=30375398%5Buid%5D" TargetMode="External"/><Relationship Id="rId1227" Type="http://schemas.openxmlformats.org/officeDocument/2006/relationships/hyperlink" Target="https://www.ncbi.nlm.nih.gov/gene/22976" TargetMode="External"/><Relationship Id="rId1434" Type="http://schemas.openxmlformats.org/officeDocument/2006/relationships/hyperlink" Target="https://www.ncbi.nlm.nih.gov/gene/346389" TargetMode="External"/><Relationship Id="rId1641" Type="http://schemas.openxmlformats.org/officeDocument/2006/relationships/hyperlink" Target="https://www.ncbi.nlm.nih.gov/gene/146956" TargetMode="External"/><Relationship Id="rId1879" Type="http://schemas.openxmlformats.org/officeDocument/2006/relationships/hyperlink" Target="https://www.ncbi.nlm.nih.gov/gene/225" TargetMode="External"/><Relationship Id="rId1501" Type="http://schemas.openxmlformats.org/officeDocument/2006/relationships/hyperlink" Target="https://www.ncbi.nlm.nih.gov/gene/3397" TargetMode="External"/><Relationship Id="rId1739" Type="http://schemas.openxmlformats.org/officeDocument/2006/relationships/hyperlink" Target="https://www.ncbi.nlm.nih.gov/gene/1000" TargetMode="External"/><Relationship Id="rId1946" Type="http://schemas.openxmlformats.org/officeDocument/2006/relationships/hyperlink" Target="https://www.uniprot.org/uniprot/Q9BRA2" TargetMode="External"/><Relationship Id="rId1806" Type="http://schemas.openxmlformats.org/officeDocument/2006/relationships/hyperlink" Target="https://www.ncbi.nlm.nih.gov/gene/586" TargetMode="External"/><Relationship Id="rId387" Type="http://schemas.openxmlformats.org/officeDocument/2006/relationships/hyperlink" Target="https://pubmed.ncbi.nlm.nih.gov/?term=28237487,28466152,30066840,22281241,26947588" TargetMode="External"/><Relationship Id="rId594" Type="http://schemas.openxmlformats.org/officeDocument/2006/relationships/hyperlink" Target="https://pubmed.ncbi.nlm.nih.gov/?term=20735432%5Buid%5D" TargetMode="External"/><Relationship Id="rId2068" Type="http://schemas.openxmlformats.org/officeDocument/2006/relationships/hyperlink" Target="https://www.uniprot.org/uniprot/Q86T82" TargetMode="External"/><Relationship Id="rId2275" Type="http://schemas.openxmlformats.org/officeDocument/2006/relationships/hyperlink" Target="https://www.uniprot.org/uniprot/P31350" TargetMode="External"/><Relationship Id="rId247" Type="http://schemas.openxmlformats.org/officeDocument/2006/relationships/hyperlink" Target="https://pubmed.ncbi.nlm.nih.gov/?term=23570372%5Buid%5D" TargetMode="External"/><Relationship Id="rId899" Type="http://schemas.openxmlformats.org/officeDocument/2006/relationships/hyperlink" Target="https://pubmed.ncbi.nlm.nih.gov/?term=21606679%5Buid%5D" TargetMode="External"/><Relationship Id="rId1084" Type="http://schemas.openxmlformats.org/officeDocument/2006/relationships/hyperlink" Target="https://www.ncbi.nlm.nih.gov/gene/56241" TargetMode="External"/><Relationship Id="rId2482" Type="http://schemas.openxmlformats.org/officeDocument/2006/relationships/hyperlink" Target="https://www.uniprot.org/uniprot/P49917" TargetMode="External"/><Relationship Id="rId2787" Type="http://schemas.openxmlformats.org/officeDocument/2006/relationships/hyperlink" Target="https://www.uniprot.org/uniprot/O60218" TargetMode="External"/><Relationship Id="rId107" Type="http://schemas.openxmlformats.org/officeDocument/2006/relationships/hyperlink" Target="https://pubmed.ncbi.nlm.nih.gov/?term=15547178%2C%2017956347%2C%2018413725%2C%2020940403%2C%2022253870%2C%2024168967%5Buid%5D" TargetMode="External"/><Relationship Id="rId454" Type="http://schemas.openxmlformats.org/officeDocument/2006/relationships/hyperlink" Target="https://pubmed.ncbi.nlm.nih.gov/?term=27626163%5Buid%5D" TargetMode="External"/><Relationship Id="rId661" Type="http://schemas.openxmlformats.org/officeDocument/2006/relationships/hyperlink" Target="https://pubmed.ncbi.nlm.nih.gov/?term=30305341%5Buid%5D" TargetMode="External"/><Relationship Id="rId759" Type="http://schemas.openxmlformats.org/officeDocument/2006/relationships/hyperlink" Target="https://pubmed.ncbi.nlm.nih.gov/?term=16914559%2C%2023053895%5Buid%5D" TargetMode="External"/><Relationship Id="rId966" Type="http://schemas.openxmlformats.org/officeDocument/2006/relationships/hyperlink" Target="https://www.ncbi.nlm.nih.gov/gene/22926" TargetMode="External"/><Relationship Id="rId1291" Type="http://schemas.openxmlformats.org/officeDocument/2006/relationships/hyperlink" Target="https://www.ncbi.nlm.nih.gov/gene/5226" TargetMode="External"/><Relationship Id="rId1389" Type="http://schemas.openxmlformats.org/officeDocument/2006/relationships/hyperlink" Target="https://www.ncbi.nlm.nih.gov/gene/9313" TargetMode="External"/><Relationship Id="rId1596" Type="http://schemas.openxmlformats.org/officeDocument/2006/relationships/hyperlink" Target="https://www.ncbi.nlm.nih.gov/gene/2194" TargetMode="External"/><Relationship Id="rId2135" Type="http://schemas.openxmlformats.org/officeDocument/2006/relationships/hyperlink" Target="https://www.uniprot.org/uniprot/Q9BTP7" TargetMode="External"/><Relationship Id="rId2342" Type="http://schemas.openxmlformats.org/officeDocument/2006/relationships/hyperlink" Target="https://www.uniprot.org/uniprot/Q9NP87" TargetMode="External"/><Relationship Id="rId2647" Type="http://schemas.openxmlformats.org/officeDocument/2006/relationships/hyperlink" Target="https://www.uniprot.org/uniprot/Q92466" TargetMode="External"/><Relationship Id="rId314" Type="http://schemas.openxmlformats.org/officeDocument/2006/relationships/hyperlink" Target="https://pubmed.ncbi.nlm.nih.gov/?term=24824601%5Buid%5D" TargetMode="External"/><Relationship Id="rId521" Type="http://schemas.openxmlformats.org/officeDocument/2006/relationships/hyperlink" Target="https://pubmed.ncbi.nlm.nih.gov/?term=3175622%2C%209216861%2C%2029854276%2C%2024924344%5Buid%5D" TargetMode="External"/><Relationship Id="rId619" Type="http://schemas.openxmlformats.org/officeDocument/2006/relationships/hyperlink" Target="https://pubmed.ncbi.nlm.nih.gov/?term=25099161%5Buid%5D" TargetMode="External"/><Relationship Id="rId1151" Type="http://schemas.openxmlformats.org/officeDocument/2006/relationships/hyperlink" Target="https://www.ncbi.nlm.nih.gov/gene/2810" TargetMode="External"/><Relationship Id="rId1249" Type="http://schemas.openxmlformats.org/officeDocument/2006/relationships/hyperlink" Target="https://www.ncbi.nlm.nih.gov/gene/10935" TargetMode="External"/><Relationship Id="rId2202" Type="http://schemas.openxmlformats.org/officeDocument/2006/relationships/hyperlink" Target="https://www.uniprot.org/uniprot/Q9UNS1" TargetMode="External"/><Relationship Id="rId95" Type="http://schemas.openxmlformats.org/officeDocument/2006/relationships/hyperlink" Target="https://pubmed.ncbi.nlm.nih.gov/?term=30176890%5Buid%5D" TargetMode="External"/><Relationship Id="rId826" Type="http://schemas.openxmlformats.org/officeDocument/2006/relationships/hyperlink" Target="https://pubmed.ncbi.nlm.nih.gov/?term=25375122%2C%2028765565%2C%2026020272%5Buid%5D" TargetMode="External"/><Relationship Id="rId1011" Type="http://schemas.openxmlformats.org/officeDocument/2006/relationships/hyperlink" Target="https://www.ncbi.nlm.nih.gov/gene/7357" TargetMode="External"/><Relationship Id="rId1109" Type="http://schemas.openxmlformats.org/officeDocument/2006/relationships/hyperlink" Target="https://www.ncbi.nlm.nih.gov/gene/64321" TargetMode="External"/><Relationship Id="rId1456" Type="http://schemas.openxmlformats.org/officeDocument/2006/relationships/hyperlink" Target="https://www.ncbi.nlm.nih.gov/gene/3848" TargetMode="External"/><Relationship Id="rId1663" Type="http://schemas.openxmlformats.org/officeDocument/2006/relationships/hyperlink" Target="https://www.ncbi.nlm.nih.gov/gene/1843" TargetMode="External"/><Relationship Id="rId1870" Type="http://schemas.openxmlformats.org/officeDocument/2006/relationships/hyperlink" Target="https://www.ncbi.nlm.nih.gov/gene/102" TargetMode="External"/><Relationship Id="rId1968" Type="http://schemas.openxmlformats.org/officeDocument/2006/relationships/hyperlink" Target="https://www.uniprot.org/uniprot/Q9H4E5" TargetMode="External"/><Relationship Id="rId2507" Type="http://schemas.openxmlformats.org/officeDocument/2006/relationships/hyperlink" Target="https://www.uniprot.org/uniprot/P18084" TargetMode="External"/><Relationship Id="rId2714" Type="http://schemas.openxmlformats.org/officeDocument/2006/relationships/hyperlink" Target="https://www.uniprot.org/uniprot/P55212" TargetMode="External"/><Relationship Id="rId1316" Type="http://schemas.openxmlformats.org/officeDocument/2006/relationships/hyperlink" Target="https://www.ncbi.nlm.nih.gov/gene/9061" TargetMode="External"/><Relationship Id="rId1523" Type="http://schemas.openxmlformats.org/officeDocument/2006/relationships/hyperlink" Target="https://www.ncbi.nlm.nih.gov/gene/3146" TargetMode="External"/><Relationship Id="rId1730" Type="http://schemas.openxmlformats.org/officeDocument/2006/relationships/hyperlink" Target="https://www.ncbi.nlm.nih.gov/gene/1029" TargetMode="External"/><Relationship Id="rId22" Type="http://schemas.openxmlformats.org/officeDocument/2006/relationships/hyperlink" Target="https://pubmed.ncbi.nlm.nih.gov/?term=29247567%2C%2020672324%5Buid%5D" TargetMode="External"/><Relationship Id="rId1828" Type="http://schemas.openxmlformats.org/officeDocument/2006/relationships/hyperlink" Target="https://www.ncbi.nlm.nih.gov/gene/23300" TargetMode="External"/><Relationship Id="rId171" Type="http://schemas.openxmlformats.org/officeDocument/2006/relationships/hyperlink" Target="https://pubmed.ncbi.nlm.nih.gov/?term=18560356%2C%2029950928%2C%2017785555%5Buid%5D" TargetMode="External"/><Relationship Id="rId2297" Type="http://schemas.openxmlformats.org/officeDocument/2006/relationships/hyperlink" Target="https://www.uniprot.org/uniprot/P46063" TargetMode="External"/><Relationship Id="rId269" Type="http://schemas.openxmlformats.org/officeDocument/2006/relationships/hyperlink" Target="https://pubmed.ncbi.nlm.nih.gov/?term=25634215%2C%2026338418%2C%2033469680%5Buid%5D" TargetMode="External"/><Relationship Id="rId476" Type="http://schemas.openxmlformats.org/officeDocument/2006/relationships/hyperlink" Target="https://pubmed.ncbi.nlm.nih.gov/?term=9926932%2C%2028446401%5Buid%5D" TargetMode="External"/><Relationship Id="rId683" Type="http://schemas.openxmlformats.org/officeDocument/2006/relationships/hyperlink" Target="https://pubmed.ncbi.nlm.nih.gov/?term=29620223%2C%2031640742%2C%2026138778%2C%2026369335%5Buid%5D" TargetMode="External"/><Relationship Id="rId890" Type="http://schemas.openxmlformats.org/officeDocument/2006/relationships/hyperlink" Target="https://pubmed.ncbi.nlm.nih.gov/?term=29409484%2C%2027191984%2C%2019693666%5Buid%5D" TargetMode="External"/><Relationship Id="rId2157" Type="http://schemas.openxmlformats.org/officeDocument/2006/relationships/hyperlink" Target="https://www.uniprot.org/uniprot/P98170" TargetMode="External"/><Relationship Id="rId2364" Type="http://schemas.openxmlformats.org/officeDocument/2006/relationships/hyperlink" Target="https://www.uniprot.org/uniprot/P52209" TargetMode="External"/><Relationship Id="rId2571" Type="http://schemas.openxmlformats.org/officeDocument/2006/relationships/hyperlink" Target="https://www.uniprot.org/uniprot/Q96AE4" TargetMode="External"/><Relationship Id="rId129" Type="http://schemas.openxmlformats.org/officeDocument/2006/relationships/hyperlink" Target="https://pubmed.ncbi.nlm.nih.gov/?term=30458366%2C%2024236104%5Buid%5D" TargetMode="External"/><Relationship Id="rId336" Type="http://schemas.openxmlformats.org/officeDocument/2006/relationships/hyperlink" Target="https://pubmed.ncbi.nlm.nih.gov/?term=27191653%2C%2029633308%5Buid%5D" TargetMode="External"/><Relationship Id="rId543" Type="http://schemas.openxmlformats.org/officeDocument/2006/relationships/hyperlink" Target="https://pubmed.ncbi.nlm.nih.gov/?term=23652306%5Buid%5D" TargetMode="External"/><Relationship Id="rId988" Type="http://schemas.openxmlformats.org/officeDocument/2006/relationships/hyperlink" Target="https://www.ncbi.nlm.nih.gov/gene/331" TargetMode="External"/><Relationship Id="rId1173" Type="http://schemas.openxmlformats.org/officeDocument/2006/relationships/hyperlink" Target="https://www.ncbi.nlm.nih.gov/gene/6199" TargetMode="External"/><Relationship Id="rId1380" Type="http://schemas.openxmlformats.org/officeDocument/2006/relationships/hyperlink" Target="https://www.ncbi.nlm.nih.gov/gene/2956" TargetMode="External"/><Relationship Id="rId2017" Type="http://schemas.openxmlformats.org/officeDocument/2006/relationships/hyperlink" Target="https://www.uniprot.org/uniprot/Q14061" TargetMode="External"/><Relationship Id="rId2224" Type="http://schemas.openxmlformats.org/officeDocument/2006/relationships/hyperlink" Target="https://www.uniprot.org/uniprot/P42224" TargetMode="External"/><Relationship Id="rId2669" Type="http://schemas.openxmlformats.org/officeDocument/2006/relationships/hyperlink" Target="https://www.uniprot.org/uniprot/P12107" TargetMode="External"/><Relationship Id="rId403" Type="http://schemas.openxmlformats.org/officeDocument/2006/relationships/hyperlink" Target="https://pubmed.ncbi.nlm.nih.gov/?term=29662190%5Buid%5D" TargetMode="External"/><Relationship Id="rId750" Type="http://schemas.openxmlformats.org/officeDocument/2006/relationships/hyperlink" Target="https://pubmed.ncbi.nlm.nih.gov/?term=25485633%2C%2025219252%5Buid%5D" TargetMode="External"/><Relationship Id="rId848" Type="http://schemas.openxmlformats.org/officeDocument/2006/relationships/hyperlink" Target="https://pubmed.ncbi.nlm.nih.gov/?term=20589834%2C%2021969054%5Buid%5D" TargetMode="External"/><Relationship Id="rId1033" Type="http://schemas.openxmlformats.org/officeDocument/2006/relationships/hyperlink" Target="https://www.ncbi.nlm.nih.gov/gene/7161" TargetMode="External"/><Relationship Id="rId1478" Type="http://schemas.openxmlformats.org/officeDocument/2006/relationships/hyperlink" Target="https://www.ncbi.nlm.nih.gov/gene/3693" TargetMode="External"/><Relationship Id="rId1685" Type="http://schemas.openxmlformats.org/officeDocument/2006/relationships/hyperlink" Target="https://www.ncbi.nlm.nih.gov/gene/1616" TargetMode="External"/><Relationship Id="rId1892" Type="http://schemas.openxmlformats.org/officeDocument/2006/relationships/hyperlink" Target="https://www.uniprot.org/uniprot/O15245" TargetMode="External"/><Relationship Id="rId2431" Type="http://schemas.openxmlformats.org/officeDocument/2006/relationships/hyperlink" Target="https://www.uniprot.org/uniprot/P28360" TargetMode="External"/><Relationship Id="rId2529" Type="http://schemas.openxmlformats.org/officeDocument/2006/relationships/hyperlink" Target="https://www.uniprot.org/uniprot/P17483" TargetMode="External"/><Relationship Id="rId2736" Type="http://schemas.openxmlformats.org/officeDocument/2006/relationships/hyperlink" Target="https://www.uniprot.org/uniprot/Q92843" TargetMode="External"/><Relationship Id="rId610" Type="http://schemas.openxmlformats.org/officeDocument/2006/relationships/hyperlink" Target="https://pubmed.ncbi.nlm.nih.gov/?term=19797399%2C%2028197632%5Buid%5D" TargetMode="External"/><Relationship Id="rId708" Type="http://schemas.openxmlformats.org/officeDocument/2006/relationships/hyperlink" Target="https://pubmed.ncbi.nlm.nih.gov/?term=22971344%5Buid%5D" TargetMode="External"/><Relationship Id="rId915" Type="http://schemas.openxmlformats.org/officeDocument/2006/relationships/hyperlink" Target="https://pubmed.ncbi.nlm.nih.gov/?term=27649553%5Buid%5D" TargetMode="External"/><Relationship Id="rId1240" Type="http://schemas.openxmlformats.org/officeDocument/2006/relationships/hyperlink" Target="https://www.ncbi.nlm.nih.gov/gene/5591" TargetMode="External"/><Relationship Id="rId1338" Type="http://schemas.openxmlformats.org/officeDocument/2006/relationships/hyperlink" Target="https://www.ncbi.nlm.nih.gov/gene/4846" TargetMode="External"/><Relationship Id="rId1545" Type="http://schemas.openxmlformats.org/officeDocument/2006/relationships/hyperlink" Target="https://www.ncbi.nlm.nih.gov/gene/2936" TargetMode="External"/><Relationship Id="rId1100" Type="http://schemas.openxmlformats.org/officeDocument/2006/relationships/hyperlink" Target="https://www.ncbi.nlm.nih.gov/gene/6714" TargetMode="External"/><Relationship Id="rId1405" Type="http://schemas.openxmlformats.org/officeDocument/2006/relationships/hyperlink" Target="https://www.ncbi.nlm.nih.gov/gene/4221" TargetMode="External"/><Relationship Id="rId1752" Type="http://schemas.openxmlformats.org/officeDocument/2006/relationships/hyperlink" Target="https://www.ncbi.nlm.nih.gov/gene/100133941" TargetMode="External"/><Relationship Id="rId2803" Type="http://schemas.openxmlformats.org/officeDocument/2006/relationships/hyperlink" Target="https://www.uniprot.org/uniprot/Q92887" TargetMode="External"/><Relationship Id="rId44" Type="http://schemas.openxmlformats.org/officeDocument/2006/relationships/hyperlink" Target="https://pubmed.ncbi.nlm.nih.gov/?term=26164266%2C%2020087352%2C%2021357694%5Buid%5D" TargetMode="External"/><Relationship Id="rId1612" Type="http://schemas.openxmlformats.org/officeDocument/2006/relationships/hyperlink" Target="https://www.ncbi.nlm.nih.gov/gene/222584" TargetMode="External"/><Relationship Id="rId1917" Type="http://schemas.openxmlformats.org/officeDocument/2006/relationships/hyperlink" Target="https://www.uniprot.org/uniprot/P01584" TargetMode="External"/><Relationship Id="rId193" Type="http://schemas.openxmlformats.org/officeDocument/2006/relationships/hyperlink" Target="https://pubmed.ncbi.nlm.nih.gov/?term=24973089%2C%208205352%2C%2027229528%5Buid%5D" TargetMode="External"/><Relationship Id="rId498" Type="http://schemas.openxmlformats.org/officeDocument/2006/relationships/hyperlink" Target="https://pubmed.ncbi.nlm.nih.gov/?term=20005867%5Buid%5D" TargetMode="External"/><Relationship Id="rId2081" Type="http://schemas.openxmlformats.org/officeDocument/2006/relationships/hyperlink" Target="https://www.uniprot.org/uniprot/P35240" TargetMode="External"/><Relationship Id="rId2179" Type="http://schemas.openxmlformats.org/officeDocument/2006/relationships/hyperlink" Target="https://www.uniprot.org/uniprot/Q12816" TargetMode="External"/><Relationship Id="rId260" Type="http://schemas.openxmlformats.org/officeDocument/2006/relationships/hyperlink" Target="https://pubmed.ncbi.nlm.nih.gov/?term=20301390%2C%2021618587%2C%2028574829%5Buid%5D" TargetMode="External"/><Relationship Id="rId2386" Type="http://schemas.openxmlformats.org/officeDocument/2006/relationships/hyperlink" Target="https://www.uniprot.org/uniprot/P37198" TargetMode="External"/><Relationship Id="rId2593" Type="http://schemas.openxmlformats.org/officeDocument/2006/relationships/hyperlink" Target="https://www.uniprot.org/uniprot/O15287" TargetMode="External"/><Relationship Id="rId120" Type="http://schemas.openxmlformats.org/officeDocument/2006/relationships/hyperlink" Target="https://pubmed.ncbi.nlm.nih.gov/?term=11703590%2C%2030816202%2C%209787143%5Buid%5D" TargetMode="External"/><Relationship Id="rId358" Type="http://schemas.openxmlformats.org/officeDocument/2006/relationships/hyperlink" Target="https://pubmed.ncbi.nlm.nih.gov/?term=22609777%2C%2025115341%2C%2030285805%5Buid%5D" TargetMode="External"/><Relationship Id="rId565" Type="http://schemas.openxmlformats.org/officeDocument/2006/relationships/hyperlink" Target="https://pubmed.ncbi.nlm.nih.gov/?term=29865885%2C%2023831944%2C%2024533712%20%5Buid%5D" TargetMode="External"/><Relationship Id="rId772" Type="http://schemas.openxmlformats.org/officeDocument/2006/relationships/hyperlink" Target="https://pubmed.ncbi.nlm.nih.gov/24516043,27133165" TargetMode="External"/><Relationship Id="rId1195" Type="http://schemas.openxmlformats.org/officeDocument/2006/relationships/hyperlink" Target="https://www.ncbi.nlm.nih.gov/gene/5981" TargetMode="External"/><Relationship Id="rId2039" Type="http://schemas.openxmlformats.org/officeDocument/2006/relationships/hyperlink" Target="https://www.uniprot.org/uniprot/P02751" TargetMode="External"/><Relationship Id="rId2246" Type="http://schemas.openxmlformats.org/officeDocument/2006/relationships/hyperlink" Target="https://www.uniprot.org/uniprot/Q9UPY5" TargetMode="External"/><Relationship Id="rId2453" Type="http://schemas.openxmlformats.org/officeDocument/2006/relationships/hyperlink" Target="https://www.uniprot.org/uniprot/Q00987" TargetMode="External"/><Relationship Id="rId2660" Type="http://schemas.openxmlformats.org/officeDocument/2006/relationships/hyperlink" Target="https://www.uniprot.org/uniprot/Q13619" TargetMode="External"/><Relationship Id="rId218" Type="http://schemas.openxmlformats.org/officeDocument/2006/relationships/hyperlink" Target="https://pubmed.ncbi.nlm.nih.gov/?term=19446547%2C%2023903781%2C%2026887775%5Buid%5D" TargetMode="External"/><Relationship Id="rId425" Type="http://schemas.openxmlformats.org/officeDocument/2006/relationships/hyperlink" Target="https://pubmed.ncbi.nlm.nih.gov/?term=30439707,31949859,32341033" TargetMode="External"/><Relationship Id="rId632" Type="http://schemas.openxmlformats.org/officeDocument/2006/relationships/hyperlink" Target="https://pubmed.ncbi.nlm.nih.gov/?term=28074003%2C%2021357694%2C%2025561897%5Buid%5D" TargetMode="External"/><Relationship Id="rId1055" Type="http://schemas.openxmlformats.org/officeDocument/2006/relationships/hyperlink" Target="https://www.ncbi.nlm.nih.gov/gene/7099" TargetMode="External"/><Relationship Id="rId1262" Type="http://schemas.openxmlformats.org/officeDocument/2006/relationships/hyperlink" Target="https://www.ncbi.nlm.nih.gov/gene/5429" TargetMode="External"/><Relationship Id="rId2106" Type="http://schemas.openxmlformats.org/officeDocument/2006/relationships/hyperlink" Target="https://www.uniprot.org/uniprot/Q5BJF2" TargetMode="External"/><Relationship Id="rId2313" Type="http://schemas.openxmlformats.org/officeDocument/2006/relationships/hyperlink" Target="https://www.uniprot.org/uniprot/Q05397" TargetMode="External"/><Relationship Id="rId2520" Type="http://schemas.openxmlformats.org/officeDocument/2006/relationships/hyperlink" Target="https://www.uniprot.org/uniprot/P05019" TargetMode="External"/><Relationship Id="rId2758" Type="http://schemas.openxmlformats.org/officeDocument/2006/relationships/hyperlink" Target="https://www.uniprot.org/uniprot/P38606" TargetMode="External"/><Relationship Id="rId937" Type="http://schemas.openxmlformats.org/officeDocument/2006/relationships/hyperlink" Target="https://pubmed.ncbi.nlm.nih.gov/?term=30648820%2C%2023401855.%2026215093%5Buid%5D" TargetMode="External"/><Relationship Id="rId1122" Type="http://schemas.openxmlformats.org/officeDocument/2006/relationships/hyperlink" Target="https://www.ncbi.nlm.nih.gov/gene/84464" TargetMode="External"/><Relationship Id="rId1567" Type="http://schemas.openxmlformats.org/officeDocument/2006/relationships/hyperlink" Target="https://www.ncbi.nlm.nih.gov/gene/2729" TargetMode="External"/><Relationship Id="rId1774" Type="http://schemas.openxmlformats.org/officeDocument/2006/relationships/hyperlink" Target="https://www.ncbi.nlm.nih.gov/gene/100506742" TargetMode="External"/><Relationship Id="rId1981" Type="http://schemas.openxmlformats.org/officeDocument/2006/relationships/hyperlink" Target="https://www.uniprot.org/uniprot/P04179" TargetMode="External"/><Relationship Id="rId2618" Type="http://schemas.openxmlformats.org/officeDocument/2006/relationships/hyperlink" Target="https://www.uniprot.org/uniprot/Q09472" TargetMode="External"/><Relationship Id="rId66" Type="http://schemas.openxmlformats.org/officeDocument/2006/relationships/hyperlink" Target="https://pubmed.ncbi.nlm.nih.gov/?term=11519050%2C%2015547183%5Buid%5D" TargetMode="External"/><Relationship Id="rId1427" Type="http://schemas.openxmlformats.org/officeDocument/2006/relationships/hyperlink" Target="https://www.ncbi.nlm.nih.gov/gene/5604" TargetMode="External"/><Relationship Id="rId1634" Type="http://schemas.openxmlformats.org/officeDocument/2006/relationships/hyperlink" Target="https://www.ncbi.nlm.nih.gov/gene/4072" TargetMode="External"/><Relationship Id="rId1841" Type="http://schemas.openxmlformats.org/officeDocument/2006/relationships/hyperlink" Target="https://www.ncbi.nlm.nih.gov/gene/10620" TargetMode="External"/><Relationship Id="rId1939" Type="http://schemas.openxmlformats.org/officeDocument/2006/relationships/hyperlink" Target="https://www.uniprot.org/uniprot/O15530" TargetMode="External"/><Relationship Id="rId1701" Type="http://schemas.openxmlformats.org/officeDocument/2006/relationships/hyperlink" Target="https://www.ncbi.nlm.nih.gov/gene/1436" TargetMode="External"/><Relationship Id="rId282" Type="http://schemas.openxmlformats.org/officeDocument/2006/relationships/hyperlink" Target="https://pubmed.ncbi.nlm.nih.gov/?term=21115814%2C%2027026368%2C%2020603016%5Buid%5D" TargetMode="External"/><Relationship Id="rId587" Type="http://schemas.openxmlformats.org/officeDocument/2006/relationships/hyperlink" Target="https://pubmed.ncbi.nlm.nih.gov/?term=20798217%5Buid%5D" TargetMode="External"/><Relationship Id="rId2170" Type="http://schemas.openxmlformats.org/officeDocument/2006/relationships/hyperlink" Target="https://www.uniprot.org/uniprot/P13051" TargetMode="External"/><Relationship Id="rId2268" Type="http://schemas.openxmlformats.org/officeDocument/2006/relationships/hyperlink" Target="https://www.uniprot.org/uniprot/O14521" TargetMode="External"/><Relationship Id="rId8" Type="http://schemas.openxmlformats.org/officeDocument/2006/relationships/hyperlink" Target="https://pubmed.ncbi.nlm.nih.gov/?term=20005867%2C%2020200426%5Buid%5D" TargetMode="External"/><Relationship Id="rId142" Type="http://schemas.openxmlformats.org/officeDocument/2006/relationships/hyperlink" Target="https://pubmed.ncbi.nlm.nih.gov/?term=32024543%2C%2025597412%2C%2030808674%5Buid%5D" TargetMode="External"/><Relationship Id="rId447" Type="http://schemas.openxmlformats.org/officeDocument/2006/relationships/hyperlink" Target="https://pubmed.ncbi.nlm.nih.gov/?term=26495758%2C%2028147318%5Buid%5D" TargetMode="External"/><Relationship Id="rId794" Type="http://schemas.openxmlformats.org/officeDocument/2006/relationships/hyperlink" Target="https://pubmed.ncbi.nlm.nih.gov/?term=29071717%5Buid%5D" TargetMode="External"/><Relationship Id="rId1077" Type="http://schemas.openxmlformats.org/officeDocument/2006/relationships/hyperlink" Target="https://www.ncbi.nlm.nih.gov/gene/7005" TargetMode="External"/><Relationship Id="rId2030" Type="http://schemas.openxmlformats.org/officeDocument/2006/relationships/hyperlink" Target="https://www.uniprot.org/uniprot/Q96A56" TargetMode="External"/><Relationship Id="rId2128" Type="http://schemas.openxmlformats.org/officeDocument/2006/relationships/hyperlink" Target="https://www.uniprot.org/uniprot/P28347" TargetMode="External"/><Relationship Id="rId2475" Type="http://schemas.openxmlformats.org/officeDocument/2006/relationships/hyperlink" Target="https://www.uniprot.org/uniprot/Q9NPC1" TargetMode="External"/><Relationship Id="rId2682" Type="http://schemas.openxmlformats.org/officeDocument/2006/relationships/hyperlink" Target="https://www.uniprot.org/uniprot/O14757" TargetMode="External"/><Relationship Id="rId654" Type="http://schemas.openxmlformats.org/officeDocument/2006/relationships/hyperlink" Target="https://pubmed.ncbi.nlm.nih.gov/?term=22955258%2C%2020196784%5Buid%5D" TargetMode="External"/><Relationship Id="rId861" Type="http://schemas.openxmlformats.org/officeDocument/2006/relationships/hyperlink" Target="https://pubmed.ncbi.nlm.nih.gov/?term=24743803%2C%2028355294%5Buid%5D" TargetMode="External"/><Relationship Id="rId959" Type="http://schemas.openxmlformats.org/officeDocument/2006/relationships/hyperlink" Target="https://www.uniprot.org/uniprot/O14920" TargetMode="External"/><Relationship Id="rId1284" Type="http://schemas.openxmlformats.org/officeDocument/2006/relationships/hyperlink" Target="https://www.ncbi.nlm.nih.gov/gene/5294" TargetMode="External"/><Relationship Id="rId1491" Type="http://schemas.openxmlformats.org/officeDocument/2006/relationships/hyperlink" Target="https://www.ncbi.nlm.nih.gov/gene/3553" TargetMode="External"/><Relationship Id="rId1589" Type="http://schemas.openxmlformats.org/officeDocument/2006/relationships/hyperlink" Target="https://www.ncbi.nlm.nih.gov/gene/2263" TargetMode="External"/><Relationship Id="rId2335" Type="http://schemas.openxmlformats.org/officeDocument/2006/relationships/hyperlink" Target="https://www.uniprot.org/uniprot/P63151" TargetMode="External"/><Relationship Id="rId2542" Type="http://schemas.openxmlformats.org/officeDocument/2006/relationships/hyperlink" Target="https://www.uniprot.org/uniprot/P56524" TargetMode="External"/><Relationship Id="rId307" Type="http://schemas.openxmlformats.org/officeDocument/2006/relationships/hyperlink" Target="https://pubmed.ncbi.nlm.nih.gov/27465871,31904865,29257300,27207836" TargetMode="External"/><Relationship Id="rId514" Type="http://schemas.openxmlformats.org/officeDocument/2006/relationships/hyperlink" Target="https://pubmed.ncbi.nlm.nih.gov/?term=27798884%2C%2024215868%5Buid%5D" TargetMode="External"/><Relationship Id="rId721" Type="http://schemas.openxmlformats.org/officeDocument/2006/relationships/hyperlink" Target="https://pubmed.ncbi.nlm.nih.gov/?term=16968546%2C%2021364753%2C%2026051182%2C%2023874713%5Buid%5D" TargetMode="External"/><Relationship Id="rId1144" Type="http://schemas.openxmlformats.org/officeDocument/2006/relationships/hyperlink" Target="https://www.ncbi.nlm.nih.gov/gene/6495" TargetMode="External"/><Relationship Id="rId1351" Type="http://schemas.openxmlformats.org/officeDocument/2006/relationships/hyperlink" Target="https://www.ncbi.nlm.nih.gov/gene/4738" TargetMode="External"/><Relationship Id="rId1449" Type="http://schemas.openxmlformats.org/officeDocument/2006/relationships/hyperlink" Target="https://www.ncbi.nlm.nih.gov/gene/9113" TargetMode="External"/><Relationship Id="rId1796" Type="http://schemas.openxmlformats.org/officeDocument/2006/relationships/hyperlink" Target="https://www.ncbi.nlm.nih.gov/gene/274" TargetMode="External"/><Relationship Id="rId2402" Type="http://schemas.openxmlformats.org/officeDocument/2006/relationships/hyperlink" Target="https://www.uniprot.org/uniprot/P14543" TargetMode="External"/><Relationship Id="rId88" Type="http://schemas.openxmlformats.org/officeDocument/2006/relationships/hyperlink" Target="https://pubmed.ncbi.nlm.nih.gov/26401016,17275076,31262032,17848273" TargetMode="External"/><Relationship Id="rId819" Type="http://schemas.openxmlformats.org/officeDocument/2006/relationships/hyperlink" Target="https://pubmed.ncbi.nlm.nih.gov/?term=27651027%2C%2026476534%5Buid%5D" TargetMode="External"/><Relationship Id="rId1004" Type="http://schemas.openxmlformats.org/officeDocument/2006/relationships/hyperlink" Target="https://www.ncbi.nlm.nih.gov/gene/57558" TargetMode="External"/><Relationship Id="rId1211" Type="http://schemas.openxmlformats.org/officeDocument/2006/relationships/hyperlink" Target="https://www.ncbi.nlm.nih.gov/gene/5893" TargetMode="External"/><Relationship Id="rId1656" Type="http://schemas.openxmlformats.org/officeDocument/2006/relationships/hyperlink" Target="https://www.ncbi.nlm.nih.gov/gene/1870" TargetMode="External"/><Relationship Id="rId1863" Type="http://schemas.openxmlformats.org/officeDocument/2006/relationships/hyperlink" Target="https://www.ncbi.nlm.nih.gov/gene/1646" TargetMode="External"/><Relationship Id="rId2707" Type="http://schemas.openxmlformats.org/officeDocument/2006/relationships/hyperlink" Target="https://www.uniprot.org/uniprot/O15444" TargetMode="External"/><Relationship Id="rId1309" Type="http://schemas.openxmlformats.org/officeDocument/2006/relationships/hyperlink" Target="https://www.ncbi.nlm.nih.gov/gene/5087" TargetMode="External"/><Relationship Id="rId1516" Type="http://schemas.openxmlformats.org/officeDocument/2006/relationships/hyperlink" Target="https://www.ncbi.nlm.nih.gov/gene/10481" TargetMode="External"/><Relationship Id="rId1723" Type="http://schemas.openxmlformats.org/officeDocument/2006/relationships/hyperlink" Target="https://www.ncbi.nlm.nih.gov/gene/25978" TargetMode="External"/><Relationship Id="rId1930" Type="http://schemas.openxmlformats.org/officeDocument/2006/relationships/hyperlink" Target="https://www.uniprot.org/uniprot/P12429" TargetMode="External"/><Relationship Id="rId15" Type="http://schemas.openxmlformats.org/officeDocument/2006/relationships/hyperlink" Target="https://pubmed.ncbi.nlm.nih.gov/?term=22357538%2C%2028569838%5Buid%5D" TargetMode="External"/><Relationship Id="rId2192" Type="http://schemas.openxmlformats.org/officeDocument/2006/relationships/hyperlink" Target="https://www.uniprot.org/uniprot/P11387" TargetMode="External"/><Relationship Id="rId164" Type="http://schemas.openxmlformats.org/officeDocument/2006/relationships/hyperlink" Target="https://pubmed.ncbi.nlm.nih.gov/?term=21494915%5Buid%5D" TargetMode="External"/><Relationship Id="rId371" Type="http://schemas.openxmlformats.org/officeDocument/2006/relationships/hyperlink" Target="https://pubmed.ncbi.nlm.nih.gov/?term=26397184%2C%2029844838%20%5Buid%5D" TargetMode="External"/><Relationship Id="rId2052" Type="http://schemas.openxmlformats.org/officeDocument/2006/relationships/hyperlink" Target="https://www.uniprot.org/uniprot/Q9UDY8" TargetMode="External"/><Relationship Id="rId2497" Type="http://schemas.openxmlformats.org/officeDocument/2006/relationships/hyperlink" Target="https://www.uniprot.org/uniprot/P35968" TargetMode="External"/><Relationship Id="rId469" Type="http://schemas.openxmlformats.org/officeDocument/2006/relationships/hyperlink" Target="https://pubmed.ncbi.nlm.nih.gov/?term=29158814%5Buid%5D" TargetMode="External"/><Relationship Id="rId676" Type="http://schemas.openxmlformats.org/officeDocument/2006/relationships/hyperlink" Target="https://pubmed.ncbi.nlm.nih.gov/?term=26967059%2C%2028400705%5Buid%5D" TargetMode="External"/><Relationship Id="rId883" Type="http://schemas.openxmlformats.org/officeDocument/2006/relationships/hyperlink" Target="https://pubmed.ncbi.nlm.nih.gov/?term=10490269%5Buid%5D" TargetMode="External"/><Relationship Id="rId1099" Type="http://schemas.openxmlformats.org/officeDocument/2006/relationships/hyperlink" Target="https://www.ncbi.nlm.nih.gov/gene/6721" TargetMode="External"/><Relationship Id="rId2357" Type="http://schemas.openxmlformats.org/officeDocument/2006/relationships/hyperlink" Target="https://www.uniprot.org/uniprot/P11309" TargetMode="External"/><Relationship Id="rId2564" Type="http://schemas.openxmlformats.org/officeDocument/2006/relationships/hyperlink" Target="https://www.uniprot.org/uniprot/P56159" TargetMode="External"/><Relationship Id="rId231" Type="http://schemas.openxmlformats.org/officeDocument/2006/relationships/hyperlink" Target="https://pubmed.ncbi.nlm.nih.gov/?term=27432651%5Buid%5D" TargetMode="External"/><Relationship Id="rId329" Type="http://schemas.openxmlformats.org/officeDocument/2006/relationships/hyperlink" Target="https://pubmed.ncbi.nlm.nih.gov/?term=27754745%2C%2025575823%2C%2030040982%20%5Buid%5D" TargetMode="External"/><Relationship Id="rId536" Type="http://schemas.openxmlformats.org/officeDocument/2006/relationships/hyperlink" Target="https://pubmed.ncbi.nlm.nih.gov/?term=16426580%5Buid%5D" TargetMode="External"/><Relationship Id="rId1166" Type="http://schemas.openxmlformats.org/officeDocument/2006/relationships/hyperlink" Target="https://www.ncbi.nlm.nih.gov/gene/6280" TargetMode="External"/><Relationship Id="rId1373" Type="http://schemas.openxmlformats.org/officeDocument/2006/relationships/hyperlink" Target="https://www.ncbi.nlm.nih.gov/gene/92140" TargetMode="External"/><Relationship Id="rId2217" Type="http://schemas.openxmlformats.org/officeDocument/2006/relationships/hyperlink" Target="https://www.uniprot.org/uniprot/Q9UEE5" TargetMode="External"/><Relationship Id="rId2771" Type="http://schemas.openxmlformats.org/officeDocument/2006/relationships/hyperlink" Target="https://www.uniprot.org/uniprot/P15514" TargetMode="External"/><Relationship Id="rId743" Type="http://schemas.openxmlformats.org/officeDocument/2006/relationships/hyperlink" Target="https://pubmed.ncbi.nlm.nih.gov/?term=23661500%5Buid%5D" TargetMode="External"/><Relationship Id="rId950" Type="http://schemas.openxmlformats.org/officeDocument/2006/relationships/hyperlink" Target="https://www.ncbi.nlm.nih.gov/gene/51341" TargetMode="External"/><Relationship Id="rId1026" Type="http://schemas.openxmlformats.org/officeDocument/2006/relationships/hyperlink" Target="https://www.ncbi.nlm.nih.gov/gene/9319" TargetMode="External"/><Relationship Id="rId1580" Type="http://schemas.openxmlformats.org/officeDocument/2006/relationships/hyperlink" Target="https://www.ncbi.nlm.nih.gov/gene/2303" TargetMode="External"/><Relationship Id="rId1678" Type="http://schemas.openxmlformats.org/officeDocument/2006/relationships/hyperlink" Target="https://www.ncbi.nlm.nih.gov/gene/220042" TargetMode="External"/><Relationship Id="rId1885" Type="http://schemas.openxmlformats.org/officeDocument/2006/relationships/hyperlink" Target="https://www.ncbi.nlm.nih.gov/gene/340273" TargetMode="External"/><Relationship Id="rId2424" Type="http://schemas.openxmlformats.org/officeDocument/2006/relationships/hyperlink" Target="https://www.uniprot.org/uniprot/P15941" TargetMode="External"/><Relationship Id="rId2631" Type="http://schemas.openxmlformats.org/officeDocument/2006/relationships/hyperlink" Target="https://www.uniprot.org/uniprot/Q16254" TargetMode="External"/><Relationship Id="rId2729" Type="http://schemas.openxmlformats.org/officeDocument/2006/relationships/hyperlink" Target="https://www.uniprot.org/uniprot/P35226" TargetMode="External"/><Relationship Id="rId603" Type="http://schemas.openxmlformats.org/officeDocument/2006/relationships/hyperlink" Target="https://pubmed.ncbi.nlm.nih.gov/?term=22854025%2C%2023287530%5Buid%5D" TargetMode="External"/><Relationship Id="rId810" Type="http://schemas.openxmlformats.org/officeDocument/2006/relationships/hyperlink" Target="https://pubmed.ncbi.nlm.nih.gov/?term=20585448%5Buid%5D" TargetMode="External"/><Relationship Id="rId908" Type="http://schemas.openxmlformats.org/officeDocument/2006/relationships/hyperlink" Target="https://pubmed.ncbi.nlm.nih.gov/?term=25356737%5Buid%5D" TargetMode="External"/><Relationship Id="rId1233" Type="http://schemas.openxmlformats.org/officeDocument/2006/relationships/hyperlink" Target="https://www.ncbi.nlm.nih.gov/gene/5698" TargetMode="External"/><Relationship Id="rId1440" Type="http://schemas.openxmlformats.org/officeDocument/2006/relationships/hyperlink" Target="https://www.ncbi.nlm.nih.gov/gene/4012" TargetMode="External"/><Relationship Id="rId1538" Type="http://schemas.openxmlformats.org/officeDocument/2006/relationships/hyperlink" Target="https://www.ncbi.nlm.nih.gov/gene/3014" TargetMode="External"/><Relationship Id="rId1300" Type="http://schemas.openxmlformats.org/officeDocument/2006/relationships/hyperlink" Target="https://www.ncbi.nlm.nih.gov/gene/5163" TargetMode="External"/><Relationship Id="rId1745" Type="http://schemas.openxmlformats.org/officeDocument/2006/relationships/hyperlink" Target="https://www.ncbi.nlm.nih.gov/gene/926" TargetMode="External"/><Relationship Id="rId1952" Type="http://schemas.openxmlformats.org/officeDocument/2006/relationships/hyperlink" Target="https://www.uniprot.org/uniprot/O60437" TargetMode="External"/><Relationship Id="rId37" Type="http://schemas.openxmlformats.org/officeDocument/2006/relationships/hyperlink" Target="https://pubmed.ncbi.nlm.nih.gov/?term=9610690%2C%2025149074%2C%2030439707%5Buid%5D" TargetMode="External"/><Relationship Id="rId1605" Type="http://schemas.openxmlformats.org/officeDocument/2006/relationships/hyperlink" Target="https://www.ncbi.nlm.nih.gov/gene/2178" TargetMode="External"/><Relationship Id="rId1812" Type="http://schemas.openxmlformats.org/officeDocument/2006/relationships/hyperlink" Target="https://www.ncbi.nlm.nih.gov/gene/9531" TargetMode="External"/><Relationship Id="rId186" Type="http://schemas.openxmlformats.org/officeDocument/2006/relationships/hyperlink" Target="https://pubmed.ncbi.nlm.nih.gov/?term=24473407%5Buid%5D" TargetMode="External"/><Relationship Id="rId393" Type="http://schemas.openxmlformats.org/officeDocument/2006/relationships/hyperlink" Target="https://pubmed.ncbi.nlm.nih.gov/?term=32080166%5Buid%5D" TargetMode="External"/><Relationship Id="rId2074" Type="http://schemas.openxmlformats.org/officeDocument/2006/relationships/hyperlink" Target="https://www.uniprot.org/uniprot/O00764" TargetMode="External"/><Relationship Id="rId2281" Type="http://schemas.openxmlformats.org/officeDocument/2006/relationships/hyperlink" Target="https://www.uniprot.org/uniprot/P60866" TargetMode="External"/><Relationship Id="rId253" Type="http://schemas.openxmlformats.org/officeDocument/2006/relationships/hyperlink" Target="https://pubmed.ncbi.nlm.nih.gov/?term=26573761%2C%2026679694%2C%2019267403%5Buid%5D" TargetMode="External"/><Relationship Id="rId460" Type="http://schemas.openxmlformats.org/officeDocument/2006/relationships/hyperlink" Target="https://pubmed.ncbi.nlm.nih.gov/?term=15491750%5Buid%5D" TargetMode="External"/><Relationship Id="rId698" Type="http://schemas.openxmlformats.org/officeDocument/2006/relationships/hyperlink" Target="https://pubmed.ncbi.nlm.nih.gov/?term=20585448%5Buid%5D" TargetMode="External"/><Relationship Id="rId1090" Type="http://schemas.openxmlformats.org/officeDocument/2006/relationships/hyperlink" Target="https://www.ncbi.nlm.nih.gov/gene/6778" TargetMode="External"/><Relationship Id="rId2141" Type="http://schemas.openxmlformats.org/officeDocument/2006/relationships/hyperlink" Target="https://www.uniprot.org/uniprot/P25490" TargetMode="External"/><Relationship Id="rId2379" Type="http://schemas.openxmlformats.org/officeDocument/2006/relationships/hyperlink" Target="https://www.uniprot.org/uniprot/Q99497" TargetMode="External"/><Relationship Id="rId2586" Type="http://schemas.openxmlformats.org/officeDocument/2006/relationships/hyperlink" Target="https://www.uniprot.org/uniprot/P49327" TargetMode="External"/><Relationship Id="rId2793" Type="http://schemas.openxmlformats.org/officeDocument/2006/relationships/hyperlink" Target="https://www.uniprot.org/uniprot/O43707" TargetMode="External"/><Relationship Id="rId113" Type="http://schemas.openxmlformats.org/officeDocument/2006/relationships/hyperlink" Target="https://pubmed.ncbi.nlm.nih.gov/?term=30038717%5Buid%5D" TargetMode="External"/><Relationship Id="rId320" Type="http://schemas.openxmlformats.org/officeDocument/2006/relationships/hyperlink" Target="https://pubmed.ncbi.nlm.nih.gov/?term=23445611%2C%2028368389%5Buid%5D" TargetMode="External"/><Relationship Id="rId558" Type="http://schemas.openxmlformats.org/officeDocument/2006/relationships/hyperlink" Target="https://pubmed.ncbi.nlm.nih.gov/?term=18506185%2C%2030675218%2C%2029517684%2C%2031153640%5Buid%5D" TargetMode="External"/><Relationship Id="rId765" Type="http://schemas.openxmlformats.org/officeDocument/2006/relationships/hyperlink" Target="https://pubmed.ncbi.nlm.nih.gov/?term=23462296%2C%2026773935%2C%2020870738%2C%2020678156%5Buid%5D" TargetMode="External"/><Relationship Id="rId972" Type="http://schemas.openxmlformats.org/officeDocument/2006/relationships/hyperlink" Target="https://www.ncbi.nlm.nih.gov/gene/7534" TargetMode="External"/><Relationship Id="rId1188" Type="http://schemas.openxmlformats.org/officeDocument/2006/relationships/hyperlink" Target="https://www.ncbi.nlm.nih.gov/gene/8737" TargetMode="External"/><Relationship Id="rId1395" Type="http://schemas.openxmlformats.org/officeDocument/2006/relationships/hyperlink" Target="https://www.ncbi.nlm.nih.gov/gene/58508" TargetMode="External"/><Relationship Id="rId2001" Type="http://schemas.openxmlformats.org/officeDocument/2006/relationships/hyperlink" Target="https://www.uniprot.org/uniprot/P17676" TargetMode="External"/><Relationship Id="rId2239" Type="http://schemas.openxmlformats.org/officeDocument/2006/relationships/hyperlink" Target="https://www.uniprot.org/uniprot/Q969G3" TargetMode="External"/><Relationship Id="rId2446" Type="http://schemas.openxmlformats.org/officeDocument/2006/relationships/hyperlink" Target="https://www.uniprot.org/uniprot/Q9BPX6" TargetMode="External"/><Relationship Id="rId2653" Type="http://schemas.openxmlformats.org/officeDocument/2006/relationships/hyperlink" Target="https://www.uniprot.org/uniprot/O00622" TargetMode="External"/><Relationship Id="rId418" Type="http://schemas.openxmlformats.org/officeDocument/2006/relationships/hyperlink" Target="https://pubmed.ncbi.nlm.nih.gov/?term=27294003%2C%2029100351%5Buid%5D" TargetMode="External"/><Relationship Id="rId625" Type="http://schemas.openxmlformats.org/officeDocument/2006/relationships/hyperlink" Target="https://pubmed.ncbi.nlm.nih.gov/?term=22289679%2C%2032349184%2C%2021402713%5Buid%5D" TargetMode="External"/><Relationship Id="rId832" Type="http://schemas.openxmlformats.org/officeDocument/2006/relationships/hyperlink" Target="https://pubmed.ncbi.nlm.nih.gov/?term=25504440%2C%2027779704%5Buid%5D" TargetMode="External"/><Relationship Id="rId1048" Type="http://schemas.openxmlformats.org/officeDocument/2006/relationships/hyperlink" Target="https://www.ncbi.nlm.nih.gov/gene/25816" TargetMode="External"/><Relationship Id="rId1255" Type="http://schemas.openxmlformats.org/officeDocument/2006/relationships/hyperlink" Target="https://www.ncbi.nlm.nih.gov/gene/10891" TargetMode="External"/><Relationship Id="rId1462" Type="http://schemas.openxmlformats.org/officeDocument/2006/relationships/hyperlink" Target="https://www.ncbi.nlm.nih.gov/gene/10112" TargetMode="External"/><Relationship Id="rId2306" Type="http://schemas.openxmlformats.org/officeDocument/2006/relationships/hyperlink" Target="https://www.uniprot.org/uniprot/O43502" TargetMode="External"/><Relationship Id="rId2513" Type="http://schemas.openxmlformats.org/officeDocument/2006/relationships/hyperlink" Target="https://www.uniprot.org/uniprot/P01583" TargetMode="External"/><Relationship Id="rId1115" Type="http://schemas.openxmlformats.org/officeDocument/2006/relationships/hyperlink" Target="https://www.ncbi.nlm.nih.gov/gene/64750" TargetMode="External"/><Relationship Id="rId1322" Type="http://schemas.openxmlformats.org/officeDocument/2006/relationships/hyperlink" Target="https://www.ncbi.nlm.nih.gov/gene/84876" TargetMode="External"/><Relationship Id="rId1767" Type="http://schemas.openxmlformats.org/officeDocument/2006/relationships/hyperlink" Target="https://www.ncbi.nlm.nih.gov/gene/841" TargetMode="External"/><Relationship Id="rId1974" Type="http://schemas.openxmlformats.org/officeDocument/2006/relationships/hyperlink" Target="https://www.uniprot.org/uniprot/Q14643" TargetMode="External"/><Relationship Id="rId2720" Type="http://schemas.openxmlformats.org/officeDocument/2006/relationships/hyperlink" Target="https://www.uniprot.org/uniprot/Q13557" TargetMode="External"/><Relationship Id="rId59" Type="http://schemas.openxmlformats.org/officeDocument/2006/relationships/hyperlink" Target="https://pubmed.ncbi.nlm.nih.gov/?term=25650716,31885310,24337183" TargetMode="External"/><Relationship Id="rId1627" Type="http://schemas.openxmlformats.org/officeDocument/2006/relationships/hyperlink" Target="https://www.ncbi.nlm.nih.gov/gene/2071" TargetMode="External"/><Relationship Id="rId1834" Type="http://schemas.openxmlformats.org/officeDocument/2006/relationships/hyperlink" Target="https://www.ncbi.nlm.nih.gov/gene/468" TargetMode="External"/><Relationship Id="rId2096" Type="http://schemas.openxmlformats.org/officeDocument/2006/relationships/hyperlink" Target="https://www.uniprot.org/uniprot/P04264" TargetMode="External"/><Relationship Id="rId1901" Type="http://schemas.openxmlformats.org/officeDocument/2006/relationships/hyperlink" Target="https://www.uniprot.org/uniprot/Q13153" TargetMode="External"/><Relationship Id="rId275" Type="http://schemas.openxmlformats.org/officeDocument/2006/relationships/hyperlink" Target="https://pubmed.ncbi.nlm.nih.gov/?term=20686362%2C%2027610467%2C%2016330673%2C%2030166592%2C%2029630768%5Buid%5D" TargetMode="External"/><Relationship Id="rId482" Type="http://schemas.openxmlformats.org/officeDocument/2006/relationships/hyperlink" Target="https://pubmed.ncbi.nlm.nih.gov/?term=12637505%2C%2019620494%2C%2015386344%5Buid%5D" TargetMode="External"/><Relationship Id="rId2163" Type="http://schemas.openxmlformats.org/officeDocument/2006/relationships/hyperlink" Target="https://www.uniprot.org/uniprot/P08670" TargetMode="External"/><Relationship Id="rId2370" Type="http://schemas.openxmlformats.org/officeDocument/2006/relationships/hyperlink" Target="https://www.uniprot.org/uniprot/P16234" TargetMode="External"/><Relationship Id="rId135" Type="http://schemas.openxmlformats.org/officeDocument/2006/relationships/hyperlink" Target="https://pubmed.ncbi.nlm.nih.gov/?term=24637722%5Buid%5D" TargetMode="External"/><Relationship Id="rId342" Type="http://schemas.openxmlformats.org/officeDocument/2006/relationships/hyperlink" Target="https://pubmed.ncbi.nlm.nih.gov/?term=22017790%2C%2027918237%5Buid%5D" TargetMode="External"/><Relationship Id="rId787" Type="http://schemas.openxmlformats.org/officeDocument/2006/relationships/hyperlink" Target="https://pubmed.ncbi.nlm.nih.gov/?term=32771963,25491625,22429801" TargetMode="External"/><Relationship Id="rId994" Type="http://schemas.openxmlformats.org/officeDocument/2006/relationships/hyperlink" Target="https://www.ncbi.nlm.nih.gov/gene/10406" TargetMode="External"/><Relationship Id="rId2023" Type="http://schemas.openxmlformats.org/officeDocument/2006/relationships/hyperlink" Target="https://www.uniprot.org/uniprot/P10451" TargetMode="External"/><Relationship Id="rId2230" Type="http://schemas.openxmlformats.org/officeDocument/2006/relationships/hyperlink" Target="https://www.uniprot.org/uniprot/Q13501" TargetMode="External"/><Relationship Id="rId2468" Type="http://schemas.openxmlformats.org/officeDocument/2006/relationships/hyperlink" Target="https://www.uniprot.org/uniprot/Q9GZQ8" TargetMode="External"/><Relationship Id="rId2675" Type="http://schemas.openxmlformats.org/officeDocument/2006/relationships/hyperlink" Target="https://www.uniprot.org/uniprot/O95471" TargetMode="External"/><Relationship Id="rId202" Type="http://schemas.openxmlformats.org/officeDocument/2006/relationships/hyperlink" Target="https://pubmed.ncbi.nlm.nih.gov/?term=27922681%5Buid%5D" TargetMode="External"/><Relationship Id="rId647" Type="http://schemas.openxmlformats.org/officeDocument/2006/relationships/hyperlink" Target="https://pubmed.ncbi.nlm.nih.gov/?term=21927021%2C%2025154814%5Buid%5D" TargetMode="External"/><Relationship Id="rId854" Type="http://schemas.openxmlformats.org/officeDocument/2006/relationships/hyperlink" Target="https://pubmed.ncbi.nlm.nih.gov/?term=31917287%2C%2030114619%5Buid%5D" TargetMode="External"/><Relationship Id="rId1277" Type="http://schemas.openxmlformats.org/officeDocument/2006/relationships/hyperlink" Target="https://www.ncbi.nlm.nih.gov/gene/5315" TargetMode="External"/><Relationship Id="rId1484" Type="http://schemas.openxmlformats.org/officeDocument/2006/relationships/hyperlink" Target="https://www.ncbi.nlm.nih.gov/gene/3611" TargetMode="External"/><Relationship Id="rId1691" Type="http://schemas.openxmlformats.org/officeDocument/2006/relationships/hyperlink" Target="https://www.ncbi.nlm.nih.gov/gene/7852" TargetMode="External"/><Relationship Id="rId2328" Type="http://schemas.openxmlformats.org/officeDocument/2006/relationships/hyperlink" Target="https://www.uniprot.org/uniprot/P17252" TargetMode="External"/><Relationship Id="rId2535" Type="http://schemas.openxmlformats.org/officeDocument/2006/relationships/hyperlink" Target="https://www.uniprot.org/uniprot/P09429" TargetMode="External"/><Relationship Id="rId2742" Type="http://schemas.openxmlformats.org/officeDocument/2006/relationships/hyperlink" Target="https://www.uniprot.org/uniprot/Q07812" TargetMode="External"/><Relationship Id="rId507" Type="http://schemas.openxmlformats.org/officeDocument/2006/relationships/hyperlink" Target="https://pubmed.ncbi.nlm.nih.gov/?term=31406154%5Buid%5D" TargetMode="External"/><Relationship Id="rId714" Type="http://schemas.openxmlformats.org/officeDocument/2006/relationships/hyperlink" Target="https://pubmed.ncbi.nlm.nih.gov/?term=27239958%2C%2030907503%5Buid%5D" TargetMode="External"/><Relationship Id="rId921" Type="http://schemas.openxmlformats.org/officeDocument/2006/relationships/hyperlink" Target="https://pubmed.ncbi.nlm.nih.gov/?term=11925933%2C%2029397516%2C%2020924094%2C%2018546291%2C%2011095672%5Buid%5D" TargetMode="External"/><Relationship Id="rId1137" Type="http://schemas.openxmlformats.org/officeDocument/2006/relationships/hyperlink" Target="https://www.ncbi.nlm.nih.gov/gene/6581" TargetMode="External"/><Relationship Id="rId1344" Type="http://schemas.openxmlformats.org/officeDocument/2006/relationships/hyperlink" Target="https://www.ncbi.nlm.nih.gov/gene/4790" TargetMode="External"/><Relationship Id="rId1551" Type="http://schemas.openxmlformats.org/officeDocument/2006/relationships/hyperlink" Target="https://www.ncbi.nlm.nih.gov/gene/9687" TargetMode="External"/><Relationship Id="rId1789" Type="http://schemas.openxmlformats.org/officeDocument/2006/relationships/hyperlink" Target="https://www.ncbi.nlm.nih.gov/gene/652" TargetMode="External"/><Relationship Id="rId1996" Type="http://schemas.openxmlformats.org/officeDocument/2006/relationships/hyperlink" Target="https://www.uniprot.org/uniprot/P04075" TargetMode="External"/><Relationship Id="rId2602" Type="http://schemas.openxmlformats.org/officeDocument/2006/relationships/hyperlink" Target="https://www.uniprot.org/uniprot/Q13158" TargetMode="External"/><Relationship Id="rId50" Type="http://schemas.openxmlformats.org/officeDocument/2006/relationships/hyperlink" Target="https://pubmed.ncbi.nlm.nih.gov/?term=30844312%2C%2028930681%2C%2025624349%5Buid%5D" TargetMode="External"/><Relationship Id="rId1204" Type="http://schemas.openxmlformats.org/officeDocument/2006/relationships/hyperlink" Target="https://www.ncbi.nlm.nih.gov/gene/5935" TargetMode="External"/><Relationship Id="rId1411" Type="http://schemas.openxmlformats.org/officeDocument/2006/relationships/hyperlink" Target="https://www.ncbi.nlm.nih.gov/gene/4170" TargetMode="External"/><Relationship Id="rId1649" Type="http://schemas.openxmlformats.org/officeDocument/2006/relationships/hyperlink" Target="https://www.ncbi.nlm.nih.gov/gene/1958" TargetMode="External"/><Relationship Id="rId1856" Type="http://schemas.openxmlformats.org/officeDocument/2006/relationships/hyperlink" Target="https://www.ncbi.nlm.nih.gov/gene/226" TargetMode="External"/><Relationship Id="rId1509" Type="http://schemas.openxmlformats.org/officeDocument/2006/relationships/hyperlink" Target="https://www.ncbi.nlm.nih.gov/gene/3304" TargetMode="External"/><Relationship Id="rId1716" Type="http://schemas.openxmlformats.org/officeDocument/2006/relationships/hyperlink" Target="https://www.ncbi.nlm.nih.gov/gene/1192" TargetMode="External"/><Relationship Id="rId1923" Type="http://schemas.openxmlformats.org/officeDocument/2006/relationships/hyperlink" Target="https://www.uniprot.org/uniprot/P02778" TargetMode="External"/><Relationship Id="rId297" Type="http://schemas.openxmlformats.org/officeDocument/2006/relationships/hyperlink" Target="https://pubmed.ncbi.nlm.nih.gov/?term=31783581%5Buid%5D" TargetMode="External"/><Relationship Id="rId2185" Type="http://schemas.openxmlformats.org/officeDocument/2006/relationships/hyperlink" Target="https://www.uniprot.org/uniprot/Q9H3D4" TargetMode="External"/><Relationship Id="rId2392" Type="http://schemas.openxmlformats.org/officeDocument/2006/relationships/hyperlink" Target="https://www.uniprot.org/uniprot/P01111" TargetMode="External"/><Relationship Id="rId157" Type="http://schemas.openxmlformats.org/officeDocument/2006/relationships/hyperlink" Target="https://pubmed.ncbi.nlm.nih.gov/?term=29666673%2C%2021477379%5Buid%5D" TargetMode="External"/><Relationship Id="rId364" Type="http://schemas.openxmlformats.org/officeDocument/2006/relationships/hyperlink" Target="https://pubmed.ncbi.nlm.nih.gov/?term=29572031%5Buid%5D" TargetMode="External"/><Relationship Id="rId2045" Type="http://schemas.openxmlformats.org/officeDocument/2006/relationships/hyperlink" Target="https://www.uniprot.org/uniprot/O00499" TargetMode="External"/><Relationship Id="rId2697" Type="http://schemas.openxmlformats.org/officeDocument/2006/relationships/hyperlink" Target="https://www.uniprot.org/uniprot/Q16543" TargetMode="External"/><Relationship Id="rId571" Type="http://schemas.openxmlformats.org/officeDocument/2006/relationships/hyperlink" Target="https://pubmed.ncbi.nlm.nih.gov/?term=18307537%2C%2032125823%5Buid%5D" TargetMode="External"/><Relationship Id="rId669" Type="http://schemas.openxmlformats.org/officeDocument/2006/relationships/hyperlink" Target="https://pubmed.ncbi.nlm.nih.gov/?term=24434152%2C%2028910982%2C%2019150122%5Buid%5D" TargetMode="External"/><Relationship Id="rId876" Type="http://schemas.openxmlformats.org/officeDocument/2006/relationships/hyperlink" Target="https://pubmed.ncbi.nlm.nih.gov/?term=17597582%5Buid%5D" TargetMode="External"/><Relationship Id="rId1299" Type="http://schemas.openxmlformats.org/officeDocument/2006/relationships/hyperlink" Target="https://www.ncbi.nlm.nih.gov/gene/5166" TargetMode="External"/><Relationship Id="rId2252" Type="http://schemas.openxmlformats.org/officeDocument/2006/relationships/hyperlink" Target="https://www.uniprot.org/uniprot/Q8TDB8" TargetMode="External"/><Relationship Id="rId2557" Type="http://schemas.openxmlformats.org/officeDocument/2006/relationships/hyperlink" Target="https://www.uniprot.org/uniprot/P22352" TargetMode="External"/><Relationship Id="rId224" Type="http://schemas.openxmlformats.org/officeDocument/2006/relationships/hyperlink" Target="https://pubmed.ncbi.nlm.nih.gov/?term=28222434,26351843,23318422,28791708,33222246,21458988" TargetMode="External"/><Relationship Id="rId431" Type="http://schemas.openxmlformats.org/officeDocument/2006/relationships/hyperlink" Target="https://pubmed.ncbi.nlm.nih.gov/?term=26386726%5Buid%5D" TargetMode="External"/><Relationship Id="rId529" Type="http://schemas.openxmlformats.org/officeDocument/2006/relationships/hyperlink" Target="https://pubmed.ncbi.nlm.nih.gov/?term=19747716%2C%2029552305%5Buid%5D" TargetMode="External"/><Relationship Id="rId736" Type="http://schemas.openxmlformats.org/officeDocument/2006/relationships/hyperlink" Target="https://pubmed.ncbi.nlm.nih.gov/?term=29393390%5Buid%5D" TargetMode="External"/><Relationship Id="rId1061" Type="http://schemas.openxmlformats.org/officeDocument/2006/relationships/hyperlink" Target="https://www.ncbi.nlm.nih.gov/gene/7075" TargetMode="External"/><Relationship Id="rId1159" Type="http://schemas.openxmlformats.org/officeDocument/2006/relationships/hyperlink" Target="https://www.ncbi.nlm.nih.gov/gene/6391" TargetMode="External"/><Relationship Id="rId1366" Type="http://schemas.openxmlformats.org/officeDocument/2006/relationships/hyperlink" Target="https://www.ncbi.nlm.nih.gov/gene/4595" TargetMode="External"/><Relationship Id="rId2112" Type="http://schemas.openxmlformats.org/officeDocument/2006/relationships/hyperlink" Target="https://www.uniprot.org/uniprot/P18847" TargetMode="External"/><Relationship Id="rId2417" Type="http://schemas.openxmlformats.org/officeDocument/2006/relationships/hyperlink" Target="https://www.uniprot.org/uniprot/P28698" TargetMode="External"/><Relationship Id="rId2764" Type="http://schemas.openxmlformats.org/officeDocument/2006/relationships/hyperlink" Target="https://www.uniprot.org/uniprot/O94817" TargetMode="External"/><Relationship Id="rId943" Type="http://schemas.openxmlformats.org/officeDocument/2006/relationships/hyperlink" Target="https://www.uniprot.org/uniprot/P11717" TargetMode="External"/><Relationship Id="rId1019" Type="http://schemas.openxmlformats.org/officeDocument/2006/relationships/hyperlink" Target="https://www.ncbi.nlm.nih.gov/gene/10587" TargetMode="External"/><Relationship Id="rId1573" Type="http://schemas.openxmlformats.org/officeDocument/2006/relationships/hyperlink" Target="https://www.ncbi.nlm.nih.gov/gene/8325" TargetMode="External"/><Relationship Id="rId1780" Type="http://schemas.openxmlformats.org/officeDocument/2006/relationships/hyperlink" Target="https://www.ncbi.nlm.nih.gov/gene/708" TargetMode="External"/><Relationship Id="rId1878" Type="http://schemas.openxmlformats.org/officeDocument/2006/relationships/hyperlink" Target="https://www.ncbi.nlm.nih.gov/gene/10061" TargetMode="External"/><Relationship Id="rId2624" Type="http://schemas.openxmlformats.org/officeDocument/2006/relationships/hyperlink" Target="https://www.uniprot.org/uniprot/O75821" TargetMode="External"/><Relationship Id="rId72" Type="http://schemas.openxmlformats.org/officeDocument/2006/relationships/hyperlink" Target="https://pubmed.ncbi.nlm.nih.gov/?term=18610736%2C%2014676106%2C%2015269138%5Buid%5D" TargetMode="External"/><Relationship Id="rId803" Type="http://schemas.openxmlformats.org/officeDocument/2006/relationships/hyperlink" Target="https://pubmed.ncbi.nlm.nih.gov/?term=31898732%2C%2033808326%5Buid%5D" TargetMode="External"/><Relationship Id="rId1226" Type="http://schemas.openxmlformats.org/officeDocument/2006/relationships/hyperlink" Target="https://www.ncbi.nlm.nih.gov/gene/5747" TargetMode="External"/><Relationship Id="rId1433" Type="http://schemas.openxmlformats.org/officeDocument/2006/relationships/hyperlink" Target="https://www.ncbi.nlm.nih.gov/gene/10459" TargetMode="External"/><Relationship Id="rId1640" Type="http://schemas.openxmlformats.org/officeDocument/2006/relationships/hyperlink" Target="https://www.ncbi.nlm.nih.gov/gene/56946" TargetMode="External"/><Relationship Id="rId1738" Type="http://schemas.openxmlformats.org/officeDocument/2006/relationships/hyperlink" Target="https://www.ncbi.nlm.nih.gov/gene/51755" TargetMode="External"/><Relationship Id="rId1500" Type="http://schemas.openxmlformats.org/officeDocument/2006/relationships/hyperlink" Target="https://www.ncbi.nlm.nih.gov/gene/3458" TargetMode="External"/><Relationship Id="rId1945" Type="http://schemas.openxmlformats.org/officeDocument/2006/relationships/hyperlink" Target="https://www.uniprot.org/uniprot/Q96CA5" TargetMode="External"/><Relationship Id="rId1805" Type="http://schemas.openxmlformats.org/officeDocument/2006/relationships/hyperlink" Target="https://www.ncbi.nlm.nih.gov/gene/596" TargetMode="External"/><Relationship Id="rId179" Type="http://schemas.openxmlformats.org/officeDocument/2006/relationships/hyperlink" Target="https://pubmed.ncbi.nlm.nih.gov/?term=17297441%2C%2025485508%20%5Buid%5D" TargetMode="External"/><Relationship Id="rId386" Type="http://schemas.openxmlformats.org/officeDocument/2006/relationships/hyperlink" Target="https://pubmed.ncbi.nlm.nih.gov/?term=27258564,31449053,31379752" TargetMode="External"/><Relationship Id="rId593" Type="http://schemas.openxmlformats.org/officeDocument/2006/relationships/hyperlink" Target="https://pubmed.ncbi.nlm.nih.gov/?term=25253786%2C%2024474685%2C%2029721165%2C%209790789%5Buid%5D" TargetMode="External"/><Relationship Id="rId2067" Type="http://schemas.openxmlformats.org/officeDocument/2006/relationships/hyperlink" Target="https://www.uniprot.org/uniprot/Q12841" TargetMode="External"/><Relationship Id="rId2274" Type="http://schemas.openxmlformats.org/officeDocument/2006/relationships/hyperlink" Target="https://www.uniprot.org/uniprot/Q13761" TargetMode="External"/><Relationship Id="rId2481" Type="http://schemas.openxmlformats.org/officeDocument/2006/relationships/hyperlink" Target="https://www.uniprot.org/uniprot/Q9H9Z2" TargetMode="External"/><Relationship Id="rId246" Type="http://schemas.openxmlformats.org/officeDocument/2006/relationships/hyperlink" Target="https://pubmed.ncbi.nlm.nih.gov/?term=29039478%2C%2028499449%20%5Buid%5D" TargetMode="External"/><Relationship Id="rId453" Type="http://schemas.openxmlformats.org/officeDocument/2006/relationships/hyperlink" Target="https://pubmed.ncbi.nlm.nih.gov/?term=31815680%2C%2032543783%5Buid%5D" TargetMode="External"/><Relationship Id="rId660" Type="http://schemas.openxmlformats.org/officeDocument/2006/relationships/hyperlink" Target="https://pubmed.ncbi.nlm.nih.gov/?term=18506185%2C%2020371672%2C%2022740515%2C%2029288364%5Buid%5D" TargetMode="External"/><Relationship Id="rId898" Type="http://schemas.openxmlformats.org/officeDocument/2006/relationships/hyperlink" Target="https://pubmed.ncbi.nlm.nih.gov/?term=30482232%5Buid%5D" TargetMode="External"/><Relationship Id="rId1083" Type="http://schemas.openxmlformats.org/officeDocument/2006/relationships/hyperlink" Target="https://www.ncbi.nlm.nih.gov/gene/10454" TargetMode="External"/><Relationship Id="rId1290" Type="http://schemas.openxmlformats.org/officeDocument/2006/relationships/hyperlink" Target="https://www.ncbi.nlm.nih.gov/gene/5230" TargetMode="External"/><Relationship Id="rId2134" Type="http://schemas.openxmlformats.org/officeDocument/2006/relationships/hyperlink" Target="https://www.uniprot.org/uniprot/Q9P286" TargetMode="External"/><Relationship Id="rId2341" Type="http://schemas.openxmlformats.org/officeDocument/2006/relationships/hyperlink" Target="https://www.uniprot.org/uniprot/Q7Z5Q5" TargetMode="External"/><Relationship Id="rId2579" Type="http://schemas.openxmlformats.org/officeDocument/2006/relationships/hyperlink" Target="https://www.uniprot.org/uniprot/P01100" TargetMode="External"/><Relationship Id="rId2786" Type="http://schemas.openxmlformats.org/officeDocument/2006/relationships/hyperlink" Target="https://www.uniprot.org/uniprot/Q04828" TargetMode="External"/><Relationship Id="rId106" Type="http://schemas.openxmlformats.org/officeDocument/2006/relationships/hyperlink" Target="https://pubmed.ncbi.nlm.nih.gov/?term=29985192%5Buid%5D" TargetMode="External"/><Relationship Id="rId313" Type="http://schemas.openxmlformats.org/officeDocument/2006/relationships/hyperlink" Target="https://pubmed.ncbi.nlm.nih.gov/?term=27336949%5Buid%5D" TargetMode="External"/><Relationship Id="rId758" Type="http://schemas.openxmlformats.org/officeDocument/2006/relationships/hyperlink" Target="https://pubmed.ncbi.nlm.nih.gov/?term=27191653%2C%2020570523%5Buid%5D" TargetMode="External"/><Relationship Id="rId965" Type="http://schemas.openxmlformats.org/officeDocument/2006/relationships/hyperlink" Target="https://www.uniprot.org/uniprot/Q01650" TargetMode="External"/><Relationship Id="rId1150" Type="http://schemas.openxmlformats.org/officeDocument/2006/relationships/hyperlink" Target="https://www.ncbi.nlm.nih.gov/gene/6425" TargetMode="External"/><Relationship Id="rId1388" Type="http://schemas.openxmlformats.org/officeDocument/2006/relationships/hyperlink" Target="https://www.ncbi.nlm.nih.gov/gene/4316" TargetMode="External"/><Relationship Id="rId1595" Type="http://schemas.openxmlformats.org/officeDocument/2006/relationships/hyperlink" Target="https://www.ncbi.nlm.nih.gov/gene/2195" TargetMode="External"/><Relationship Id="rId2439" Type="http://schemas.openxmlformats.org/officeDocument/2006/relationships/hyperlink" Target="https://www.uniprot.org/uniprot/P14780" TargetMode="External"/><Relationship Id="rId2646" Type="http://schemas.openxmlformats.org/officeDocument/2006/relationships/hyperlink" Target="https://www.uniprot.org/uniprot/P35638" TargetMode="External"/><Relationship Id="rId94" Type="http://schemas.openxmlformats.org/officeDocument/2006/relationships/hyperlink" Target="https://pubmed.ncbi.nlm.nih.gov/29182622,32024383" TargetMode="External"/><Relationship Id="rId520" Type="http://schemas.openxmlformats.org/officeDocument/2006/relationships/hyperlink" Target="https://pubmed.ncbi.nlm.nih.gov/?term=26763252%5Buid%5D" TargetMode="External"/><Relationship Id="rId618" Type="http://schemas.openxmlformats.org/officeDocument/2006/relationships/hyperlink" Target="https://pubmed.ncbi.nlm.nih.gov/?term=25342548%2C%2030349298%20%5Buid%5D" TargetMode="External"/><Relationship Id="rId825" Type="http://schemas.openxmlformats.org/officeDocument/2006/relationships/hyperlink" Target="https://pubmed.ncbi.nlm.nih.gov/?term=25369529%5Buid%5D" TargetMode="External"/><Relationship Id="rId1248" Type="http://schemas.openxmlformats.org/officeDocument/2006/relationships/hyperlink" Target="https://www.ncbi.nlm.nih.gov/gene/5562" TargetMode="External"/><Relationship Id="rId1455" Type="http://schemas.openxmlformats.org/officeDocument/2006/relationships/hyperlink" Target="https://www.ncbi.nlm.nih.gov/gene/3858" TargetMode="External"/><Relationship Id="rId1662" Type="http://schemas.openxmlformats.org/officeDocument/2006/relationships/hyperlink" Target="https://www.ncbi.nlm.nih.gov/gene/1848" TargetMode="External"/><Relationship Id="rId2201" Type="http://schemas.openxmlformats.org/officeDocument/2006/relationships/hyperlink" Target="https://www.uniprot.org/uniprot/P16035" TargetMode="External"/><Relationship Id="rId2506" Type="http://schemas.openxmlformats.org/officeDocument/2006/relationships/hyperlink" Target="https://www.uniprot.org/uniprot/P26012" TargetMode="External"/><Relationship Id="rId1010" Type="http://schemas.openxmlformats.org/officeDocument/2006/relationships/hyperlink" Target="https://www.ncbi.nlm.nih.gov/gene/51720" TargetMode="External"/><Relationship Id="rId1108" Type="http://schemas.openxmlformats.org/officeDocument/2006/relationships/hyperlink" Target="https://www.ncbi.nlm.nih.gov/gene/6657" TargetMode="External"/><Relationship Id="rId1315" Type="http://schemas.openxmlformats.org/officeDocument/2006/relationships/hyperlink" Target="https://www.ncbi.nlm.nih.gov/gene/152559" TargetMode="External"/><Relationship Id="rId1967" Type="http://schemas.openxmlformats.org/officeDocument/2006/relationships/hyperlink" Target="https://www.uniprot.org/uniprot/P57073" TargetMode="External"/><Relationship Id="rId2713" Type="http://schemas.openxmlformats.org/officeDocument/2006/relationships/hyperlink" Target="https://www.uniprot.org/uniprot/P55210" TargetMode="External"/><Relationship Id="rId1522" Type="http://schemas.openxmlformats.org/officeDocument/2006/relationships/hyperlink" Target="https://www.ncbi.nlm.nih.gov/gene/3148" TargetMode="External"/><Relationship Id="rId21" Type="http://schemas.openxmlformats.org/officeDocument/2006/relationships/hyperlink" Target="https://pubmed.ncbi.nlm.nih.gov/?term=29662625%2C%2029171106%5Buid%5D" TargetMode="External"/><Relationship Id="rId2089" Type="http://schemas.openxmlformats.org/officeDocument/2006/relationships/hyperlink" Target="https://www.uniprot.org/uniprot/P14651" TargetMode="External"/><Relationship Id="rId2296" Type="http://schemas.openxmlformats.org/officeDocument/2006/relationships/hyperlink" Target="https://www.uniprot.org/uniprot/O94761" TargetMode="External"/><Relationship Id="rId268" Type="http://schemas.openxmlformats.org/officeDocument/2006/relationships/hyperlink" Target="https://pubmed.ncbi.nlm.nih.gov/?term=25634215%2C%2020418188%2C%2029247747%2C%2021737503%5Buid%5D" TargetMode="External"/><Relationship Id="rId475" Type="http://schemas.openxmlformats.org/officeDocument/2006/relationships/hyperlink" Target="https://pubmed.ncbi.nlm.nih.gov/?term=9926932%2C%2017406030%5Buid%5D" TargetMode="External"/><Relationship Id="rId682" Type="http://schemas.openxmlformats.org/officeDocument/2006/relationships/hyperlink" Target="https://pubmed.ncbi.nlm.nih.gov/?term=19487811%5Buid%5D" TargetMode="External"/><Relationship Id="rId2156" Type="http://schemas.openxmlformats.org/officeDocument/2006/relationships/hyperlink" Target="https://www.uniprot.org/uniprot/P23025" TargetMode="External"/><Relationship Id="rId2363" Type="http://schemas.openxmlformats.org/officeDocument/2006/relationships/hyperlink" Target="https://www.uniprot.org/uniprot/O00264" TargetMode="External"/><Relationship Id="rId2570" Type="http://schemas.openxmlformats.org/officeDocument/2006/relationships/hyperlink" Target="https://www.uniprot.org/uniprot/P11413" TargetMode="External"/><Relationship Id="rId128" Type="http://schemas.openxmlformats.org/officeDocument/2006/relationships/hyperlink" Target="https://pubmed.ncbi.nlm.nih.gov/?term=32945503%5Buid%5D" TargetMode="External"/><Relationship Id="rId335" Type="http://schemas.openxmlformats.org/officeDocument/2006/relationships/hyperlink" Target="https://pubmed.ncbi.nlm.nih.gov/?term=27191653%2C%2029633308%5Buid%5D" TargetMode="External"/><Relationship Id="rId542" Type="http://schemas.openxmlformats.org/officeDocument/2006/relationships/hyperlink" Target="https://pubmed.ncbi.nlm.nih.gov/?term=30638177%5Buid%5D" TargetMode="External"/><Relationship Id="rId1172" Type="http://schemas.openxmlformats.org/officeDocument/2006/relationships/hyperlink" Target="https://www.ncbi.nlm.nih.gov/gene/6201" TargetMode="External"/><Relationship Id="rId2016" Type="http://schemas.openxmlformats.org/officeDocument/2006/relationships/hyperlink" Target="https://www.uniprot.org/uniprot/P36897" TargetMode="External"/><Relationship Id="rId2223" Type="http://schemas.openxmlformats.org/officeDocument/2006/relationships/hyperlink" Target="https://www.uniprot.org/uniprot/P40763" TargetMode="External"/><Relationship Id="rId2430" Type="http://schemas.openxmlformats.org/officeDocument/2006/relationships/hyperlink" Target="https://www.uniprot.org/uniprot/P04731" TargetMode="External"/><Relationship Id="rId402" Type="http://schemas.openxmlformats.org/officeDocument/2006/relationships/hyperlink" Target="https://pubmed.ncbi.nlm.nih.gov/?term=19497997%5Buid%5D" TargetMode="External"/><Relationship Id="rId1032" Type="http://schemas.openxmlformats.org/officeDocument/2006/relationships/hyperlink" Target="https://www.ncbi.nlm.nih.gov/gene/7178" TargetMode="External"/><Relationship Id="rId1989" Type="http://schemas.openxmlformats.org/officeDocument/2006/relationships/hyperlink" Target="https://www.uniprot.org/uniprot/P10070" TargetMode="External"/><Relationship Id="rId1849" Type="http://schemas.openxmlformats.org/officeDocument/2006/relationships/hyperlink" Target="https://www.ncbi.nlm.nih.gov/gene/307" TargetMode="External"/><Relationship Id="rId192" Type="http://schemas.openxmlformats.org/officeDocument/2006/relationships/hyperlink" Target="https://pubmed.ncbi.nlm.nih.gov/?term=29372560%2C%2022005523%5Buid%5D" TargetMode="External"/><Relationship Id="rId1709" Type="http://schemas.openxmlformats.org/officeDocument/2006/relationships/hyperlink" Target="https://www.ncbi.nlm.nih.gov/gene/1281" TargetMode="External"/><Relationship Id="rId1916" Type="http://schemas.openxmlformats.org/officeDocument/2006/relationships/hyperlink" Target="https://www.uniprot.org/uniprot/Q2M3G0" TargetMode="External"/><Relationship Id="rId2080" Type="http://schemas.openxmlformats.org/officeDocument/2006/relationships/hyperlink" Target="https://www.uniprot.org/uniprot/P15311" TargetMode="External"/><Relationship Id="rId869" Type="http://schemas.openxmlformats.org/officeDocument/2006/relationships/hyperlink" Target="https://pubmed.ncbi.nlm.nih.gov/?term=25564355%5Buid%5D" TargetMode="External"/><Relationship Id="rId1499" Type="http://schemas.openxmlformats.org/officeDocument/2006/relationships/hyperlink" Target="https://www.ncbi.nlm.nih.gov/gene/3479" TargetMode="External"/><Relationship Id="rId729" Type="http://schemas.openxmlformats.org/officeDocument/2006/relationships/hyperlink" Target="https://pubmed.ncbi.nlm.nih.gov/?term=19639316%2C%2023466567%5Buid%5D" TargetMode="External"/><Relationship Id="rId1359" Type="http://schemas.openxmlformats.org/officeDocument/2006/relationships/hyperlink" Target="https://www.ncbi.nlm.nih.gov/gene/4675" TargetMode="External"/><Relationship Id="rId2757" Type="http://schemas.openxmlformats.org/officeDocument/2006/relationships/hyperlink" Target="https://www.uniprot.org/uniprot/P21281" TargetMode="External"/><Relationship Id="rId936" Type="http://schemas.openxmlformats.org/officeDocument/2006/relationships/hyperlink" Target="https://pubmed.ncbi.nlm.nih.gov/?term=28237487,28466152,30066840,22281241,26947588" TargetMode="External"/><Relationship Id="rId1219" Type="http://schemas.openxmlformats.org/officeDocument/2006/relationships/hyperlink" Target="https://www.ncbi.nlm.nih.gov/gene/4218" TargetMode="External"/><Relationship Id="rId1566" Type="http://schemas.openxmlformats.org/officeDocument/2006/relationships/hyperlink" Target="https://www.ncbi.nlm.nih.gov/gene/2730" TargetMode="External"/><Relationship Id="rId1773" Type="http://schemas.openxmlformats.org/officeDocument/2006/relationships/hyperlink" Target="https://www.ncbi.nlm.nih.gov/gene/23581" TargetMode="External"/><Relationship Id="rId1980" Type="http://schemas.openxmlformats.org/officeDocument/2006/relationships/hyperlink" Target="https://www.uniprot.org/uniprot/Q96PH1" TargetMode="External"/><Relationship Id="rId2617" Type="http://schemas.openxmlformats.org/officeDocument/2006/relationships/hyperlink" Target="https://www.uniprot.org/uniprot/P16422" TargetMode="External"/><Relationship Id="rId65" Type="http://schemas.openxmlformats.org/officeDocument/2006/relationships/hyperlink" Target="https://pubmed.ncbi.nlm.nih.gov/19322565,10487609" TargetMode="External"/><Relationship Id="rId1426" Type="http://schemas.openxmlformats.org/officeDocument/2006/relationships/hyperlink" Target="https://www.ncbi.nlm.nih.gov/gene/5606" TargetMode="External"/><Relationship Id="rId1633" Type="http://schemas.openxmlformats.org/officeDocument/2006/relationships/hyperlink" Target="https://www.ncbi.nlm.nih.gov/gene/1969" TargetMode="External"/><Relationship Id="rId1840" Type="http://schemas.openxmlformats.org/officeDocument/2006/relationships/hyperlink" Target="https://www.ncbi.nlm.nih.gov/gene/25820" TargetMode="External"/><Relationship Id="rId1700" Type="http://schemas.openxmlformats.org/officeDocument/2006/relationships/hyperlink" Target="https://www.ncbi.nlm.nih.gov/gene/1495" TargetMode="External"/><Relationship Id="rId379" Type="http://schemas.openxmlformats.org/officeDocument/2006/relationships/hyperlink" Target="https://pubmed.ncbi.nlm.nih.gov/?term=29402501%2C%2027186281%5Buid%5D" TargetMode="External"/><Relationship Id="rId586" Type="http://schemas.openxmlformats.org/officeDocument/2006/relationships/hyperlink" Target="https://pubmed.ncbi.nlm.nih.gov/?term=28281524%2C%2028650468%20%5Buid%5D" TargetMode="External"/><Relationship Id="rId793" Type="http://schemas.openxmlformats.org/officeDocument/2006/relationships/hyperlink" Target="https://pubmed.ncbi.nlm.nih.gov/?term=23867475%2C%2032130794%2C%2028165651%5Buid%5D" TargetMode="External"/><Relationship Id="rId2267" Type="http://schemas.openxmlformats.org/officeDocument/2006/relationships/hyperlink" Target="https://www.uniprot.org/uniprot/Q9P0U3" TargetMode="External"/><Relationship Id="rId2474" Type="http://schemas.openxmlformats.org/officeDocument/2006/relationships/hyperlink" Target="https://www.uniprot.org/uniprot/O95232" TargetMode="External"/><Relationship Id="rId2681" Type="http://schemas.openxmlformats.org/officeDocument/2006/relationships/hyperlink" Target="https://www.uniprot.org/uniprot/O96017" TargetMode="External"/><Relationship Id="rId239" Type="http://schemas.openxmlformats.org/officeDocument/2006/relationships/hyperlink" Target="https://pubmed.ncbi.nlm.nih.gov/?term=23192269%2C%2014519635%5Buid%5D" TargetMode="External"/><Relationship Id="rId446" Type="http://schemas.openxmlformats.org/officeDocument/2006/relationships/hyperlink" Target="https://pubmed.ncbi.nlm.nih.gov/?term=23449973%2C%20%2022699783%5Buid%5D" TargetMode="External"/><Relationship Id="rId653" Type="http://schemas.openxmlformats.org/officeDocument/2006/relationships/hyperlink" Target="https://pubmed.ncbi.nlm.nih.gov/?term=20722101%5Buid%5D" TargetMode="External"/><Relationship Id="rId1076" Type="http://schemas.openxmlformats.org/officeDocument/2006/relationships/hyperlink" Target="https://www.ncbi.nlm.nih.gov/gene/7004" TargetMode="External"/><Relationship Id="rId1283" Type="http://schemas.openxmlformats.org/officeDocument/2006/relationships/hyperlink" Target="https://www.ncbi.nlm.nih.gov/gene/5295" TargetMode="External"/><Relationship Id="rId1490" Type="http://schemas.openxmlformats.org/officeDocument/2006/relationships/hyperlink" Target="https://www.ncbi.nlm.nih.gov/gene/3605" TargetMode="External"/><Relationship Id="rId2127" Type="http://schemas.openxmlformats.org/officeDocument/2006/relationships/hyperlink" Target="https://www.uniprot.org/uniprot/Q15561" TargetMode="External"/><Relationship Id="rId2334" Type="http://schemas.openxmlformats.org/officeDocument/2006/relationships/hyperlink" Target="https://www.uniprot.org/uniprot/P30048" TargetMode="External"/><Relationship Id="rId306" Type="http://schemas.openxmlformats.org/officeDocument/2006/relationships/hyperlink" Target="https://pubmed.ncbi.nlm.nih.gov/?term=24862760%2C%2026148594%2C%2027699040%5Buid%5D" TargetMode="External"/><Relationship Id="rId860" Type="http://schemas.openxmlformats.org/officeDocument/2006/relationships/hyperlink" Target="https://pubmed.ncbi.nlm.nih.gov/?term=16533424%2C%201646065%2C%201657425%5Buid%5D" TargetMode="External"/><Relationship Id="rId1143" Type="http://schemas.openxmlformats.org/officeDocument/2006/relationships/hyperlink" Target="https://www.ncbi.nlm.nih.gov/gene/6464" TargetMode="External"/><Relationship Id="rId2541" Type="http://schemas.openxmlformats.org/officeDocument/2006/relationships/hyperlink" Target="https://www.uniprot.org/uniprot/Q5T447" TargetMode="External"/><Relationship Id="rId513" Type="http://schemas.openxmlformats.org/officeDocument/2006/relationships/hyperlink" Target="https://pubmed.ncbi.nlm.nih.gov/?term=27721409%5Buid%5D" TargetMode="External"/><Relationship Id="rId720" Type="http://schemas.openxmlformats.org/officeDocument/2006/relationships/hyperlink" Target="https://pubmed.ncbi.nlm.nih.gov/?term=20935493%5Buid%5D" TargetMode="External"/><Relationship Id="rId1350" Type="http://schemas.openxmlformats.org/officeDocument/2006/relationships/hyperlink" Target="https://www.ncbi.nlm.nih.gov/gene/252969" TargetMode="External"/><Relationship Id="rId2401" Type="http://schemas.openxmlformats.org/officeDocument/2006/relationships/hyperlink" Target="https://www.uniprot.org/uniprot/P29475" TargetMode="External"/><Relationship Id="rId1003" Type="http://schemas.openxmlformats.org/officeDocument/2006/relationships/hyperlink" Target="https://www.ncbi.nlm.nih.gov/gene/57695" TargetMode="External"/><Relationship Id="rId1210" Type="http://schemas.openxmlformats.org/officeDocument/2006/relationships/hyperlink" Target="https://www.ncbi.nlm.nih.gov/gene/8438" TargetMode="External"/><Relationship Id="rId2191" Type="http://schemas.openxmlformats.org/officeDocument/2006/relationships/hyperlink" Target="https://www.uniprot.org/uniprot/P11388" TargetMode="External"/><Relationship Id="rId163" Type="http://schemas.openxmlformats.org/officeDocument/2006/relationships/hyperlink" Target="https://pubmed.ncbi.nlm.nih.gov/?term=25263447%2C%209036870%2C%2018196872%2C%2025663864%2C%2017611411%5Buid%5D" TargetMode="External"/><Relationship Id="rId370" Type="http://schemas.openxmlformats.org/officeDocument/2006/relationships/hyperlink" Target="https://pubmed.ncbi.nlm.nih.gov/?term=29247711,19770592,31560931" TargetMode="External"/><Relationship Id="rId2051" Type="http://schemas.openxmlformats.org/officeDocument/2006/relationships/hyperlink" Target="https://www.uniprot.org/uniprot/P49023" TargetMode="External"/><Relationship Id="rId230" Type="http://schemas.openxmlformats.org/officeDocument/2006/relationships/hyperlink" Target="https://pubmed.ncbi.nlm.nih.gov/?term=18632752%5Buid%5D" TargetMode="External"/><Relationship Id="rId1677" Type="http://schemas.openxmlformats.org/officeDocument/2006/relationships/hyperlink" Target="https://www.ncbi.nlm.nih.gov/gene/1649" TargetMode="External"/><Relationship Id="rId1884" Type="http://schemas.openxmlformats.org/officeDocument/2006/relationships/hyperlink" Target="https://www.ncbi.nlm.nih.gov/gene/4363" TargetMode="External"/><Relationship Id="rId2728" Type="http://schemas.openxmlformats.org/officeDocument/2006/relationships/hyperlink" Target="https://www.uniprot.org/uniprot/P36894" TargetMode="External"/><Relationship Id="rId907" Type="http://schemas.openxmlformats.org/officeDocument/2006/relationships/hyperlink" Target="https://pubmed.ncbi.nlm.nih.gov/?term=25789010%2C%2027869163%5Buid%5D" TargetMode="External"/><Relationship Id="rId1537" Type="http://schemas.openxmlformats.org/officeDocument/2006/relationships/hyperlink" Target="https://www.ncbi.nlm.nih.gov/gene/9563" TargetMode="External"/><Relationship Id="rId1744" Type="http://schemas.openxmlformats.org/officeDocument/2006/relationships/hyperlink" Target="https://www.ncbi.nlm.nih.gov/gene/11140" TargetMode="External"/><Relationship Id="rId1951" Type="http://schemas.openxmlformats.org/officeDocument/2006/relationships/hyperlink" Target="https://www.uniprot.org/uniprot/Q9NR56" TargetMode="External"/><Relationship Id="rId36" Type="http://schemas.openxmlformats.org/officeDocument/2006/relationships/hyperlink" Target="https://pubmed.ncbi.nlm.nih.gov/?term=26763392%2C%2028224423%5Buid%5D" TargetMode="External"/><Relationship Id="rId1604" Type="http://schemas.openxmlformats.org/officeDocument/2006/relationships/hyperlink" Target="https://www.ncbi.nlm.nih.gov/gene/2188" TargetMode="External"/><Relationship Id="rId1811" Type="http://schemas.openxmlformats.org/officeDocument/2006/relationships/hyperlink" Target="https://www.ncbi.nlm.nih.gov/gene/578" TargetMode="External"/><Relationship Id="rId697" Type="http://schemas.openxmlformats.org/officeDocument/2006/relationships/hyperlink" Target="https://pubmed.ncbi.nlm.nih.gov/?term=27013200%5Buid%5D" TargetMode="External"/><Relationship Id="rId2378" Type="http://schemas.openxmlformats.org/officeDocument/2006/relationships/hyperlink" Target="https://www.uniprot.org/uniprot/P09874" TargetMode="External"/><Relationship Id="rId1187" Type="http://schemas.openxmlformats.org/officeDocument/2006/relationships/hyperlink" Target="https://www.ncbi.nlm.nih.gov/gene/11035" TargetMode="External"/><Relationship Id="rId2585" Type="http://schemas.openxmlformats.org/officeDocument/2006/relationships/hyperlink" Target="https://www.uniprot.org/uniprot/P35544" TargetMode="External"/><Relationship Id="rId2792" Type="http://schemas.openxmlformats.org/officeDocument/2006/relationships/hyperlink" Target="https://www.uniprot.org/uniprot/Q8NER5" TargetMode="External"/><Relationship Id="rId557" Type="http://schemas.openxmlformats.org/officeDocument/2006/relationships/hyperlink" Target="https://pubmed.ncbi.nlm.nih.gov/?term=31047858%5Buid%5D" TargetMode="External"/><Relationship Id="rId764" Type="http://schemas.openxmlformats.org/officeDocument/2006/relationships/hyperlink" Target="https://pubmed.ncbi.nlm.nih.gov/?term=11571727%2C%2030861255%2C%2020870738%2C%2027294003%2C%2028222430%5Buid%5D" TargetMode="External"/><Relationship Id="rId971" Type="http://schemas.openxmlformats.org/officeDocument/2006/relationships/hyperlink" Target="https://www.ncbi.nlm.nih.gov/gene/7528" TargetMode="External"/><Relationship Id="rId1394" Type="http://schemas.openxmlformats.org/officeDocument/2006/relationships/hyperlink" Target="https://www.ncbi.nlm.nih.gov/gene/9757" TargetMode="External"/><Relationship Id="rId2238" Type="http://schemas.openxmlformats.org/officeDocument/2006/relationships/hyperlink" Target="https://www.uniprot.org/uniprot/Q99835" TargetMode="External"/><Relationship Id="rId2445" Type="http://schemas.openxmlformats.org/officeDocument/2006/relationships/hyperlink" Target="https://www.uniprot.org/uniprot/Q9BRT3" TargetMode="External"/><Relationship Id="rId2652" Type="http://schemas.openxmlformats.org/officeDocument/2006/relationships/hyperlink" Target="https://www.uniprot.org/uniprot/Q9NYF0" TargetMode="External"/><Relationship Id="rId417" Type="http://schemas.openxmlformats.org/officeDocument/2006/relationships/hyperlink" Target="https://pubmed.ncbi.nlm.nih.gov/?term=27589736%2C%2019158362%5Buid%5D" TargetMode="External"/><Relationship Id="rId624" Type="http://schemas.openxmlformats.org/officeDocument/2006/relationships/hyperlink" Target="https://pubmed.ncbi.nlm.nih.gov/?term=27748936%2C%2029663364%2C%2030876762%2C%2030488440%5Buid%5D" TargetMode="External"/><Relationship Id="rId831" Type="http://schemas.openxmlformats.org/officeDocument/2006/relationships/hyperlink" Target="https://pubmed.ncbi.nlm.nih.gov/?term=29795279%2C%2030594239%2C%2010675495%2C%2030087144%2C%2027769097%2C%2028918673%5Buid%5D" TargetMode="External"/><Relationship Id="rId1047" Type="http://schemas.openxmlformats.org/officeDocument/2006/relationships/hyperlink" Target="https://www.ncbi.nlm.nih.gov/gene/79626" TargetMode="External"/><Relationship Id="rId1254" Type="http://schemas.openxmlformats.org/officeDocument/2006/relationships/hyperlink" Target="https://www.ncbi.nlm.nih.gov/gene/133522" TargetMode="External"/><Relationship Id="rId1461" Type="http://schemas.openxmlformats.org/officeDocument/2006/relationships/hyperlink" Target="https://www.ncbi.nlm.nih.gov/gene/3814" TargetMode="External"/><Relationship Id="rId2305" Type="http://schemas.openxmlformats.org/officeDocument/2006/relationships/hyperlink" Target="https://www.uniprot.org/uniprot/O75771" TargetMode="External"/><Relationship Id="rId2512" Type="http://schemas.openxmlformats.org/officeDocument/2006/relationships/hyperlink" Target="https://www.uniprot.org/uniprot/P05231" TargetMode="External"/><Relationship Id="rId1114" Type="http://schemas.openxmlformats.org/officeDocument/2006/relationships/hyperlink" Target="https://www.ncbi.nlm.nih.gov/gene/6615" TargetMode="External"/><Relationship Id="rId1321" Type="http://schemas.openxmlformats.org/officeDocument/2006/relationships/hyperlink" Target="https://www.ncbi.nlm.nih.gov/gene/5034" TargetMode="External"/><Relationship Id="rId2095" Type="http://schemas.openxmlformats.org/officeDocument/2006/relationships/hyperlink" Target="https://www.uniprot.org/uniprot/Q08188" TargetMode="External"/><Relationship Id="rId274" Type="http://schemas.openxmlformats.org/officeDocument/2006/relationships/hyperlink" Target="https://pubmed.ncbi.nlm.nih.gov/?term=24824601%2C%2024147022%5Buid%5D" TargetMode="External"/><Relationship Id="rId481" Type="http://schemas.openxmlformats.org/officeDocument/2006/relationships/hyperlink" Target="https://pubmed.ncbi.nlm.nih.gov/?term=12637505%2C%2017406030%2C%2015386344%5Buid%5D" TargetMode="External"/><Relationship Id="rId2162" Type="http://schemas.openxmlformats.org/officeDocument/2006/relationships/hyperlink" Target="https://www.uniprot.org/uniprot/Q14508" TargetMode="External"/><Relationship Id="rId134" Type="http://schemas.openxmlformats.org/officeDocument/2006/relationships/hyperlink" Target="https://pubmed.ncbi.nlm.nih.gov/?term=18800188%2C%2011751417%5Buid%5D" TargetMode="External"/><Relationship Id="rId341" Type="http://schemas.openxmlformats.org/officeDocument/2006/relationships/hyperlink" Target="https://pubmed.ncbi.nlm.nih.gov/?term=32115889%5Buid%5D" TargetMode="External"/><Relationship Id="rId2022" Type="http://schemas.openxmlformats.org/officeDocument/2006/relationships/hyperlink" Target="https://www.uniprot.org/uniprot/P46934" TargetMode="External"/><Relationship Id="rId201" Type="http://schemas.openxmlformats.org/officeDocument/2006/relationships/hyperlink" Target="https://pubmed.ncbi.nlm.nih.gov/?term=26267317,15087251" TargetMode="External"/><Relationship Id="rId1788" Type="http://schemas.openxmlformats.org/officeDocument/2006/relationships/hyperlink" Target="https://www.ncbi.nlm.nih.gov/gene/657" TargetMode="External"/><Relationship Id="rId1995" Type="http://schemas.openxmlformats.org/officeDocument/2006/relationships/hyperlink" Target="https://www.uniprot.org/uniprot/Q8WXE1" TargetMode="External"/><Relationship Id="rId1648" Type="http://schemas.openxmlformats.org/officeDocument/2006/relationships/hyperlink" Target="https://www.ncbi.nlm.nih.gov/gene/10938" TargetMode="External"/><Relationship Id="rId1508" Type="http://schemas.openxmlformats.org/officeDocument/2006/relationships/hyperlink" Target="https://www.ncbi.nlm.nih.gov/gene/3320" TargetMode="External"/><Relationship Id="rId1855" Type="http://schemas.openxmlformats.org/officeDocument/2006/relationships/hyperlink" Target="https://www.ncbi.nlm.nih.gov/gene/221120" TargetMode="External"/><Relationship Id="rId1715" Type="http://schemas.openxmlformats.org/officeDocument/2006/relationships/hyperlink" Target="https://www.ncbi.nlm.nih.gov/gene/1201" TargetMode="External"/><Relationship Id="rId1922" Type="http://schemas.openxmlformats.org/officeDocument/2006/relationships/hyperlink" Target="https://www.uniprot.org/uniprot/Q9P0J0" TargetMode="External"/><Relationship Id="rId2489" Type="http://schemas.openxmlformats.org/officeDocument/2006/relationships/hyperlink" Target="https://www.uniprot.org/uniprot/P13647" TargetMode="External"/><Relationship Id="rId2696" Type="http://schemas.openxmlformats.org/officeDocument/2006/relationships/hyperlink" Target="https://www.uniprot.org/uniprot/Q9H5V8" TargetMode="External"/><Relationship Id="rId668" Type="http://schemas.openxmlformats.org/officeDocument/2006/relationships/hyperlink" Target="https://pubmed.ncbi.nlm.nih.gov/?term=30110910%5Buid%5D" TargetMode="External"/><Relationship Id="rId875" Type="http://schemas.openxmlformats.org/officeDocument/2006/relationships/hyperlink" Target="https://pubmed.ncbi.nlm.nih.gov/?term=30111544%2C%2025078033%2C%2028157697%5Buid%5D" TargetMode="External"/><Relationship Id="rId1298" Type="http://schemas.openxmlformats.org/officeDocument/2006/relationships/hyperlink" Target="https://www.ncbi.nlm.nih.gov/gene/5170" TargetMode="External"/><Relationship Id="rId2349" Type="http://schemas.openxmlformats.org/officeDocument/2006/relationships/hyperlink" Target="https://www.uniprot.org/uniprot/O00592" TargetMode="External"/><Relationship Id="rId2556" Type="http://schemas.openxmlformats.org/officeDocument/2006/relationships/hyperlink" Target="https://www.uniprot.org/uniprot/Q4ZG55" TargetMode="External"/><Relationship Id="rId2763" Type="http://schemas.openxmlformats.org/officeDocument/2006/relationships/hyperlink" Target="https://www.uniprot.org/uniprot/Q6ZNE5" TargetMode="External"/><Relationship Id="rId528" Type="http://schemas.openxmlformats.org/officeDocument/2006/relationships/hyperlink" Target="https://pubmed.ncbi.nlm.nih.gov/?term=14998492%2C%2012578901%5Buid%5D" TargetMode="External"/><Relationship Id="rId735" Type="http://schemas.openxmlformats.org/officeDocument/2006/relationships/hyperlink" Target="https://pubmed.ncbi.nlm.nih.gov/?term=20031193%2C%2020443003%2C%2023903781%5Buid%5D" TargetMode="External"/><Relationship Id="rId942" Type="http://schemas.openxmlformats.org/officeDocument/2006/relationships/hyperlink" Target="https://www.ncbi.nlm.nih.gov/gene/3482" TargetMode="External"/><Relationship Id="rId1158" Type="http://schemas.openxmlformats.org/officeDocument/2006/relationships/hyperlink" Target="https://www.ncbi.nlm.nih.gov/gene/6392" TargetMode="External"/><Relationship Id="rId1365" Type="http://schemas.openxmlformats.org/officeDocument/2006/relationships/hyperlink" Target="https://www.ncbi.nlm.nih.gov/gene/9961" TargetMode="External"/><Relationship Id="rId1572" Type="http://schemas.openxmlformats.org/officeDocument/2006/relationships/hyperlink" Target="https://www.ncbi.nlm.nih.gov/gene/2539" TargetMode="External"/><Relationship Id="rId2209" Type="http://schemas.openxmlformats.org/officeDocument/2006/relationships/hyperlink" Target="https://www.uniprot.org/uniprot/P02786" TargetMode="External"/><Relationship Id="rId2416" Type="http://schemas.openxmlformats.org/officeDocument/2006/relationships/hyperlink" Target="https://www.uniprot.org/uniprot/Q96RE7" TargetMode="External"/><Relationship Id="rId2623" Type="http://schemas.openxmlformats.org/officeDocument/2006/relationships/hyperlink" Target="https://www.uniprot.org/uniprot/P06730" TargetMode="External"/><Relationship Id="rId1018" Type="http://schemas.openxmlformats.org/officeDocument/2006/relationships/hyperlink" Target="https://www.ncbi.nlm.nih.gov/gene/114112" TargetMode="External"/><Relationship Id="rId1225" Type="http://schemas.openxmlformats.org/officeDocument/2006/relationships/hyperlink" Target="https://www.ncbi.nlm.nih.gov/gene/5774" TargetMode="External"/><Relationship Id="rId1432" Type="http://schemas.openxmlformats.org/officeDocument/2006/relationships/hyperlink" Target="https://www.ncbi.nlm.nih.gov/gene/4097" TargetMode="External"/><Relationship Id="rId71" Type="http://schemas.openxmlformats.org/officeDocument/2006/relationships/hyperlink" Target="https://pubmed.ncbi.nlm.nih.gov/?term=11519050%2C%2015547183%5Buid%5D" TargetMode="External"/><Relationship Id="rId802" Type="http://schemas.openxmlformats.org/officeDocument/2006/relationships/hyperlink" Target="https://pubmed.ncbi.nlm.nih.gov/?term=25866223%2C%2032461560%2C%2011585720%2C%2023236423%2C%2033808326%5Buid%5D" TargetMode="External"/><Relationship Id="rId178" Type="http://schemas.openxmlformats.org/officeDocument/2006/relationships/hyperlink" Target="https://pubmed.ncbi.nlm.nih.gov/?term=26299671%5Buid%5D" TargetMode="External"/><Relationship Id="rId385" Type="http://schemas.openxmlformats.org/officeDocument/2006/relationships/hyperlink" Target="https://pubmed.ncbi.nlm.nih.gov/?term=23135731,33331136,21617238" TargetMode="External"/><Relationship Id="rId592" Type="http://schemas.openxmlformats.org/officeDocument/2006/relationships/hyperlink" Target="https://pubmed.ncbi.nlm.nih.gov/?term=30129654%5Buid%5D" TargetMode="External"/><Relationship Id="rId2066" Type="http://schemas.openxmlformats.org/officeDocument/2006/relationships/hyperlink" Target="https://www.uniprot.org/uniprot/Q9BQ83" TargetMode="External"/><Relationship Id="rId2273" Type="http://schemas.openxmlformats.org/officeDocument/2006/relationships/hyperlink" Target="https://www.uniprot.org/uniprot/P31151" TargetMode="External"/><Relationship Id="rId2480" Type="http://schemas.openxmlformats.org/officeDocument/2006/relationships/hyperlink" Target="https://www.uniprot.org/uniprot/Q6ZN17" TargetMode="External"/><Relationship Id="rId245" Type="http://schemas.openxmlformats.org/officeDocument/2006/relationships/hyperlink" Target="https://pubmed.ncbi.nlm.nih.gov/?term=27411790%5Buid%5D" TargetMode="External"/><Relationship Id="rId452" Type="http://schemas.openxmlformats.org/officeDocument/2006/relationships/hyperlink" Target="https://pubmed.ncbi.nlm.nih.gov/?term=28838952%5Buid%5D" TargetMode="External"/><Relationship Id="rId1082" Type="http://schemas.openxmlformats.org/officeDocument/2006/relationships/hyperlink" Target="https://www.ncbi.nlm.nih.gov/gene/257397" TargetMode="External"/><Relationship Id="rId2133" Type="http://schemas.openxmlformats.org/officeDocument/2006/relationships/hyperlink" Target="https://www.uniprot.org/uniprot/P18850" TargetMode="External"/><Relationship Id="rId2340" Type="http://schemas.openxmlformats.org/officeDocument/2006/relationships/hyperlink" Target="https://www.uniprot.org/uniprot/O75417" TargetMode="External"/><Relationship Id="rId105" Type="http://schemas.openxmlformats.org/officeDocument/2006/relationships/hyperlink" Target="https://pubmed.ncbi.nlm.nih.gov/?term=26201611%2C%2033202209%2C%2032412667%5Buid%5D" TargetMode="External"/><Relationship Id="rId312" Type="http://schemas.openxmlformats.org/officeDocument/2006/relationships/hyperlink" Target="https://pubmed.ncbi.nlm.nih.gov/?term=16061661%2C%2028220783%5Buid%5D" TargetMode="External"/><Relationship Id="rId2200" Type="http://schemas.openxmlformats.org/officeDocument/2006/relationships/hyperlink" Target="https://www.uniprot.org/uniprot/P35625" TargetMode="External"/><Relationship Id="rId1899" Type="http://schemas.openxmlformats.org/officeDocument/2006/relationships/hyperlink" Target="https://www.uniprot.org/uniprot/Q8NFJ5" TargetMode="External"/><Relationship Id="rId1759" Type="http://schemas.openxmlformats.org/officeDocument/2006/relationships/hyperlink" Target="https://www.ncbi.nlm.nih.gov/gene/6352" TargetMode="External"/><Relationship Id="rId1966" Type="http://schemas.openxmlformats.org/officeDocument/2006/relationships/hyperlink" Target="https://www.uniprot.org/uniprot/P48436" TargetMode="External"/><Relationship Id="rId1619" Type="http://schemas.openxmlformats.org/officeDocument/2006/relationships/hyperlink" Target="https://www.ncbi.nlm.nih.gov/gene/9156" TargetMode="External"/><Relationship Id="rId1826" Type="http://schemas.openxmlformats.org/officeDocument/2006/relationships/hyperlink" Target="https://www.ncbi.nlm.nih.gov/gene/481" TargetMode="External"/><Relationship Id="rId779" Type="http://schemas.openxmlformats.org/officeDocument/2006/relationships/hyperlink" Target="https://pubmed.ncbi.nlm.nih.gov/?term=28814088%2C%2022753594%2C%2020012971%2C%2026093488%5Buid%5D" TargetMode="External"/><Relationship Id="rId986" Type="http://schemas.openxmlformats.org/officeDocument/2006/relationships/hyperlink" Target="https://www.ncbi.nlm.nih.gov/gene/7508" TargetMode="External"/><Relationship Id="rId2667" Type="http://schemas.openxmlformats.org/officeDocument/2006/relationships/hyperlink" Target="https://www.uniprot.org/uniprot/P12111" TargetMode="External"/><Relationship Id="rId639" Type="http://schemas.openxmlformats.org/officeDocument/2006/relationships/hyperlink" Target="https://pubmed.ncbi.nlm.nih.gov/?term=12578393%5Buid%5D" TargetMode="External"/><Relationship Id="rId1269" Type="http://schemas.openxmlformats.org/officeDocument/2006/relationships/hyperlink" Target="https://www.ncbi.nlm.nih.gov/gene/11284" TargetMode="External"/><Relationship Id="rId1476" Type="http://schemas.openxmlformats.org/officeDocument/2006/relationships/hyperlink" Target="https://www.ncbi.nlm.nih.gov/gene/9452" TargetMode="External"/><Relationship Id="rId846" Type="http://schemas.openxmlformats.org/officeDocument/2006/relationships/hyperlink" Target="https://pubmed.ncbi.nlm.nih.gov/?term=18256356%2C%2028275299%2C%2029746926%2C%2029343281%5Buid%5D" TargetMode="External"/><Relationship Id="rId1129" Type="http://schemas.openxmlformats.org/officeDocument/2006/relationships/hyperlink" Target="https://www.ncbi.nlm.nih.gov/gene/30061" TargetMode="External"/><Relationship Id="rId1683" Type="http://schemas.openxmlformats.org/officeDocument/2006/relationships/hyperlink" Target="https://www.ncbi.nlm.nih.gov/gene/9937" TargetMode="External"/><Relationship Id="rId1890" Type="http://schemas.openxmlformats.org/officeDocument/2006/relationships/hyperlink" Target="https://www.uniprot.org/uniprot/P26583" TargetMode="External"/><Relationship Id="rId2527" Type="http://schemas.openxmlformats.org/officeDocument/2006/relationships/hyperlink" Target="https://www.uniprot.org/uniprot/Q00613" TargetMode="External"/><Relationship Id="rId2734" Type="http://schemas.openxmlformats.org/officeDocument/2006/relationships/hyperlink" Target="https://www.uniprot.org/uniprot/O14503" TargetMode="External"/><Relationship Id="rId706" Type="http://schemas.openxmlformats.org/officeDocument/2006/relationships/hyperlink" Target="https://pubmed.ncbi.nlm.nih.gov/?term=21044322%2C%2024475290%5Buid%5D" TargetMode="External"/><Relationship Id="rId913" Type="http://schemas.openxmlformats.org/officeDocument/2006/relationships/hyperlink" Target="https://pubmed.ncbi.nlm.nih.gov/?term=26880244,26156020,22467238" TargetMode="External"/><Relationship Id="rId1336" Type="http://schemas.openxmlformats.org/officeDocument/2006/relationships/hyperlink" Target="https://www.ncbi.nlm.nih.gov/gene/4854" TargetMode="External"/><Relationship Id="rId1543" Type="http://schemas.openxmlformats.org/officeDocument/2006/relationships/hyperlink" Target="https://www.ncbi.nlm.nih.gov/gene/2938" TargetMode="External"/><Relationship Id="rId1750" Type="http://schemas.openxmlformats.org/officeDocument/2006/relationships/hyperlink" Target="https://www.ncbi.nlm.nih.gov/gene/958" TargetMode="External"/><Relationship Id="rId2801" Type="http://schemas.openxmlformats.org/officeDocument/2006/relationships/hyperlink" Target="https://www.uniprot.org/uniprot/O15439" TargetMode="External"/><Relationship Id="rId42" Type="http://schemas.openxmlformats.org/officeDocument/2006/relationships/hyperlink" Target="https://pubmed.ncbi.nlm.nih.gov/?term=20925046%2C%2012543167%5Buid%5D" TargetMode="External"/><Relationship Id="rId1403" Type="http://schemas.openxmlformats.org/officeDocument/2006/relationships/hyperlink" Target="https://www.ncbi.nlm.nih.gov/gene/131965" TargetMode="External"/><Relationship Id="rId1610" Type="http://schemas.openxmlformats.org/officeDocument/2006/relationships/hyperlink" Target="https://www.ncbi.nlm.nih.gov/gene/22909" TargetMode="External"/><Relationship Id="rId289" Type="http://schemas.openxmlformats.org/officeDocument/2006/relationships/hyperlink" Target="https://pubmed.ncbi.nlm.nih.gov/?term=12861027%5Buid%5D" TargetMode="External"/><Relationship Id="rId496" Type="http://schemas.openxmlformats.org/officeDocument/2006/relationships/hyperlink" Target="https://pubmed.ncbi.nlm.nih.gov/?term=27384994%2C%209215689%2C%2022820099%5Buid%5D" TargetMode="External"/><Relationship Id="rId2177" Type="http://schemas.openxmlformats.org/officeDocument/2006/relationships/hyperlink" Target="https://www.uniprot.org/uniprot/P10599" TargetMode="External"/><Relationship Id="rId2384" Type="http://schemas.openxmlformats.org/officeDocument/2006/relationships/hyperlink" Target="https://www.uniprot.org/uniprot/P07237" TargetMode="External"/><Relationship Id="rId2591" Type="http://schemas.openxmlformats.org/officeDocument/2006/relationships/hyperlink" Target="https://www.uniprot.org/uniprot/Q9NW38" TargetMode="External"/><Relationship Id="rId149" Type="http://schemas.openxmlformats.org/officeDocument/2006/relationships/hyperlink" Target="https://pubmed.ncbi.nlm.nih.gov/?term=18931700%2C%2029331417%20%5Buid%5D" TargetMode="External"/><Relationship Id="rId356" Type="http://schemas.openxmlformats.org/officeDocument/2006/relationships/hyperlink" Target="https://pubmed.ncbi.nlm.nih.gov/?term=26138778%5Buid%5D" TargetMode="External"/><Relationship Id="rId563" Type="http://schemas.openxmlformats.org/officeDocument/2006/relationships/hyperlink" Target="https://pubmed.ncbi.nlm.nih.gov/?term=30225719%2C%2031423287%5Buid%5D" TargetMode="External"/><Relationship Id="rId770" Type="http://schemas.openxmlformats.org/officeDocument/2006/relationships/hyperlink" Target="https://pubmed.ncbi.nlm.nih.gov/?term=29212168%5Buid%5D" TargetMode="External"/><Relationship Id="rId1193" Type="http://schemas.openxmlformats.org/officeDocument/2006/relationships/hyperlink" Target="https://www.ncbi.nlm.nih.gov/gene/6001" TargetMode="External"/><Relationship Id="rId2037" Type="http://schemas.openxmlformats.org/officeDocument/2006/relationships/hyperlink" Target="https://www.uniprot.org/uniprot/Q9P2Y5" TargetMode="External"/><Relationship Id="rId2244" Type="http://schemas.openxmlformats.org/officeDocument/2006/relationships/hyperlink" Target="https://www.uniprot.org/uniprot/Q7Z7L1" TargetMode="External"/><Relationship Id="rId2451" Type="http://schemas.openxmlformats.org/officeDocument/2006/relationships/hyperlink" Target="https://www.uniprot.org/uniprot/Q14680" TargetMode="External"/><Relationship Id="rId216" Type="http://schemas.openxmlformats.org/officeDocument/2006/relationships/hyperlink" Target="https://pubmed.ncbi.nlm.nih.gov/?term=28743276%5Buid%5D" TargetMode="External"/><Relationship Id="rId423" Type="http://schemas.openxmlformats.org/officeDocument/2006/relationships/hyperlink" Target="https://pubmed.ncbi.nlm.nih.gov/?term=24659709%5Buid%5D" TargetMode="External"/><Relationship Id="rId1053" Type="http://schemas.openxmlformats.org/officeDocument/2006/relationships/hyperlink" Target="https://www.ncbi.nlm.nih.gov/gene/374882" TargetMode="External"/><Relationship Id="rId1260" Type="http://schemas.openxmlformats.org/officeDocument/2006/relationships/hyperlink" Target="https://www.ncbi.nlm.nih.gov/gene/27434" TargetMode="External"/><Relationship Id="rId2104" Type="http://schemas.openxmlformats.org/officeDocument/2006/relationships/hyperlink" Target="https://www.uniprot.org/uniprot/Q9H4A6" TargetMode="External"/><Relationship Id="rId630" Type="http://schemas.openxmlformats.org/officeDocument/2006/relationships/hyperlink" Target="https://pubmed.ncbi.nlm.nih.gov/?term=26336131%2C%2019364127%5Buid%5D" TargetMode="External"/><Relationship Id="rId2311" Type="http://schemas.openxmlformats.org/officeDocument/2006/relationships/hyperlink" Target="https://www.uniprot.org/uniprot/P57735" TargetMode="External"/><Relationship Id="rId1120" Type="http://schemas.openxmlformats.org/officeDocument/2006/relationships/hyperlink" Target="https://www.ncbi.nlm.nih.gov/gene/6595" TargetMode="External"/><Relationship Id="rId1937" Type="http://schemas.openxmlformats.org/officeDocument/2006/relationships/hyperlink" Target="https://www.uniprot.org/uniprot/Q9UPT9" TargetMode="External"/><Relationship Id="rId280" Type="http://schemas.openxmlformats.org/officeDocument/2006/relationships/hyperlink" Target="https://pubmed.ncbi.nlm.nih.gov/?term=28454268%2C%2028859669%5Buid%5D" TargetMode="External"/><Relationship Id="rId140" Type="http://schemas.openxmlformats.org/officeDocument/2006/relationships/hyperlink" Target="https://pubmed.ncbi.nlm.nih.gov/?term=20565782%2C%2021637913%5Buid%5D" TargetMode="External"/><Relationship Id="rId6" Type="http://schemas.openxmlformats.org/officeDocument/2006/relationships/hyperlink" Target="https://pubmed.ncbi.nlm.nih.gov/?term=15688364%2C%2016213010%2C%2017145840%2C%209230284%2C%2020204280%5Buid%5D" TargetMode="External"/><Relationship Id="rId2778" Type="http://schemas.openxmlformats.org/officeDocument/2006/relationships/hyperlink" Target="https://www.uniprot.org/uniprot/Q96Q83" TargetMode="External"/><Relationship Id="rId957" Type="http://schemas.openxmlformats.org/officeDocument/2006/relationships/hyperlink" Target="https://www.uniprot.org/uniprot/Q16548" TargetMode="External"/><Relationship Id="rId1587" Type="http://schemas.openxmlformats.org/officeDocument/2006/relationships/hyperlink" Target="https://www.ncbi.nlm.nih.gov/gene/2316" TargetMode="External"/><Relationship Id="rId1794" Type="http://schemas.openxmlformats.org/officeDocument/2006/relationships/hyperlink" Target="https://www.ncbi.nlm.nih.gov/gene/330" TargetMode="External"/><Relationship Id="rId2638" Type="http://schemas.openxmlformats.org/officeDocument/2006/relationships/hyperlink" Target="https://www.uniprot.org/uniprot/O60496" TargetMode="External"/><Relationship Id="rId86" Type="http://schemas.openxmlformats.org/officeDocument/2006/relationships/hyperlink" Target="https://pubmed.ncbi.nlm.nih.gov/19240170,16009487,10615232" TargetMode="External"/><Relationship Id="rId817" Type="http://schemas.openxmlformats.org/officeDocument/2006/relationships/hyperlink" Target="https://pubmed.ncbi.nlm.nih.gov/?term=29305171%5Buid%5D" TargetMode="External"/><Relationship Id="rId1447" Type="http://schemas.openxmlformats.org/officeDocument/2006/relationships/hyperlink" Target="https://www.ncbi.nlm.nih.gov/gene/3949" TargetMode="External"/><Relationship Id="rId1654" Type="http://schemas.openxmlformats.org/officeDocument/2006/relationships/hyperlink" Target="https://www.ncbi.nlm.nih.gov/gene/144455" TargetMode="External"/><Relationship Id="rId1861" Type="http://schemas.openxmlformats.org/officeDocument/2006/relationships/hyperlink" Target="https://www.ncbi.nlm.nih.gov/gene/207" TargetMode="External"/><Relationship Id="rId2705" Type="http://schemas.openxmlformats.org/officeDocument/2006/relationships/hyperlink" Target="https://www.uniprot.org/uniprot/P24385" TargetMode="External"/><Relationship Id="rId1307" Type="http://schemas.openxmlformats.org/officeDocument/2006/relationships/hyperlink" Target="https://www.ncbi.nlm.nih.gov/gene/5111" TargetMode="External"/><Relationship Id="rId1514" Type="http://schemas.openxmlformats.org/officeDocument/2006/relationships/hyperlink" Target="https://www.ncbi.nlm.nih.gov/gene/3214" TargetMode="External"/><Relationship Id="rId1721" Type="http://schemas.openxmlformats.org/officeDocument/2006/relationships/hyperlink" Target="https://www.ncbi.nlm.nih.gov/gene/57650" TargetMode="External"/><Relationship Id="rId13" Type="http://schemas.openxmlformats.org/officeDocument/2006/relationships/hyperlink" Target="https://pubmed.ncbi.nlm.nih.gov/?term=27323405%5Buid%5D" TargetMode="External"/><Relationship Id="rId2288" Type="http://schemas.openxmlformats.org/officeDocument/2006/relationships/hyperlink" Target="https://www.uniprot.org/uniprot/Q9UGC6" TargetMode="External"/><Relationship Id="rId2495" Type="http://schemas.openxmlformats.org/officeDocument/2006/relationships/hyperlink" Target="https://www.uniprot.org/uniprot/O95235" TargetMode="External"/><Relationship Id="rId467" Type="http://schemas.openxmlformats.org/officeDocument/2006/relationships/hyperlink" Target="https://pubmed.ncbi.nlm.nih.gov/?term=26681060%2C%2030515418%5Buid%5D" TargetMode="External"/><Relationship Id="rId1097" Type="http://schemas.openxmlformats.org/officeDocument/2006/relationships/hyperlink" Target="https://www.ncbi.nlm.nih.gov/gene/6427" TargetMode="External"/><Relationship Id="rId2148" Type="http://schemas.openxmlformats.org/officeDocument/2006/relationships/hyperlink" Target="https://www.uniprot.org/uniprot/P12956" TargetMode="External"/><Relationship Id="rId674" Type="http://schemas.openxmlformats.org/officeDocument/2006/relationships/hyperlink" Target="https://pubmed.ncbi.nlm.nih.gov/?term=24096476%5Buid%5D" TargetMode="External"/><Relationship Id="rId881" Type="http://schemas.openxmlformats.org/officeDocument/2006/relationships/hyperlink" Target="https://pubmed.ncbi.nlm.nih.gov/?term=24525731%2C%2025348020%5Buid%5D" TargetMode="External"/><Relationship Id="rId2355" Type="http://schemas.openxmlformats.org/officeDocument/2006/relationships/hyperlink" Target="https://www.uniprot.org/uniprot/Q9Y263" TargetMode="External"/><Relationship Id="rId2562" Type="http://schemas.openxmlformats.org/officeDocument/2006/relationships/hyperlink" Target="https://www.uniprot.org/uniprot/P17302" TargetMode="External"/><Relationship Id="rId327" Type="http://schemas.openxmlformats.org/officeDocument/2006/relationships/hyperlink" Target="https://pubmed.ncbi.nlm.nih.gov/?term=14532974%2C%2026356271%2C%2016012725%5Buid%5D" TargetMode="External"/><Relationship Id="rId534" Type="http://schemas.openxmlformats.org/officeDocument/2006/relationships/hyperlink" Target="https://pubmed.ncbi.nlm.nih.gov/?term=20459793%2C%2026227489%2C%202113532%2C%2030166592%2C%2032319562%2C%2024583641%5Buid%5D" TargetMode="External"/><Relationship Id="rId741" Type="http://schemas.openxmlformats.org/officeDocument/2006/relationships/hyperlink" Target="https://pubmed.ncbi.nlm.nih.gov/?term=30544766%2C%2027140478%2C%2030013182%5Buid%5D" TargetMode="External"/><Relationship Id="rId1164" Type="http://schemas.openxmlformats.org/officeDocument/2006/relationships/hyperlink" Target="https://www.ncbi.nlm.nih.gov/gene/6303" TargetMode="External"/><Relationship Id="rId1371" Type="http://schemas.openxmlformats.org/officeDocument/2006/relationships/hyperlink" Target="https://www.ncbi.nlm.nih.gov/gene/4552" TargetMode="External"/><Relationship Id="rId2008" Type="http://schemas.openxmlformats.org/officeDocument/2006/relationships/hyperlink" Target="https://www.uniprot.org/uniprot/Q9Y3U8" TargetMode="External"/><Relationship Id="rId2215" Type="http://schemas.openxmlformats.org/officeDocument/2006/relationships/hyperlink" Target="https://www.uniprot.org/uniprot/Q8N5C8" TargetMode="External"/><Relationship Id="rId2422" Type="http://schemas.openxmlformats.org/officeDocument/2006/relationships/hyperlink" Target="https://www.uniprot.org/uniprot/Q96NY9" TargetMode="External"/><Relationship Id="rId601" Type="http://schemas.openxmlformats.org/officeDocument/2006/relationships/hyperlink" Target="https://pubmed.ncbi.nlm.nih.gov/?term=26087191%2C%2029064423%5Buid%5D" TargetMode="External"/><Relationship Id="rId1024" Type="http://schemas.openxmlformats.org/officeDocument/2006/relationships/hyperlink" Target="https://www.ncbi.nlm.nih.gov/gene/10381" TargetMode="External"/><Relationship Id="rId1231" Type="http://schemas.openxmlformats.org/officeDocument/2006/relationships/hyperlink" Target="https://www.ncbi.nlm.nih.gov/gene/5727" TargetMode="External"/><Relationship Id="rId184" Type="http://schemas.openxmlformats.org/officeDocument/2006/relationships/hyperlink" Target="https://pubmed.ncbi.nlm.nih.gov/?term=27390605%2C%2029050298%5Buid%5D" TargetMode="External"/><Relationship Id="rId391" Type="http://schemas.openxmlformats.org/officeDocument/2006/relationships/hyperlink" Target="https://pubmed.ncbi.nlm.nih.gov/?term=29168038%5Buid%5D" TargetMode="External"/><Relationship Id="rId1908" Type="http://schemas.openxmlformats.org/officeDocument/2006/relationships/hyperlink" Target="https://www.uniprot.org/uniprot/Q99542" TargetMode="External"/><Relationship Id="rId2072" Type="http://schemas.openxmlformats.org/officeDocument/2006/relationships/hyperlink" Target="https://www.uniprot.org/uniprot/O75915" TargetMode="External"/><Relationship Id="rId251" Type="http://schemas.openxmlformats.org/officeDocument/2006/relationships/hyperlink" Target="https://pubmed.ncbi.nlm.nih.gov/?term=25976336%2C%2027196780%2C%2025658620%5Buid%5D" TargetMode="External"/><Relationship Id="rId111" Type="http://schemas.openxmlformats.org/officeDocument/2006/relationships/hyperlink" Target="https://pubmed.ncbi.nlm.nih.gov/?term=28056551%2C%2017671123%2C%2028703811%5Buid%5D" TargetMode="External"/><Relationship Id="rId1698" Type="http://schemas.openxmlformats.org/officeDocument/2006/relationships/hyperlink" Target="https://www.ncbi.nlm.nih.gov/gene/79004" TargetMode="External"/><Relationship Id="rId2749" Type="http://schemas.openxmlformats.org/officeDocument/2006/relationships/hyperlink" Target="https://www.uniprot.org/uniprot/O14965" TargetMode="External"/><Relationship Id="rId928" Type="http://schemas.openxmlformats.org/officeDocument/2006/relationships/hyperlink" Target="https://pubmed.ncbi.nlm.nih.gov/?term=17699796%5Buid%5D" TargetMode="External"/><Relationship Id="rId1558" Type="http://schemas.openxmlformats.org/officeDocument/2006/relationships/hyperlink" Target="https://www.ncbi.nlm.nih.gov/gene/84572" TargetMode="External"/><Relationship Id="rId1765" Type="http://schemas.openxmlformats.org/officeDocument/2006/relationships/hyperlink" Target="https://www.ncbi.nlm.nih.gov/gene/857" TargetMode="External"/><Relationship Id="rId2609" Type="http://schemas.openxmlformats.org/officeDocument/2006/relationships/hyperlink" Target="https://www.uniprot.org/uniprot/P28715" TargetMode="External"/><Relationship Id="rId57" Type="http://schemas.openxmlformats.org/officeDocument/2006/relationships/hyperlink" Target="https://pubmed.ncbi.nlm.nih.gov/?term=32080166%2C%2031029032%5Buid%5D" TargetMode="External"/><Relationship Id="rId1418" Type="http://schemas.openxmlformats.org/officeDocument/2006/relationships/hyperlink" Target="https://www.ncbi.nlm.nih.gov/gene/5603" TargetMode="External"/><Relationship Id="rId1972" Type="http://schemas.openxmlformats.org/officeDocument/2006/relationships/hyperlink" Target="https://www.uniprot.org/uniprot/P13232" TargetMode="External"/><Relationship Id="rId1625" Type="http://schemas.openxmlformats.org/officeDocument/2006/relationships/hyperlink" Target="https://www.ncbi.nlm.nih.gov/gene/2073" TargetMode="External"/><Relationship Id="rId1832" Type="http://schemas.openxmlformats.org/officeDocument/2006/relationships/hyperlink" Target="https://www.ncbi.nlm.nih.gov/gene/22863" TargetMode="External"/><Relationship Id="rId2399" Type="http://schemas.openxmlformats.org/officeDocument/2006/relationships/hyperlink" Target="https://www.uniprot.org/uniprot/P29474" TargetMode="External"/><Relationship Id="rId578" Type="http://schemas.openxmlformats.org/officeDocument/2006/relationships/hyperlink" Target="https://pubmed.ncbi.nlm.nih.gov/?term=27713506%2C%2028535002%2C%2010531298%5Buid%5D" TargetMode="External"/><Relationship Id="rId785" Type="http://schemas.openxmlformats.org/officeDocument/2006/relationships/hyperlink" Target="https://pubmed.ncbi.nlm.nih.gov/?term=26716514%2C%2021750651%2C%2025149540%5Buid%5D" TargetMode="External"/><Relationship Id="rId992" Type="http://schemas.openxmlformats.org/officeDocument/2006/relationships/hyperlink" Target="https://www.ncbi.nlm.nih.gov/gene/11060" TargetMode="External"/><Relationship Id="rId2259" Type="http://schemas.openxmlformats.org/officeDocument/2006/relationships/hyperlink" Target="https://www.uniprot.org/uniprot/Q15475" TargetMode="External"/><Relationship Id="rId2466" Type="http://schemas.openxmlformats.org/officeDocument/2006/relationships/hyperlink" Target="https://www.uniprot.org/uniprot/P46734" TargetMode="External"/><Relationship Id="rId2673" Type="http://schemas.openxmlformats.org/officeDocument/2006/relationships/hyperlink" Target="https://www.uniprot.org/uniprot/Q13286" TargetMode="External"/><Relationship Id="rId438" Type="http://schemas.openxmlformats.org/officeDocument/2006/relationships/hyperlink" Target="https://pubmed.ncbi.nlm.nih.gov/?term=21787767%5Buid%5D" TargetMode="External"/><Relationship Id="rId645" Type="http://schemas.openxmlformats.org/officeDocument/2006/relationships/hyperlink" Target="https://pubmed.ncbi.nlm.nih.gov/?term=22777349%5Buid%5D" TargetMode="External"/><Relationship Id="rId852" Type="http://schemas.openxmlformats.org/officeDocument/2006/relationships/hyperlink" Target="https://pubmed.ncbi.nlm.nih.gov/?term=31364751%2C%2027206315%2C%2017253597%2C%2021307147%20%5Buid%5D" TargetMode="External"/><Relationship Id="rId1068" Type="http://schemas.openxmlformats.org/officeDocument/2006/relationships/hyperlink" Target="https://www.ncbi.nlm.nih.gov/gene/7043" TargetMode="External"/><Relationship Id="rId1275" Type="http://schemas.openxmlformats.org/officeDocument/2006/relationships/hyperlink" Target="https://www.ncbi.nlm.nih.gov/gene/5347" TargetMode="External"/><Relationship Id="rId1482" Type="http://schemas.openxmlformats.org/officeDocument/2006/relationships/hyperlink" Target="https://www.ncbi.nlm.nih.gov/gene/3659" TargetMode="External"/><Relationship Id="rId2119" Type="http://schemas.openxmlformats.org/officeDocument/2006/relationships/hyperlink" Target="https://www.uniprot.org/uniprot/Q6ZW49" TargetMode="External"/><Relationship Id="rId2326" Type="http://schemas.openxmlformats.org/officeDocument/2006/relationships/hyperlink" Target="https://www.uniprot.org/uniprot/Q05655" TargetMode="External"/><Relationship Id="rId2533" Type="http://schemas.openxmlformats.org/officeDocument/2006/relationships/hyperlink" Target="https://www.uniprot.org/uniprot/P09601" TargetMode="External"/><Relationship Id="rId2740" Type="http://schemas.openxmlformats.org/officeDocument/2006/relationships/hyperlink" Target="https://www.uniprot.org/uniprot/P54687" TargetMode="External"/><Relationship Id="rId505" Type="http://schemas.openxmlformats.org/officeDocument/2006/relationships/hyperlink" Target="https://pubmed.ncbi.nlm.nih.gov/?term=29048400%5Buid%5D" TargetMode="External"/><Relationship Id="rId712" Type="http://schemas.openxmlformats.org/officeDocument/2006/relationships/hyperlink" Target="https://pubmed.ncbi.nlm.nih.gov/?term=24842157%2C%2011314033%5Buid%5D" TargetMode="External"/><Relationship Id="rId1135" Type="http://schemas.openxmlformats.org/officeDocument/2006/relationships/hyperlink" Target="https://www.ncbi.nlm.nih.gov/gene/11001" TargetMode="External"/><Relationship Id="rId1342" Type="http://schemas.openxmlformats.org/officeDocument/2006/relationships/hyperlink" Target="https://www.ncbi.nlm.nih.gov/gene/4811" TargetMode="External"/><Relationship Id="rId1202" Type="http://schemas.openxmlformats.org/officeDocument/2006/relationships/hyperlink" Target="https://www.ncbi.nlm.nih.gov/gene/5965" TargetMode="External"/><Relationship Id="rId2600" Type="http://schemas.openxmlformats.org/officeDocument/2006/relationships/hyperlink" Target="https://www.uniprot.org/uniprot/Q9Y2M0" TargetMode="External"/><Relationship Id="rId295" Type="http://schemas.openxmlformats.org/officeDocument/2006/relationships/hyperlink" Target="https://pubmed.ncbi.nlm.nih.gov/?term=31225740%2C%2012815464%2C%2031978067%2C%2032628088%5Buid%5D" TargetMode="External"/><Relationship Id="rId2183" Type="http://schemas.openxmlformats.org/officeDocument/2006/relationships/hyperlink" Target="https://www.uniprot.org/uniprot/P13693" TargetMode="External"/><Relationship Id="rId2390" Type="http://schemas.openxmlformats.org/officeDocument/2006/relationships/hyperlink" Target="https://www.uniprot.org/uniprot/P78549" TargetMode="External"/><Relationship Id="rId155" Type="http://schemas.openxmlformats.org/officeDocument/2006/relationships/hyperlink" Target="https://pubmed.ncbi.nlm.nih.gov/?term=24554720%5Buid%5D" TargetMode="External"/><Relationship Id="rId362" Type="http://schemas.openxmlformats.org/officeDocument/2006/relationships/hyperlink" Target="https://pubmed.ncbi.nlm.nih.gov/?term=21571862%5Buid%5D" TargetMode="External"/><Relationship Id="rId2043" Type="http://schemas.openxmlformats.org/officeDocument/2006/relationships/hyperlink" Target="https://www.uniprot.org/uniprot/P17405" TargetMode="External"/><Relationship Id="rId2250" Type="http://schemas.openxmlformats.org/officeDocument/2006/relationships/hyperlink" Target="https://www.uniprot.org/uniprot/O15432" TargetMode="External"/><Relationship Id="rId222" Type="http://schemas.openxmlformats.org/officeDocument/2006/relationships/hyperlink" Target="https://pubmed.ncbi.nlm.nih.gov/?term=26353782%2C%2019303159%5Buid%5D" TargetMode="External"/><Relationship Id="rId2110" Type="http://schemas.openxmlformats.org/officeDocument/2006/relationships/hyperlink" Target="https://www.uniprot.org/uniprot/Q01130" TargetMode="External"/><Relationship Id="rId1669" Type="http://schemas.openxmlformats.org/officeDocument/2006/relationships/hyperlink" Target="https://www.ncbi.nlm.nih.gov/gene/27122" TargetMode="External"/><Relationship Id="rId1876" Type="http://schemas.openxmlformats.org/officeDocument/2006/relationships/hyperlink" Target="https://www.ncbi.nlm.nih.gov/gene/11057" TargetMode="External"/><Relationship Id="rId1529" Type="http://schemas.openxmlformats.org/officeDocument/2006/relationships/hyperlink" Target="https://www.ncbi.nlm.nih.gov/gene/23462" TargetMode="External"/><Relationship Id="rId1736" Type="http://schemas.openxmlformats.org/officeDocument/2006/relationships/hyperlink" Target="https://www.ncbi.nlm.nih.gov/gene/1019" TargetMode="External"/><Relationship Id="rId1943" Type="http://schemas.openxmlformats.org/officeDocument/2006/relationships/hyperlink" Target="https://www.uniprot.org/uniprot/Q9NP84" TargetMode="External"/><Relationship Id="rId28" Type="http://schemas.openxmlformats.org/officeDocument/2006/relationships/hyperlink" Target="https://pubmed.ncbi.nlm.nih.gov/?term=23165153%2C%2015790446%5Buid%5D" TargetMode="External"/><Relationship Id="rId1803" Type="http://schemas.openxmlformats.org/officeDocument/2006/relationships/hyperlink" Target="https://www.ncbi.nlm.nih.gov/gene/10018" TargetMode="External"/><Relationship Id="rId689" Type="http://schemas.openxmlformats.org/officeDocument/2006/relationships/hyperlink" Target="https://pubmed.ncbi.nlm.nih.gov/?term=28735897%5Buid%5D" TargetMode="External"/><Relationship Id="rId896" Type="http://schemas.openxmlformats.org/officeDocument/2006/relationships/hyperlink" Target="https://pubmed.ncbi.nlm.nih.gov/?term=31842906%5Buid%5D" TargetMode="External"/><Relationship Id="rId2577" Type="http://schemas.openxmlformats.org/officeDocument/2006/relationships/hyperlink" Target="https://www.uniprot.org/uniprot/P15407" TargetMode="External"/><Relationship Id="rId2784" Type="http://schemas.openxmlformats.org/officeDocument/2006/relationships/hyperlink" Target="https://www.uniprot.org/uniprot/P42330" TargetMode="External"/><Relationship Id="rId549" Type="http://schemas.openxmlformats.org/officeDocument/2006/relationships/hyperlink" Target="https://pubmed.ncbi.nlm.nih.gov/?term=24969318%2C%2026501353%5Buid%5D" TargetMode="External"/><Relationship Id="rId756" Type="http://schemas.openxmlformats.org/officeDocument/2006/relationships/hyperlink" Target="https://pubmed.ncbi.nlm.nih.gov/?term=27987372%2C%2029113360%5Buid%5D" TargetMode="External"/><Relationship Id="rId1179" Type="http://schemas.openxmlformats.org/officeDocument/2006/relationships/hyperlink" Target="https://www.ncbi.nlm.nih.gov/gene/6167" TargetMode="External"/><Relationship Id="rId1386" Type="http://schemas.openxmlformats.org/officeDocument/2006/relationships/hyperlink" Target="https://www.ncbi.nlm.nih.gov/gene/4331" TargetMode="External"/><Relationship Id="rId1593" Type="http://schemas.openxmlformats.org/officeDocument/2006/relationships/hyperlink" Target="https://www.ncbi.nlm.nih.gov/gene/114907" TargetMode="External"/><Relationship Id="rId2437" Type="http://schemas.openxmlformats.org/officeDocument/2006/relationships/hyperlink" Target="https://www.uniprot.org/uniprot/Q96BY2" TargetMode="External"/><Relationship Id="rId409" Type="http://schemas.openxmlformats.org/officeDocument/2006/relationships/hyperlink" Target="https://pubmed.ncbi.nlm.nih.gov/?term=31044552%5Buid%5D" TargetMode="External"/><Relationship Id="rId963" Type="http://schemas.openxmlformats.org/officeDocument/2006/relationships/hyperlink" Target="https://www.uniprot.org/uniprot/P78344" TargetMode="External"/><Relationship Id="rId1039" Type="http://schemas.openxmlformats.org/officeDocument/2006/relationships/hyperlink" Target="https://www.ncbi.nlm.nih.gov/gene/8940" TargetMode="External"/><Relationship Id="rId1246" Type="http://schemas.openxmlformats.org/officeDocument/2006/relationships/hyperlink" Target="https://www.ncbi.nlm.nih.gov/gene/5564" TargetMode="External"/><Relationship Id="rId2644" Type="http://schemas.openxmlformats.org/officeDocument/2006/relationships/hyperlink" Target="https://www.uniprot.org/uniprot/P00374" TargetMode="External"/><Relationship Id="rId92" Type="http://schemas.openxmlformats.org/officeDocument/2006/relationships/hyperlink" Target="https://pubmed.ncbi.nlm.nih.gov/?term=28083995%5Buid%5D" TargetMode="External"/><Relationship Id="rId616" Type="http://schemas.openxmlformats.org/officeDocument/2006/relationships/hyperlink" Target="https://pubmed.ncbi.nlm.nih.gov/?term=29327155%2C%2021571862%5Buid%5D" TargetMode="External"/><Relationship Id="rId823" Type="http://schemas.openxmlformats.org/officeDocument/2006/relationships/hyperlink" Target="https://pubmed.ncbi.nlm.nih.gov/?term=25369529%5Buid%5D" TargetMode="External"/><Relationship Id="rId1453" Type="http://schemas.openxmlformats.org/officeDocument/2006/relationships/hyperlink" Target="https://www.ncbi.nlm.nih.gov/gene/3852" TargetMode="External"/><Relationship Id="rId1660" Type="http://schemas.openxmlformats.org/officeDocument/2006/relationships/hyperlink" Target="https://www.ncbi.nlm.nih.gov/gene/1857" TargetMode="External"/><Relationship Id="rId2504" Type="http://schemas.openxmlformats.org/officeDocument/2006/relationships/hyperlink" Target="https://www.uniprot.org/uniprot/P78504" TargetMode="External"/><Relationship Id="rId2711" Type="http://schemas.openxmlformats.org/officeDocument/2006/relationships/hyperlink" Target="https://www.uniprot.org/uniprot/P55211" TargetMode="External"/><Relationship Id="rId1106" Type="http://schemas.openxmlformats.org/officeDocument/2006/relationships/hyperlink" Target="https://www.ncbi.nlm.nih.gov/gene/6662" TargetMode="External"/><Relationship Id="rId1313" Type="http://schemas.openxmlformats.org/officeDocument/2006/relationships/hyperlink" Target="https://www.ncbi.nlm.nih.gov/gene/11315" TargetMode="External"/><Relationship Id="rId1520" Type="http://schemas.openxmlformats.org/officeDocument/2006/relationships/hyperlink" Target="https://www.ncbi.nlm.nih.gov/gene/3162" TargetMode="External"/><Relationship Id="rId199" Type="http://schemas.openxmlformats.org/officeDocument/2006/relationships/hyperlink" Target="https://pubmed.ncbi.nlm.nih.gov/?term=26336986%5Buid%5D" TargetMode="External"/><Relationship Id="rId2087" Type="http://schemas.openxmlformats.org/officeDocument/2006/relationships/hyperlink" Target="https://www.uniprot.org/uniprot/P40967" TargetMode="External"/><Relationship Id="rId2294" Type="http://schemas.openxmlformats.org/officeDocument/2006/relationships/hyperlink" Target="https://www.uniprot.org/uniprot/P07949" TargetMode="External"/><Relationship Id="rId266" Type="http://schemas.openxmlformats.org/officeDocument/2006/relationships/hyperlink" Target="https://pubmed.ncbi.nlm.nih.gov/?term=25634215%2C%20%2027449101%2C%2025096233%5Buid%5D" TargetMode="External"/><Relationship Id="rId473" Type="http://schemas.openxmlformats.org/officeDocument/2006/relationships/hyperlink" Target="https://pubmed.ncbi.nlm.nih.gov/?term=26553068" TargetMode="External"/><Relationship Id="rId680" Type="http://schemas.openxmlformats.org/officeDocument/2006/relationships/hyperlink" Target="https://pubmed.ncbi.nlm.nih.gov/?term=31314174%2C%2020930109%2C%2032193458%5Buid%5D" TargetMode="External"/><Relationship Id="rId2154" Type="http://schemas.openxmlformats.org/officeDocument/2006/relationships/hyperlink" Target="https://www.uniprot.org/uniprot/O14980" TargetMode="External"/><Relationship Id="rId2361" Type="http://schemas.openxmlformats.org/officeDocument/2006/relationships/hyperlink" Target="https://www.uniprot.org/uniprot/P42336" TargetMode="External"/><Relationship Id="rId126" Type="http://schemas.openxmlformats.org/officeDocument/2006/relationships/hyperlink" Target="https://pubmed.ncbi.nlm.nih.gov/?term=12543167%2C%2010680594%2C%2027935869%5Buid%5D" TargetMode="External"/><Relationship Id="rId333" Type="http://schemas.openxmlformats.org/officeDocument/2006/relationships/hyperlink" Target="https://pubmed.ncbi.nlm.nih.gov/?term=24366538%2C%2029552194%2C%2023423781%5Buid%5D" TargetMode="External"/><Relationship Id="rId540" Type="http://schemas.openxmlformats.org/officeDocument/2006/relationships/hyperlink" Target="https://pubmed.ncbi.nlm.nih.gov/?term=20361941%5Buid%5D" TargetMode="External"/><Relationship Id="rId1170" Type="http://schemas.openxmlformats.org/officeDocument/2006/relationships/hyperlink" Target="https://www.ncbi.nlm.nih.gov/gene/6241" TargetMode="External"/><Relationship Id="rId2014" Type="http://schemas.openxmlformats.org/officeDocument/2006/relationships/hyperlink" Target="http://www.uniprot.org/uniprot/O00311" TargetMode="External"/><Relationship Id="rId2221" Type="http://schemas.openxmlformats.org/officeDocument/2006/relationships/hyperlink" Target="https://www.uniprot.org/uniprot/P51692" TargetMode="External"/><Relationship Id="rId1030" Type="http://schemas.openxmlformats.org/officeDocument/2006/relationships/hyperlink" Target="https://www.ncbi.nlm.nih.gov/gene/10131" TargetMode="External"/><Relationship Id="rId400" Type="http://schemas.openxmlformats.org/officeDocument/2006/relationships/hyperlink" Target="https://pubmed.ncbi.nlm.nih.gov/?term=25402559%5Buid%5D" TargetMode="External"/><Relationship Id="rId1987" Type="http://schemas.openxmlformats.org/officeDocument/2006/relationships/hyperlink" Target="https://www.uniprot.org/uniprot/Q13421" TargetMode="External"/><Relationship Id="rId1847" Type="http://schemas.openxmlformats.org/officeDocument/2006/relationships/hyperlink" Target="https://www.ncbi.nlm.nih.gov/gene/324" TargetMode="External"/><Relationship Id="rId1707" Type="http://schemas.openxmlformats.org/officeDocument/2006/relationships/hyperlink" Target="https://www.ncbi.nlm.nih.gov/gene/10063" TargetMode="External"/><Relationship Id="rId190" Type="http://schemas.openxmlformats.org/officeDocument/2006/relationships/hyperlink" Target="https://pubmed.ncbi.nlm.nih.gov/?term=27194715%2C%2025337251%5Buid%5D" TargetMode="External"/><Relationship Id="rId1914" Type="http://schemas.openxmlformats.org/officeDocument/2006/relationships/hyperlink" Target="https://www.uniprot.org/uniprot/Q9NP72" TargetMode="External"/><Relationship Id="rId2688" Type="http://schemas.openxmlformats.org/officeDocument/2006/relationships/hyperlink" Target="https://www.uniprot.org/uniprot/P46527" TargetMode="External"/><Relationship Id="rId867" Type="http://schemas.openxmlformats.org/officeDocument/2006/relationships/hyperlink" Target="https://pubmed.ncbi.nlm.nih.gov/?term=24823795%2C%2030641908%2C%2020959455%2C%2016123597%5Buid%5D" TargetMode="External"/><Relationship Id="rId1497" Type="http://schemas.openxmlformats.org/officeDocument/2006/relationships/hyperlink" Target="https://www.ncbi.nlm.nih.gov/gene/3481" TargetMode="External"/><Relationship Id="rId2548" Type="http://schemas.openxmlformats.org/officeDocument/2006/relationships/hyperlink" Target="https://www.uniprot.org/uniprot/P30711" TargetMode="External"/><Relationship Id="rId2755" Type="http://schemas.openxmlformats.org/officeDocument/2006/relationships/hyperlink" Target="https://www.uniprot.org/uniprot/P61421" TargetMode="External"/><Relationship Id="rId727" Type="http://schemas.openxmlformats.org/officeDocument/2006/relationships/hyperlink" Target="https://pubmed.ncbi.nlm.nih.gov/?term=24244431%5Buid%5D" TargetMode="External"/><Relationship Id="rId934" Type="http://schemas.openxmlformats.org/officeDocument/2006/relationships/hyperlink" Target="https://pubmed.ncbi.nlm.nih.gov/?term=19742314%5Buid%5D" TargetMode="External"/><Relationship Id="rId1357" Type="http://schemas.openxmlformats.org/officeDocument/2006/relationships/hyperlink" Target="https://www.ncbi.nlm.nih.gov/gene/89795" TargetMode="External"/><Relationship Id="rId1564" Type="http://schemas.openxmlformats.org/officeDocument/2006/relationships/hyperlink" Target="https://www.ncbi.nlm.nih.gov/gene/2674" TargetMode="External"/><Relationship Id="rId1771" Type="http://schemas.openxmlformats.org/officeDocument/2006/relationships/hyperlink" Target="https://www.ncbi.nlm.nih.gov/gene/836" TargetMode="External"/><Relationship Id="rId2408" Type="http://schemas.openxmlformats.org/officeDocument/2006/relationships/hyperlink" Target="https://www.uniprot.org/uniprot/Q8NG66" TargetMode="External"/><Relationship Id="rId2615" Type="http://schemas.openxmlformats.org/officeDocument/2006/relationships/hyperlink" Target="https://www.uniprot.org/uniprot/P21860" TargetMode="External"/><Relationship Id="rId63" Type="http://schemas.openxmlformats.org/officeDocument/2006/relationships/hyperlink" Target="https://pubmed.ncbi.nlm.nih.gov/?term=30464262%5Buid%5D" TargetMode="External"/><Relationship Id="rId1217" Type="http://schemas.openxmlformats.org/officeDocument/2006/relationships/hyperlink" Target="https://www.ncbi.nlm.nih.gov/gene/5887" TargetMode="External"/><Relationship Id="rId1424" Type="http://schemas.openxmlformats.org/officeDocument/2006/relationships/hyperlink" Target="https://www.ncbi.nlm.nih.gov/gene/4214" TargetMode="External"/><Relationship Id="rId1631" Type="http://schemas.openxmlformats.org/officeDocument/2006/relationships/hyperlink" Target="https://www.ncbi.nlm.nih.gov/gene/2065" TargetMode="External"/><Relationship Id="rId2198" Type="http://schemas.openxmlformats.org/officeDocument/2006/relationships/hyperlink" Target="https://www.uniprot.org/uniprot/Q6PEY1" TargetMode="External"/><Relationship Id="rId377" Type="http://schemas.openxmlformats.org/officeDocument/2006/relationships/hyperlink" Target="https://pubmed.ncbi.nlm.nih.gov/?term=29402501%2C%2030501603%5Buid%5D" TargetMode="External"/><Relationship Id="rId584" Type="http://schemas.openxmlformats.org/officeDocument/2006/relationships/hyperlink" Target="https://pubmed.ncbi.nlm.nih.gov/?term=22785358%5Buid%5D" TargetMode="External"/><Relationship Id="rId2058" Type="http://schemas.openxmlformats.org/officeDocument/2006/relationships/hyperlink" Target="https://www.uniprot.org/uniprot/Q03135" TargetMode="External"/><Relationship Id="rId2265" Type="http://schemas.openxmlformats.org/officeDocument/2006/relationships/hyperlink" Target="https://www.uniprot.org/uniprot/P05121" TargetMode="External"/><Relationship Id="rId237" Type="http://schemas.openxmlformats.org/officeDocument/2006/relationships/hyperlink" Target="https://pubmed.ncbi.nlm.nih.gov/?term=17200349%2C%2015611646%5Buid%5D" TargetMode="External"/><Relationship Id="rId791" Type="http://schemas.openxmlformats.org/officeDocument/2006/relationships/hyperlink" Target="https://pubmed.ncbi.nlm.nih.gov/?term=26951260%5Buid%5D" TargetMode="External"/><Relationship Id="rId1074" Type="http://schemas.openxmlformats.org/officeDocument/2006/relationships/hyperlink" Target="https://www.ncbi.nlm.nih.gov/gene/80312" TargetMode="External"/><Relationship Id="rId2472" Type="http://schemas.openxmlformats.org/officeDocument/2006/relationships/hyperlink" Target="https://www.uniprot.org/uniprot/Q9UI95" TargetMode="External"/><Relationship Id="rId444" Type="http://schemas.openxmlformats.org/officeDocument/2006/relationships/hyperlink" Target="https://pubmed.ncbi.nlm.nih.gov/?term=22348822%5Buid%5D" TargetMode="External"/><Relationship Id="rId651" Type="http://schemas.openxmlformats.org/officeDocument/2006/relationships/hyperlink" Target="https://pubmed.ncbi.nlm.nih.gov/?term=22955258%2C%2020196784%5Buid%5D" TargetMode="External"/><Relationship Id="rId1281" Type="http://schemas.openxmlformats.org/officeDocument/2006/relationships/hyperlink" Target="https://www.ncbi.nlm.nih.gov/gene/5292" TargetMode="External"/><Relationship Id="rId2125" Type="http://schemas.openxmlformats.org/officeDocument/2006/relationships/hyperlink" Target="https://www.uniprot.org/uniprot/O94925" TargetMode="External"/><Relationship Id="rId2332" Type="http://schemas.openxmlformats.org/officeDocument/2006/relationships/hyperlink" Target="https://www.uniprot.org/uniprot/P54646" TargetMode="External"/><Relationship Id="rId304" Type="http://schemas.openxmlformats.org/officeDocument/2006/relationships/hyperlink" Target="https://pubmed.ncbi.nlm.nih.gov/?term=16098467%2C%2017418408%2C%2019470762%2C%2022534668%2C%2030013182%2C%2031138787%5Buid%5D" TargetMode="External"/><Relationship Id="rId511" Type="http://schemas.openxmlformats.org/officeDocument/2006/relationships/hyperlink" Target="https://pubmed.ncbi.nlm.nih.gov/?term=23056490%2C%2018211683%2C%2023340649%2C%2024408020%5Buid%5D" TargetMode="External"/><Relationship Id="rId1141" Type="http://schemas.openxmlformats.org/officeDocument/2006/relationships/hyperlink" Target="https://www.ncbi.nlm.nih.gov/gene/6510" TargetMode="External"/><Relationship Id="rId1001" Type="http://schemas.openxmlformats.org/officeDocument/2006/relationships/hyperlink" Target="https://www.ncbi.nlm.nih.gov/gene/7412" TargetMode="External"/><Relationship Id="rId1958" Type="http://schemas.openxmlformats.org/officeDocument/2006/relationships/hyperlink" Target="https://www.uniprot.org/uniprot/Q14517" TargetMode="External"/><Relationship Id="rId1818" Type="http://schemas.openxmlformats.org/officeDocument/2006/relationships/hyperlink" Target="https://www.ncbi.nlm.nih.gov/gene/540" TargetMode="External"/><Relationship Id="rId161" Type="http://schemas.openxmlformats.org/officeDocument/2006/relationships/hyperlink" Target="https://pubmed.ncbi.nlm.nih.gov/?term=27314502%2C%2011585414%20%5Buid%5D" TargetMode="External"/><Relationship Id="rId2799" Type="http://schemas.openxmlformats.org/officeDocument/2006/relationships/hyperlink" Target="https://www.uniprot.org/uniprot/Q9UBJ2" TargetMode="External"/><Relationship Id="rId978" Type="http://schemas.openxmlformats.org/officeDocument/2006/relationships/hyperlink" Target="https://www.ncbi.nlm.nih.gov/gene/10413" TargetMode="External"/><Relationship Id="rId2659" Type="http://schemas.openxmlformats.org/officeDocument/2006/relationships/hyperlink" Target="https://www.uniprot.org/uniprot/Q86UP6" TargetMode="External"/><Relationship Id="rId838" Type="http://schemas.openxmlformats.org/officeDocument/2006/relationships/hyperlink" Target="https://pubmed.ncbi.nlm.nih.gov/?term=29953521%5Buid%5D" TargetMode="External"/><Relationship Id="rId1468" Type="http://schemas.openxmlformats.org/officeDocument/2006/relationships/hyperlink" Target="https://www.ncbi.nlm.nih.gov/gene/84148" TargetMode="External"/><Relationship Id="rId1675" Type="http://schemas.openxmlformats.org/officeDocument/2006/relationships/hyperlink" Target="https://www.ncbi.nlm.nih.gov/gene/79139" TargetMode="External"/><Relationship Id="rId1882" Type="http://schemas.openxmlformats.org/officeDocument/2006/relationships/hyperlink" Target="https://www.ncbi.nlm.nih.gov/gene/8714" TargetMode="External"/><Relationship Id="rId2519" Type="http://schemas.openxmlformats.org/officeDocument/2006/relationships/hyperlink" Target="https://www.uniprot.org/uniprot/P08069" TargetMode="External"/><Relationship Id="rId2726" Type="http://schemas.openxmlformats.org/officeDocument/2006/relationships/hyperlink" Target="https://www.uniprot.org/uniprot/P38398" TargetMode="External"/><Relationship Id="rId1328" Type="http://schemas.openxmlformats.org/officeDocument/2006/relationships/hyperlink" Target="https://www.ncbi.nlm.nih.gov/gene/4907" TargetMode="External"/><Relationship Id="rId1535" Type="http://schemas.openxmlformats.org/officeDocument/2006/relationships/hyperlink" Target="https://www.ncbi.nlm.nih.gov/gene/54985" TargetMode="External"/><Relationship Id="rId905" Type="http://schemas.openxmlformats.org/officeDocument/2006/relationships/hyperlink" Target="https://pubmed.ncbi.nlm.nih.gov/?term=22118673%2C%2024531842%5Buid%5D" TargetMode="External"/><Relationship Id="rId1742" Type="http://schemas.openxmlformats.org/officeDocument/2006/relationships/hyperlink" Target="https://www.ncbi.nlm.nih.gov/gene/8317" TargetMode="External"/><Relationship Id="rId34" Type="http://schemas.openxmlformats.org/officeDocument/2006/relationships/hyperlink" Target="https://pubmed.ncbi.nlm.nih.gov/?term=25215901%2C%2021080034%2C%2025096996%5Buid%5D" TargetMode="External"/><Relationship Id="rId1602" Type="http://schemas.openxmlformats.org/officeDocument/2006/relationships/hyperlink" Target="https://www.ncbi.nlm.nih.gov/gene/55215" TargetMode="External"/><Relationship Id="rId488" Type="http://schemas.openxmlformats.org/officeDocument/2006/relationships/hyperlink" Target="https://pubmed.ncbi.nlm.nih.gov/?term=30033091%5Buid%5D" TargetMode="External"/><Relationship Id="rId695" Type="http://schemas.openxmlformats.org/officeDocument/2006/relationships/hyperlink" Target="https://pubmed.ncbi.nlm.nih.gov/?term=30279231%5Buid%5D" TargetMode="External"/><Relationship Id="rId2169" Type="http://schemas.openxmlformats.org/officeDocument/2006/relationships/hyperlink" Target="https://www.uniprot.org/uniprot/O94763" TargetMode="External"/><Relationship Id="rId2376" Type="http://schemas.openxmlformats.org/officeDocument/2006/relationships/hyperlink" Target="https://www.uniprot.org/uniprot/Q02962" TargetMode="External"/><Relationship Id="rId2583" Type="http://schemas.openxmlformats.org/officeDocument/2006/relationships/hyperlink" Target="https://www.uniprot.org/uniprot/P39748" TargetMode="External"/><Relationship Id="rId2790" Type="http://schemas.openxmlformats.org/officeDocument/2006/relationships/hyperlink" Target="https://www.uniprot.org/uniprot/Q13443" TargetMode="External"/><Relationship Id="rId348" Type="http://schemas.openxmlformats.org/officeDocument/2006/relationships/hyperlink" Target="https://pubmed.ncbi.nlm.nih.gov/?term=22792399%2C%2030364292%5Buid%5D" TargetMode="External"/><Relationship Id="rId555" Type="http://schemas.openxmlformats.org/officeDocument/2006/relationships/hyperlink" Target="https://pubmed.ncbi.nlm.nih.gov/?term=24554706%2C%2016260623%5Buid%5D" TargetMode="External"/><Relationship Id="rId762" Type="http://schemas.openxmlformats.org/officeDocument/2006/relationships/hyperlink" Target="https://pubmed.ncbi.nlm.nih.gov/?term=24681808%2C%2029651165%5Buid%5D" TargetMode="External"/><Relationship Id="rId1185" Type="http://schemas.openxmlformats.org/officeDocument/2006/relationships/hyperlink" Target="https://www.ncbi.nlm.nih.gov/gene/6045" TargetMode="External"/><Relationship Id="rId1392" Type="http://schemas.openxmlformats.org/officeDocument/2006/relationships/hyperlink" Target="https://www.ncbi.nlm.nih.gov/gene/4319" TargetMode="External"/><Relationship Id="rId2029" Type="http://schemas.openxmlformats.org/officeDocument/2006/relationships/hyperlink" Target="https://www.uniprot.org/uniprot/Q14526" TargetMode="External"/><Relationship Id="rId2236" Type="http://schemas.openxmlformats.org/officeDocument/2006/relationships/hyperlink" Target="https://www.uniprot.org/uniprot/O95863" TargetMode="External"/><Relationship Id="rId2443" Type="http://schemas.openxmlformats.org/officeDocument/2006/relationships/hyperlink" Target="https://www.uniprot.org/uniprot/P40692" TargetMode="External"/><Relationship Id="rId2650" Type="http://schemas.openxmlformats.org/officeDocument/2006/relationships/hyperlink" Target="https://www.uniprot.org/uniprot/Q6PJP8" TargetMode="External"/><Relationship Id="rId208" Type="http://schemas.openxmlformats.org/officeDocument/2006/relationships/hyperlink" Target="https://pubmed.ncbi.nlm.nih.gov/?term=29906705%5Buid%5D" TargetMode="External"/><Relationship Id="rId415" Type="http://schemas.openxmlformats.org/officeDocument/2006/relationships/hyperlink" Target="https://pubmed.ncbi.nlm.nih.gov/?term=31911861,28328815,32534716,33110104" TargetMode="External"/><Relationship Id="rId622" Type="http://schemas.openxmlformats.org/officeDocument/2006/relationships/hyperlink" Target="https://pubmed.ncbi.nlm.nih.gov/?term=27492148%2C%2030443191%2C%2033456577%5Buid%5D" TargetMode="External"/><Relationship Id="rId1045" Type="http://schemas.openxmlformats.org/officeDocument/2006/relationships/hyperlink" Target="https://www.ncbi.nlm.nih.gov/gene/8795" TargetMode="External"/><Relationship Id="rId1252" Type="http://schemas.openxmlformats.org/officeDocument/2006/relationships/hyperlink" Target="https://www.ncbi.nlm.nih.gov/gene/8493" TargetMode="External"/><Relationship Id="rId2303" Type="http://schemas.openxmlformats.org/officeDocument/2006/relationships/hyperlink" Target="https://www.uniprot.org/uniprot/Q92698" TargetMode="External"/><Relationship Id="rId2510" Type="http://schemas.openxmlformats.org/officeDocument/2006/relationships/hyperlink" Target="https://www.uniprot.org/uniprot/P10914" TargetMode="External"/><Relationship Id="rId1112" Type="http://schemas.openxmlformats.org/officeDocument/2006/relationships/hyperlink" Target="https://www.ncbi.nlm.nih.gov/gene/6647" TargetMode="External"/><Relationship Id="rId1929" Type="http://schemas.openxmlformats.org/officeDocument/2006/relationships/hyperlink" Target="https://www.uniprot.org/uniprot/P29279" TargetMode="External"/><Relationship Id="rId2093" Type="http://schemas.openxmlformats.org/officeDocument/2006/relationships/hyperlink" Target="https://www.uniprot.org/uniprot/Q92997" TargetMode="External"/><Relationship Id="rId272" Type="http://schemas.openxmlformats.org/officeDocument/2006/relationships/hyperlink" Target="https://pubmed.ncbi.nlm.nih.gov/?term=27322083%2C%2030248920%5Buid%5D" TargetMode="External"/><Relationship Id="rId2160" Type="http://schemas.openxmlformats.org/officeDocument/2006/relationships/hyperlink" Target="https://www.uniprot.org/uniprot/O00308" TargetMode="External"/><Relationship Id="rId132" Type="http://schemas.openxmlformats.org/officeDocument/2006/relationships/hyperlink" Target="https://pubmed.ncbi.nlm.nih.gov/?term=20565782%2C%2025296976%5Buid%5D" TargetMode="External"/><Relationship Id="rId2020" Type="http://schemas.openxmlformats.org/officeDocument/2006/relationships/hyperlink" Target="https://www.uniprot.org/uniprot/O14672" TargetMode="External"/><Relationship Id="rId1579" Type="http://schemas.openxmlformats.org/officeDocument/2006/relationships/hyperlink" Target="https://www.ncbi.nlm.nih.gov/gene/2305" TargetMode="External"/><Relationship Id="rId949" Type="http://schemas.openxmlformats.org/officeDocument/2006/relationships/hyperlink" Target="https://www.uniprot.org/uniprot/P09629" TargetMode="External"/><Relationship Id="rId1786" Type="http://schemas.openxmlformats.org/officeDocument/2006/relationships/hyperlink" Target="https://www.ncbi.nlm.nih.gov/gene/666" TargetMode="External"/><Relationship Id="rId1993" Type="http://schemas.openxmlformats.org/officeDocument/2006/relationships/hyperlink" Target="https://www.uniprot.org/uniprot/Q9NXL9" TargetMode="External"/><Relationship Id="rId78" Type="http://schemas.openxmlformats.org/officeDocument/2006/relationships/hyperlink" Target="https://pubmed.ncbi.nlm.nih.gov/21849418,22397496" TargetMode="External"/><Relationship Id="rId809" Type="http://schemas.openxmlformats.org/officeDocument/2006/relationships/hyperlink" Target="https://pubmed.ncbi.nlm.nih.gov/?term=20585448%5Buid%5D" TargetMode="External"/><Relationship Id="rId1439" Type="http://schemas.openxmlformats.org/officeDocument/2006/relationships/hyperlink" Target="https://www.ncbi.nlm.nih.gov/gene/56262" TargetMode="External"/><Relationship Id="rId1646" Type="http://schemas.openxmlformats.org/officeDocument/2006/relationships/hyperlink" Target="https://www.ncbi.nlm.nih.gov/gene/1965" TargetMode="External"/><Relationship Id="rId1853" Type="http://schemas.openxmlformats.org/officeDocument/2006/relationships/hyperlink" Target="https://www.ncbi.nlm.nih.gov/gene/267" TargetMode="External"/><Relationship Id="rId1506" Type="http://schemas.openxmlformats.org/officeDocument/2006/relationships/hyperlink" Target="https://www.ncbi.nlm.nih.gov/gene/3309" TargetMode="External"/><Relationship Id="rId1713" Type="http://schemas.openxmlformats.org/officeDocument/2006/relationships/hyperlink" Target="https://www.ncbi.nlm.nih.gov/gene/81037" TargetMode="External"/><Relationship Id="rId1920" Type="http://schemas.openxmlformats.org/officeDocument/2006/relationships/hyperlink" Target="https://www.uniprot.org/uniprot/Q6N021" TargetMode="External"/><Relationship Id="rId599" Type="http://schemas.openxmlformats.org/officeDocument/2006/relationships/hyperlink" Target="https://pubmed.ncbi.nlm.nih.gov/?term=30229902%5Buid%5D" TargetMode="External"/><Relationship Id="rId2487" Type="http://schemas.openxmlformats.org/officeDocument/2006/relationships/hyperlink" Target="https://www.uniprot.org/uniprot/P32004" TargetMode="External"/><Relationship Id="rId2694" Type="http://schemas.openxmlformats.org/officeDocument/2006/relationships/hyperlink" Target="https://www.uniprot.org/uniprot/P19022" TargetMode="External"/><Relationship Id="rId459" Type="http://schemas.openxmlformats.org/officeDocument/2006/relationships/hyperlink" Target="https://pubmed.ncbi.nlm.nih.gov/?term=25501662%5Buid%5D" TargetMode="External"/><Relationship Id="rId666" Type="http://schemas.openxmlformats.org/officeDocument/2006/relationships/hyperlink" Target="https://pubmed.ncbi.nlm.nih.gov/?term=23165153%5Buid%5D" TargetMode="External"/><Relationship Id="rId873" Type="http://schemas.openxmlformats.org/officeDocument/2006/relationships/hyperlink" Target="https://pubmed.ncbi.nlm.nih.gov/?term=23342271%5Buid%5D" TargetMode="External"/><Relationship Id="rId1089" Type="http://schemas.openxmlformats.org/officeDocument/2006/relationships/hyperlink" Target="https://www.ncbi.nlm.nih.gov/gene/6786" TargetMode="External"/><Relationship Id="rId1296" Type="http://schemas.openxmlformats.org/officeDocument/2006/relationships/hyperlink" Target="https://www.ncbi.nlm.nih.gov/gene/57026" TargetMode="External"/><Relationship Id="rId2347" Type="http://schemas.openxmlformats.org/officeDocument/2006/relationships/hyperlink" Target="https://www.uniprot.org/uniprot/P28340" TargetMode="External"/><Relationship Id="rId2554" Type="http://schemas.openxmlformats.org/officeDocument/2006/relationships/hyperlink" Target="https://www.uniprot.org/uniprot/P06396" TargetMode="External"/><Relationship Id="rId319" Type="http://schemas.openxmlformats.org/officeDocument/2006/relationships/hyperlink" Target="https://pubmed.ncbi.nlm.nih.gov/?term=29113212%5Buid%5D" TargetMode="External"/><Relationship Id="rId526" Type="http://schemas.openxmlformats.org/officeDocument/2006/relationships/hyperlink" Target="https://pubmed.ncbi.nlm.nih.gov/?term=29061642%2C%2028422725%2C%2024818169%2C%2019690197%2C%2027196780%2C%2031785230%2C%20%5Buid%5D" TargetMode="External"/><Relationship Id="rId1156" Type="http://schemas.openxmlformats.org/officeDocument/2006/relationships/hyperlink" Target="https://www.ncbi.nlm.nih.gov/gene/5055" TargetMode="External"/><Relationship Id="rId1363" Type="http://schemas.openxmlformats.org/officeDocument/2006/relationships/hyperlink" Target="https://www.ncbi.nlm.nih.gov/gene/4615" TargetMode="External"/><Relationship Id="rId2207" Type="http://schemas.openxmlformats.org/officeDocument/2006/relationships/hyperlink" Target="https://www.uniprot.org/uniprot/P61812" TargetMode="External"/><Relationship Id="rId2761" Type="http://schemas.openxmlformats.org/officeDocument/2006/relationships/hyperlink" Target="https://www.uniprot.org/uniprot/Q13315" TargetMode="External"/><Relationship Id="rId733" Type="http://schemas.openxmlformats.org/officeDocument/2006/relationships/hyperlink" Target="https://pubmed.ncbi.nlm.nih.gov/?term=30288106%2C%2022487537%2C%2024631944%5Buid%5D" TargetMode="External"/><Relationship Id="rId940" Type="http://schemas.openxmlformats.org/officeDocument/2006/relationships/hyperlink" Target="https://www.uniprot.org/uniprot/Q07954" TargetMode="External"/><Relationship Id="rId1016" Type="http://schemas.openxmlformats.org/officeDocument/2006/relationships/hyperlink" Target="https://www.ncbi.nlm.nih.gov/gene/27338" TargetMode="External"/><Relationship Id="rId1570" Type="http://schemas.openxmlformats.org/officeDocument/2006/relationships/hyperlink" Target="https://www.ncbi.nlm.nih.gov/gene/1647" TargetMode="External"/><Relationship Id="rId2414" Type="http://schemas.openxmlformats.org/officeDocument/2006/relationships/hyperlink" Target="https://www.uniprot.org/uniprot/O96009" TargetMode="External"/><Relationship Id="rId2621" Type="http://schemas.openxmlformats.org/officeDocument/2006/relationships/hyperlink" Target="https://www.uniprot.org/uniprot/Q96AY2" TargetMode="External"/><Relationship Id="rId800" Type="http://schemas.openxmlformats.org/officeDocument/2006/relationships/hyperlink" Target="https://pubmed.ncbi.nlm.nih.gov/?term=21737505%5Buid%5D" TargetMode="External"/><Relationship Id="rId1223" Type="http://schemas.openxmlformats.org/officeDocument/2006/relationships/hyperlink" Target="https://www.ncbi.nlm.nih.gov/gene/22931" TargetMode="External"/><Relationship Id="rId1430" Type="http://schemas.openxmlformats.org/officeDocument/2006/relationships/hyperlink" Target="https://www.ncbi.nlm.nih.gov/gene/10892" TargetMode="External"/><Relationship Id="rId176" Type="http://schemas.openxmlformats.org/officeDocument/2006/relationships/hyperlink" Target="https://pubmed.ncbi.nlm.nih.gov/?term=21134740%5Buid%5D" TargetMode="External"/><Relationship Id="rId383" Type="http://schemas.openxmlformats.org/officeDocument/2006/relationships/hyperlink" Target="https://pubmed.ncbi.nlm.nih.gov/?term=32528060%2C%2031467087%5Buid%5D" TargetMode="External"/><Relationship Id="rId590" Type="http://schemas.openxmlformats.org/officeDocument/2006/relationships/hyperlink" Target="https://pubmed.ncbi.nlm.nih.gov/?term=27590741%5Buid%5D" TargetMode="External"/><Relationship Id="rId2064" Type="http://schemas.openxmlformats.org/officeDocument/2006/relationships/hyperlink" Target="https://www.uniprot.org/uniprot/Q16881" TargetMode="External"/><Relationship Id="rId2271" Type="http://schemas.openxmlformats.org/officeDocument/2006/relationships/hyperlink" Target="https://www.uniprot.org/uniprot/P21673" TargetMode="External"/><Relationship Id="rId243" Type="http://schemas.openxmlformats.org/officeDocument/2006/relationships/hyperlink" Target="https://pubmed.ncbi.nlm.nih.gov/?term=31375625%5Buid%5D" TargetMode="External"/><Relationship Id="rId450" Type="http://schemas.openxmlformats.org/officeDocument/2006/relationships/hyperlink" Target="https://pubmed.ncbi.nlm.nih.gov/?term=28056551%5Buid%5D" TargetMode="External"/><Relationship Id="rId1080" Type="http://schemas.openxmlformats.org/officeDocument/2006/relationships/hyperlink" Target="https://www.ncbi.nlm.nih.gov/gene/6905" TargetMode="External"/><Relationship Id="rId2131" Type="http://schemas.openxmlformats.org/officeDocument/2006/relationships/hyperlink" Target="https://www.uniprot.org/uniprot/Q9GZV5" TargetMode="External"/><Relationship Id="rId103" Type="http://schemas.openxmlformats.org/officeDocument/2006/relationships/hyperlink" Target="https://pubmed.ncbi.nlm.nih.gov/?term=22535375%2C%2021674241%5Buid%5D" TargetMode="External"/><Relationship Id="rId310" Type="http://schemas.openxmlformats.org/officeDocument/2006/relationships/hyperlink" Target="https://pubmed.ncbi.nlm.nih.gov/?term=11916245%2C%2018854825%2C%202113532%2C%201660142%2C%2010644041%5Buid%5D" TargetMode="External"/><Relationship Id="rId1897" Type="http://schemas.openxmlformats.org/officeDocument/2006/relationships/hyperlink" Target="https://www.uniprot.org/uniprot/O14745" TargetMode="External"/><Relationship Id="rId1757" Type="http://schemas.openxmlformats.org/officeDocument/2006/relationships/hyperlink" Target="https://www.ncbi.nlm.nih.gov/gene/890" TargetMode="External"/><Relationship Id="rId1964" Type="http://schemas.openxmlformats.org/officeDocument/2006/relationships/hyperlink" Target="https://www.uniprot.org/uniprot/P48736" TargetMode="External"/><Relationship Id="rId2808" Type="http://schemas.openxmlformats.org/officeDocument/2006/relationships/vmlDrawing" Target="../drawings/vmlDrawing1.vml"/><Relationship Id="rId49" Type="http://schemas.openxmlformats.org/officeDocument/2006/relationships/hyperlink" Target="https://pubmed.ncbi.nlm.nih.gov/?term=25327563%2C%2019881956%2C%2030139993%5Buid%5D" TargetMode="External"/><Relationship Id="rId1617" Type="http://schemas.openxmlformats.org/officeDocument/2006/relationships/hyperlink" Target="https://www.ncbi.nlm.nih.gov/gene/7430" TargetMode="External"/><Relationship Id="rId1824" Type="http://schemas.openxmlformats.org/officeDocument/2006/relationships/hyperlink" Target="https://www.ncbi.nlm.nih.gov/gene/526" TargetMode="External"/><Relationship Id="rId2598" Type="http://schemas.openxmlformats.org/officeDocument/2006/relationships/hyperlink" Target="https://www.uniprot.org/uniprot/Q8NB91" TargetMode="External"/><Relationship Id="rId777" Type="http://schemas.openxmlformats.org/officeDocument/2006/relationships/hyperlink" Target="https://pubmed.ncbi.nlm.nih.gov/?term=24831703%2C%2024076221%5Buid%5D" TargetMode="External"/><Relationship Id="rId984" Type="http://schemas.openxmlformats.org/officeDocument/2006/relationships/hyperlink" Target="https://www.ncbi.nlm.nih.gov/gene/7515" TargetMode="External"/><Relationship Id="rId2458" Type="http://schemas.openxmlformats.org/officeDocument/2006/relationships/hyperlink" Target="https://www.uniprot.org/uniprot/Q16539" TargetMode="External"/><Relationship Id="rId2665" Type="http://schemas.openxmlformats.org/officeDocument/2006/relationships/hyperlink" Target="https://www.uniprot.org/uniprot/P02511" TargetMode="External"/><Relationship Id="rId637" Type="http://schemas.openxmlformats.org/officeDocument/2006/relationships/hyperlink" Target="https://pubmed.ncbi.nlm.nih.gov/?term=25831546%2C%2022529383%2C%2031064846%2C%2016267001%5Buid%5D" TargetMode="External"/><Relationship Id="rId844" Type="http://schemas.openxmlformats.org/officeDocument/2006/relationships/hyperlink" Target="https://pubmed.ncbi.nlm.nih.gov/?term=29731768%5Buid%5D" TargetMode="External"/><Relationship Id="rId1267" Type="http://schemas.openxmlformats.org/officeDocument/2006/relationships/hyperlink" Target="https://www.ncbi.nlm.nih.gov/gene/5423" TargetMode="External"/><Relationship Id="rId1474" Type="http://schemas.openxmlformats.org/officeDocument/2006/relationships/hyperlink" Target="https://www.ncbi.nlm.nih.gov/gene/3717" TargetMode="External"/><Relationship Id="rId1681" Type="http://schemas.openxmlformats.org/officeDocument/2006/relationships/hyperlink" Target="https://www.ncbi.nlm.nih.gov/gene/64421" TargetMode="External"/><Relationship Id="rId2318" Type="http://schemas.openxmlformats.org/officeDocument/2006/relationships/hyperlink" Target="https://www.uniprot.org/uniprot/P28065" TargetMode="External"/><Relationship Id="rId2525" Type="http://schemas.openxmlformats.org/officeDocument/2006/relationships/hyperlink" Target="https://www.uniprot.org/uniprot/P07900" TargetMode="External"/><Relationship Id="rId2732" Type="http://schemas.openxmlformats.org/officeDocument/2006/relationships/hyperlink" Target="https://www.uniprot.org/uniprot/Q13490" TargetMode="External"/><Relationship Id="rId704" Type="http://schemas.openxmlformats.org/officeDocument/2006/relationships/hyperlink" Target="https://pubmed.ncbi.nlm.nih.gov/?term=19053130%5Buid%5D" TargetMode="External"/><Relationship Id="rId911" Type="http://schemas.openxmlformats.org/officeDocument/2006/relationships/hyperlink" Target="https://pubmed.ncbi.nlm.nih.gov/?term=15339968%2C%2018386815%2C%2025368386%5Buid%5D" TargetMode="External"/><Relationship Id="rId1127" Type="http://schemas.openxmlformats.org/officeDocument/2006/relationships/hyperlink" Target="https://www.ncbi.nlm.nih.gov/gene/23657" TargetMode="External"/><Relationship Id="rId1334" Type="http://schemas.openxmlformats.org/officeDocument/2006/relationships/hyperlink" Target="https://www.ncbi.nlm.nih.gov/gene/4869" TargetMode="External"/><Relationship Id="rId1541" Type="http://schemas.openxmlformats.org/officeDocument/2006/relationships/hyperlink" Target="https://www.ncbi.nlm.nih.gov/gene/2944" TargetMode="External"/><Relationship Id="rId40" Type="http://schemas.openxmlformats.org/officeDocument/2006/relationships/hyperlink" Target="https://pubmed.ncbi.nlm.nih.gov/?term=30868675%2C%2024375474%5Buid%5D" TargetMode="External"/><Relationship Id="rId1401" Type="http://schemas.openxmlformats.org/officeDocument/2006/relationships/hyperlink" Target="https://www.ncbi.nlm.nih.gov/gene/4249" TargetMode="External"/><Relationship Id="rId287" Type="http://schemas.openxmlformats.org/officeDocument/2006/relationships/hyperlink" Target="https://pubmed.ncbi.nlm.nih.gov/?term=24451376%5Buid%5D" TargetMode="External"/><Relationship Id="rId494" Type="http://schemas.openxmlformats.org/officeDocument/2006/relationships/hyperlink" Target="https://pubmed.ncbi.nlm.nih.gov/?term=19830698%2C%2019671159%2C%2028214016%5Buid%5D" TargetMode="External"/><Relationship Id="rId2175" Type="http://schemas.openxmlformats.org/officeDocument/2006/relationships/hyperlink" Target="https://www.uniprot.org/uniprot/O95071" TargetMode="External"/><Relationship Id="rId2382" Type="http://schemas.openxmlformats.org/officeDocument/2006/relationships/hyperlink" Target="https://www.uniprot.org/uniprot/Q8WX93" TargetMode="External"/><Relationship Id="rId147" Type="http://schemas.openxmlformats.org/officeDocument/2006/relationships/hyperlink" Target="https://pubmed.ncbi.nlm.nih.gov/?term=27133165%5Buid%5D" TargetMode="External"/><Relationship Id="rId354" Type="http://schemas.openxmlformats.org/officeDocument/2006/relationships/hyperlink" Target="https://pubmed.ncbi.nlm.nih.gov/?term=9850649%2C%202898306%2C%2014678959%5Buid%5D" TargetMode="External"/><Relationship Id="rId1191" Type="http://schemas.openxmlformats.org/officeDocument/2006/relationships/hyperlink" Target="https://www.ncbi.nlm.nih.gov/gene/387" TargetMode="External"/><Relationship Id="rId2035" Type="http://schemas.openxmlformats.org/officeDocument/2006/relationships/hyperlink" Target="https://www.uniprot.org/uniprot/Q15750" TargetMode="External"/><Relationship Id="rId561" Type="http://schemas.openxmlformats.org/officeDocument/2006/relationships/hyperlink" Target="https://pubmed.ncbi.nlm.nih.gov/?term=25179844%2C%2027626163%20%5Buid%5D" TargetMode="External"/><Relationship Id="rId2242" Type="http://schemas.openxmlformats.org/officeDocument/2006/relationships/hyperlink" Target="https://www.uniprot.org/uniprot/Q13485" TargetMode="External"/><Relationship Id="rId214" Type="http://schemas.openxmlformats.org/officeDocument/2006/relationships/hyperlink" Target="https://pubmed.ncbi.nlm.nih.gov/?term=26493727%5Buid%5D" TargetMode="External"/><Relationship Id="rId421" Type="http://schemas.openxmlformats.org/officeDocument/2006/relationships/hyperlink" Target="https://pubmed.ncbi.nlm.nih.gov/?term=26691219%5Buid%5D" TargetMode="External"/><Relationship Id="rId1051" Type="http://schemas.openxmlformats.org/officeDocument/2006/relationships/hyperlink" Target="https://www.ncbi.nlm.nih.gov/gene/27346" TargetMode="External"/><Relationship Id="rId2102" Type="http://schemas.openxmlformats.org/officeDocument/2006/relationships/hyperlink" Target="https://www.uniprot.org/uniprot/Q9Y5J3" TargetMode="External"/><Relationship Id="rId1868" Type="http://schemas.openxmlformats.org/officeDocument/2006/relationships/hyperlink" Target="https://www.ncbi.nlm.nih.gov/gene/8754" TargetMode="External"/><Relationship Id="rId1728" Type="http://schemas.openxmlformats.org/officeDocument/2006/relationships/hyperlink" Target="https://www.ncbi.nlm.nih.gov/gene/1051" TargetMode="External"/><Relationship Id="rId1935" Type="http://schemas.openxmlformats.org/officeDocument/2006/relationships/hyperlink" Target="https://www.uniprot.org/uniprot/P2378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F9219-FABE-4D3D-96A0-48DAFD7D2376}">
  <dimension ref="A1:Q939"/>
  <sheetViews>
    <sheetView tabSelected="1" zoomScale="89" zoomScaleNormal="136" workbookViewId="0">
      <selection activeCell="E3" sqref="E3"/>
    </sheetView>
  </sheetViews>
  <sheetFormatPr baseColWidth="10" defaultColWidth="8.6640625" defaultRowHeight="15" x14ac:dyDescent="0.2"/>
  <cols>
    <col min="1" max="1" width="9.1640625" style="1"/>
    <col min="2" max="2" width="13.5" style="26" customWidth="1"/>
    <col min="3" max="3" width="17.1640625" style="1" customWidth="1"/>
    <col min="4" max="4" width="15.33203125" style="8" customWidth="1"/>
    <col min="5" max="5" width="16" style="8" customWidth="1"/>
    <col min="6" max="6" width="19.33203125" style="10" customWidth="1"/>
    <col min="7" max="7" width="20.5" style="10" customWidth="1"/>
    <col min="8" max="9" width="37.1640625" style="10" customWidth="1"/>
    <col min="10" max="10" width="10.5" style="21" customWidth="1"/>
    <col min="11" max="11" width="104.5" style="10" customWidth="1"/>
    <col min="12" max="12" width="19.5" style="21" customWidth="1"/>
    <col min="13" max="13" width="22.5" style="21" customWidth="1"/>
    <col min="14" max="16" width="19.5" style="21" customWidth="1"/>
    <col min="17" max="17" width="15.6640625" customWidth="1"/>
  </cols>
  <sheetData>
    <row r="1" spans="1:17" ht="69" x14ac:dyDescent="0.2">
      <c r="A1" s="24" t="s">
        <v>0</v>
      </c>
      <c r="B1" s="27" t="s">
        <v>3468</v>
      </c>
      <c r="C1" s="25" t="s">
        <v>3905</v>
      </c>
      <c r="D1" s="22" t="s">
        <v>3325</v>
      </c>
      <c r="E1" s="2" t="s">
        <v>3324</v>
      </c>
      <c r="F1" s="2" t="s">
        <v>929</v>
      </c>
      <c r="G1" s="2" t="s">
        <v>3686</v>
      </c>
      <c r="H1" s="2" t="s">
        <v>3689</v>
      </c>
      <c r="I1" s="27" t="s">
        <v>5489</v>
      </c>
      <c r="J1" s="68" t="s">
        <v>2860</v>
      </c>
      <c r="K1" s="14" t="s">
        <v>3831</v>
      </c>
      <c r="L1" s="66" t="s">
        <v>3832</v>
      </c>
      <c r="M1" s="66" t="s">
        <v>3833</v>
      </c>
      <c r="N1" s="66" t="s">
        <v>3834</v>
      </c>
      <c r="O1" s="103" t="s">
        <v>5510</v>
      </c>
      <c r="P1" s="66" t="s">
        <v>4954</v>
      </c>
      <c r="Q1" s="103" t="s">
        <v>3288</v>
      </c>
    </row>
    <row r="2" spans="1:17" ht="80" x14ac:dyDescent="0.2">
      <c r="A2" s="71">
        <v>1</v>
      </c>
      <c r="B2" s="107" t="str">
        <f>HYPERLINK("https://www.ncbi.nlm.nih.gov/gene/26574", "26574")</f>
        <v>26574</v>
      </c>
      <c r="C2" s="108" t="str">
        <f>HYPERLINK("https://www.uniprot.org/uniprot/Q9NY61", "Q9NY61")</f>
        <v>Q9NY61</v>
      </c>
      <c r="D2" s="43" t="s">
        <v>1</v>
      </c>
      <c r="E2" s="16" t="s">
        <v>1</v>
      </c>
      <c r="F2" s="28" t="s">
        <v>930</v>
      </c>
      <c r="G2" s="28" t="s">
        <v>3838</v>
      </c>
      <c r="H2" s="28" t="s">
        <v>931</v>
      </c>
      <c r="I2" s="46" t="s">
        <v>5066</v>
      </c>
      <c r="J2" s="73" t="s">
        <v>2861</v>
      </c>
      <c r="K2" s="23" t="s">
        <v>4187</v>
      </c>
      <c r="L2" s="60" t="s">
        <v>3289</v>
      </c>
      <c r="M2" s="60" t="s">
        <v>3289</v>
      </c>
      <c r="N2" s="60" t="s">
        <v>3289</v>
      </c>
      <c r="O2" s="60"/>
      <c r="P2" s="60" t="s">
        <v>3323</v>
      </c>
      <c r="Q2" s="62">
        <v>1</v>
      </c>
    </row>
    <row r="3" spans="1:17" ht="96" x14ac:dyDescent="0.2">
      <c r="A3" s="71">
        <v>2</v>
      </c>
      <c r="B3" s="107" t="str">
        <f>HYPERLINK("https://www.ncbi.nlm.nih.gov/gene/10351", "10351")</f>
        <v>10351</v>
      </c>
      <c r="C3" s="109" t="str">
        <f>HYPERLINK("https://www.uniprot.org/uniprot/O94911", "O94911")</f>
        <v>O94911</v>
      </c>
      <c r="D3" s="43" t="s">
        <v>2</v>
      </c>
      <c r="E3" s="16" t="s">
        <v>919</v>
      </c>
      <c r="F3" s="74"/>
      <c r="G3" s="28" t="s">
        <v>932</v>
      </c>
      <c r="H3" s="28" t="s">
        <v>933</v>
      </c>
      <c r="I3" s="31" t="s">
        <v>3843</v>
      </c>
      <c r="J3" s="73">
        <v>25891226</v>
      </c>
      <c r="K3" s="23" t="s">
        <v>4955</v>
      </c>
      <c r="L3" s="60" t="s">
        <v>3289</v>
      </c>
      <c r="M3" s="60" t="s">
        <v>3289</v>
      </c>
      <c r="N3" s="60" t="s">
        <v>3289</v>
      </c>
      <c r="O3" s="60"/>
      <c r="P3" s="60" t="s">
        <v>3323</v>
      </c>
      <c r="Q3" s="20">
        <v>1</v>
      </c>
    </row>
    <row r="4" spans="1:17" ht="128" x14ac:dyDescent="0.2">
      <c r="A4" s="71">
        <v>3</v>
      </c>
      <c r="B4" s="107" t="str">
        <f>HYPERLINK("https://www.ncbi.nlm.nih.gov/gene/5243", "5243")</f>
        <v>5243</v>
      </c>
      <c r="C4" s="109" t="str">
        <f>HYPERLINK("https://www.uniprot.org/uniprot/P08183", "P08183")</f>
        <v>P08183</v>
      </c>
      <c r="D4" s="43" t="s">
        <v>3</v>
      </c>
      <c r="E4" s="16" t="s">
        <v>3</v>
      </c>
      <c r="F4" s="75" t="s">
        <v>934</v>
      </c>
      <c r="G4" s="28" t="s">
        <v>4964</v>
      </c>
      <c r="H4" s="28" t="s">
        <v>3666</v>
      </c>
      <c r="I4" s="31" t="s">
        <v>3843</v>
      </c>
      <c r="J4" s="73" t="s">
        <v>3896</v>
      </c>
      <c r="K4" s="23" t="s">
        <v>4188</v>
      </c>
      <c r="L4" s="60" t="s">
        <v>3289</v>
      </c>
      <c r="M4" s="60" t="s">
        <v>3289</v>
      </c>
      <c r="N4" s="60" t="s">
        <v>5528</v>
      </c>
      <c r="O4" s="60" t="s">
        <v>5509</v>
      </c>
      <c r="P4" s="60" t="s">
        <v>5492</v>
      </c>
      <c r="Q4" s="20">
        <v>4</v>
      </c>
    </row>
    <row r="5" spans="1:17" ht="112" x14ac:dyDescent="0.2">
      <c r="A5" s="71">
        <v>4</v>
      </c>
      <c r="B5" s="107" t="str">
        <f>HYPERLINK("https://www.ncbi.nlm.nih.gov/gene/340273", "340273")</f>
        <v>340273</v>
      </c>
      <c r="C5" s="109" t="str">
        <f>HYPERLINK("https://www.uniprot.org/uniprot/Q2M3G0", "Q2M3G0")</f>
        <v>Q2M3G0</v>
      </c>
      <c r="D5" s="43" t="s">
        <v>4</v>
      </c>
      <c r="E5" s="16" t="s">
        <v>4</v>
      </c>
      <c r="F5" s="74"/>
      <c r="G5" s="28" t="s">
        <v>935</v>
      </c>
      <c r="H5" s="28" t="s">
        <v>936</v>
      </c>
      <c r="I5" s="31" t="s">
        <v>3843</v>
      </c>
      <c r="J5" s="73">
        <v>31107974</v>
      </c>
      <c r="K5" s="23" t="s">
        <v>4189</v>
      </c>
      <c r="L5" s="60" t="s">
        <v>3289</v>
      </c>
      <c r="M5" s="60" t="s">
        <v>3289</v>
      </c>
      <c r="N5" s="60" t="s">
        <v>3291</v>
      </c>
      <c r="O5" s="60"/>
      <c r="P5" s="60" t="s">
        <v>5493</v>
      </c>
      <c r="Q5" s="20">
        <v>4</v>
      </c>
    </row>
    <row r="6" spans="1:17" ht="128" x14ac:dyDescent="0.2">
      <c r="A6" s="71">
        <v>5</v>
      </c>
      <c r="B6" s="107" t="str">
        <f>HYPERLINK("https://www.ncbi.nlm.nih.gov/gene/4363", "4363")</f>
        <v>4363</v>
      </c>
      <c r="C6" s="109" t="str">
        <f>HYPERLINK("https://www.uniprot.org/uniprot/P33527", "P33527")</f>
        <v>P33527</v>
      </c>
      <c r="D6" s="43" t="s">
        <v>5</v>
      </c>
      <c r="E6" s="16" t="s">
        <v>5</v>
      </c>
      <c r="F6" s="74" t="s">
        <v>937</v>
      </c>
      <c r="G6" s="28" t="s">
        <v>938</v>
      </c>
      <c r="H6" s="28" t="s">
        <v>939</v>
      </c>
      <c r="I6" s="31" t="s">
        <v>3843</v>
      </c>
      <c r="J6" s="73" t="s">
        <v>3897</v>
      </c>
      <c r="K6" s="23" t="s">
        <v>4956</v>
      </c>
      <c r="L6" s="60" t="s">
        <v>3289</v>
      </c>
      <c r="M6" s="60" t="s">
        <v>3289</v>
      </c>
      <c r="N6" s="60" t="s">
        <v>3291</v>
      </c>
      <c r="O6" s="60"/>
      <c r="P6" s="60" t="s">
        <v>5493</v>
      </c>
      <c r="Q6" s="20">
        <v>4</v>
      </c>
    </row>
    <row r="7" spans="1:17" ht="160" x14ac:dyDescent="0.2">
      <c r="A7" s="71">
        <v>6</v>
      </c>
      <c r="B7" s="107" t="str">
        <f>HYPERLINK("https://www.ncbi.nlm.nih.gov/gene/1244", "1244")</f>
        <v>1244</v>
      </c>
      <c r="C7" s="109" t="str">
        <f>HYPERLINK("https://www.uniprot.org/uniprot/Q92887", "Q92887")</f>
        <v>Q92887</v>
      </c>
      <c r="D7" s="43" t="s">
        <v>6</v>
      </c>
      <c r="E7" s="38" t="s">
        <v>6</v>
      </c>
      <c r="F7" s="32" t="s">
        <v>940</v>
      </c>
      <c r="G7" s="28" t="s">
        <v>941</v>
      </c>
      <c r="H7" s="6" t="s">
        <v>942</v>
      </c>
      <c r="I7" s="49" t="s">
        <v>3843</v>
      </c>
      <c r="J7" s="73" t="s">
        <v>3613</v>
      </c>
      <c r="K7" s="23" t="s">
        <v>4957</v>
      </c>
      <c r="L7" s="60" t="s">
        <v>3289</v>
      </c>
      <c r="M7" s="60" t="s">
        <v>3289</v>
      </c>
      <c r="N7" s="60" t="s">
        <v>3289</v>
      </c>
      <c r="O7" s="60"/>
      <c r="P7" s="60" t="s">
        <v>5494</v>
      </c>
      <c r="Q7" s="20">
        <v>5</v>
      </c>
    </row>
    <row r="8" spans="1:17" ht="128" x14ac:dyDescent="0.2">
      <c r="A8" s="71">
        <v>7</v>
      </c>
      <c r="B8" s="107" t="str">
        <f>HYPERLINK("https://www.ncbi.nlm.nih.gov/gene/8714", "8714")</f>
        <v>8714</v>
      </c>
      <c r="C8" s="109" t="str">
        <f>HYPERLINK("https://www.uniprot.org/uniprot/O15438", "O15438")</f>
        <v>O15438</v>
      </c>
      <c r="D8" s="43" t="s">
        <v>7</v>
      </c>
      <c r="E8" s="16" t="s">
        <v>7</v>
      </c>
      <c r="F8" s="74" t="s">
        <v>943</v>
      </c>
      <c r="G8" s="28" t="s">
        <v>944</v>
      </c>
      <c r="H8" s="28" t="s">
        <v>945</v>
      </c>
      <c r="I8" s="31" t="s">
        <v>3843</v>
      </c>
      <c r="J8" s="73" t="s">
        <v>3898</v>
      </c>
      <c r="K8" s="23" t="s">
        <v>4190</v>
      </c>
      <c r="L8" s="60" t="s">
        <v>3289</v>
      </c>
      <c r="M8" s="60" t="s">
        <v>3289</v>
      </c>
      <c r="N8" s="60" t="s">
        <v>3291</v>
      </c>
      <c r="O8" s="60"/>
      <c r="P8" s="60" t="s">
        <v>5493</v>
      </c>
      <c r="Q8" s="20">
        <v>4</v>
      </c>
    </row>
    <row r="9" spans="1:17" ht="48" x14ac:dyDescent="0.2">
      <c r="A9" s="71">
        <v>8</v>
      </c>
      <c r="B9" s="107" t="str">
        <f>HYPERLINK("https://www.ncbi.nlm.nih.gov/gene/10257", "10257")</f>
        <v>10257</v>
      </c>
      <c r="C9" s="109" t="str">
        <f>HYPERLINK("https://www.uniprot.org/uniprot/O15439", "O15439")</f>
        <v>O15439</v>
      </c>
      <c r="D9" s="43" t="s">
        <v>8</v>
      </c>
      <c r="E9" s="16" t="s">
        <v>8</v>
      </c>
      <c r="F9" s="74" t="s">
        <v>946</v>
      </c>
      <c r="G9" s="28" t="s">
        <v>947</v>
      </c>
      <c r="H9" s="28" t="s">
        <v>948</v>
      </c>
      <c r="I9" s="31" t="s">
        <v>5067</v>
      </c>
      <c r="J9" s="73" t="s">
        <v>3628</v>
      </c>
      <c r="K9" s="23" t="s">
        <v>4191</v>
      </c>
      <c r="L9" s="60" t="s">
        <v>3289</v>
      </c>
      <c r="M9" s="60" t="s">
        <v>3289</v>
      </c>
      <c r="N9" s="60" t="s">
        <v>3291</v>
      </c>
      <c r="O9" s="60"/>
      <c r="P9" s="60" t="s">
        <v>3323</v>
      </c>
      <c r="Q9" s="20">
        <v>1</v>
      </c>
    </row>
    <row r="10" spans="1:17" ht="176" x14ac:dyDescent="0.2">
      <c r="A10" s="71">
        <v>9</v>
      </c>
      <c r="B10" s="107" t="str">
        <f>HYPERLINK("https://www.ncbi.nlm.nih.gov/gene/10057", "10057")</f>
        <v>10057</v>
      </c>
      <c r="C10" s="109" t="str">
        <f>HYPERLINK("https://www.uniprot.org/uniprot/O15440", "O15440")</f>
        <v>O15440</v>
      </c>
      <c r="D10" s="43" t="s">
        <v>9</v>
      </c>
      <c r="E10" s="16" t="s">
        <v>9</v>
      </c>
      <c r="F10" s="74" t="s">
        <v>949</v>
      </c>
      <c r="G10" s="28" t="s">
        <v>950</v>
      </c>
      <c r="H10" s="28" t="s">
        <v>951</v>
      </c>
      <c r="I10" s="31" t="s">
        <v>3843</v>
      </c>
      <c r="J10" s="73" t="s">
        <v>3899</v>
      </c>
      <c r="K10" s="23" t="s">
        <v>4192</v>
      </c>
      <c r="L10" s="60" t="s">
        <v>3289</v>
      </c>
      <c r="M10" s="60" t="s">
        <v>3289</v>
      </c>
      <c r="N10" s="60" t="s">
        <v>3289</v>
      </c>
      <c r="O10" s="60"/>
      <c r="P10" s="60" t="s">
        <v>5495</v>
      </c>
      <c r="Q10" s="20">
        <v>2</v>
      </c>
    </row>
    <row r="11" spans="1:17" ht="80" x14ac:dyDescent="0.2">
      <c r="A11" s="71">
        <v>10</v>
      </c>
      <c r="B11" s="107" t="str">
        <f>HYPERLINK("https://www.ncbi.nlm.nih.gov/gene/225", "225")</f>
        <v>225</v>
      </c>
      <c r="C11" s="109" t="str">
        <f>HYPERLINK("https://www.uniprot.org/uniprot/Q9UBJ2", "Q9UBJ2")</f>
        <v>Q9UBJ2</v>
      </c>
      <c r="D11" s="43" t="s">
        <v>10</v>
      </c>
      <c r="E11" s="38" t="s">
        <v>10</v>
      </c>
      <c r="F11" s="32" t="s">
        <v>952</v>
      </c>
      <c r="G11" s="6" t="s">
        <v>953</v>
      </c>
      <c r="H11" s="6" t="s">
        <v>3687</v>
      </c>
      <c r="I11" s="49" t="s">
        <v>3843</v>
      </c>
      <c r="J11" s="73">
        <v>24739237</v>
      </c>
      <c r="K11" s="23" t="s">
        <v>4958</v>
      </c>
      <c r="L11" s="60" t="s">
        <v>3289</v>
      </c>
      <c r="M11" s="60" t="s">
        <v>3289</v>
      </c>
      <c r="N11" s="60" t="s">
        <v>3291</v>
      </c>
      <c r="O11" s="60"/>
      <c r="P11" s="60" t="s">
        <v>5492</v>
      </c>
      <c r="Q11" s="20">
        <v>4</v>
      </c>
    </row>
    <row r="12" spans="1:17" ht="80" x14ac:dyDescent="0.2">
      <c r="A12" s="71">
        <v>11</v>
      </c>
      <c r="B12" s="107" t="str">
        <f>HYPERLINK("https://www.ncbi.nlm.nih.gov/gene/10061", "10061")</f>
        <v>10061</v>
      </c>
      <c r="C12" s="109" t="str">
        <f>HYPERLINK("https://www.uniprot.org/uniprot/Q9UG63", "Q9UG63")</f>
        <v>Q9UG63</v>
      </c>
      <c r="D12" s="43" t="s">
        <v>11</v>
      </c>
      <c r="E12" s="16" t="s">
        <v>11</v>
      </c>
      <c r="F12" s="74" t="s">
        <v>954</v>
      </c>
      <c r="G12" s="28" t="s">
        <v>955</v>
      </c>
      <c r="H12" s="28" t="s">
        <v>3688</v>
      </c>
      <c r="I12" s="31" t="s">
        <v>3843</v>
      </c>
      <c r="J12" s="73" t="s">
        <v>2862</v>
      </c>
      <c r="K12" s="13" t="s">
        <v>3691</v>
      </c>
      <c r="L12" s="60" t="s">
        <v>3289</v>
      </c>
      <c r="M12" s="60" t="s">
        <v>3289</v>
      </c>
      <c r="N12" s="60" t="s">
        <v>3291</v>
      </c>
      <c r="O12" s="60"/>
      <c r="P12" s="60" t="s">
        <v>3323</v>
      </c>
      <c r="Q12" s="20">
        <v>1</v>
      </c>
    </row>
    <row r="13" spans="1:17" ht="144" x14ac:dyDescent="0.2">
      <c r="A13" s="71">
        <v>12</v>
      </c>
      <c r="B13" s="107" t="str">
        <f>HYPERLINK("https://www.ncbi.nlm.nih.gov/gene/9429", "9429")</f>
        <v>9429</v>
      </c>
      <c r="C13" s="109" t="str">
        <f>HYPERLINK("https://www.uniprot.org/uniprot/Q9UNQ0", "Q9UNQ0")</f>
        <v>Q9UNQ0</v>
      </c>
      <c r="D13" s="43" t="s">
        <v>12</v>
      </c>
      <c r="E13" s="16" t="s">
        <v>12</v>
      </c>
      <c r="F13" s="74" t="s">
        <v>956</v>
      </c>
      <c r="G13" s="28" t="s">
        <v>957</v>
      </c>
      <c r="H13" s="28" t="s">
        <v>958</v>
      </c>
      <c r="I13" s="31" t="s">
        <v>5068</v>
      </c>
      <c r="J13" s="73" t="s">
        <v>2863</v>
      </c>
      <c r="K13" s="23" t="s">
        <v>4193</v>
      </c>
      <c r="L13" s="60" t="s">
        <v>3289</v>
      </c>
      <c r="M13" s="60" t="s">
        <v>3289</v>
      </c>
      <c r="N13" s="60" t="s">
        <v>3291</v>
      </c>
      <c r="O13" s="60"/>
      <c r="P13" s="60" t="s">
        <v>5496</v>
      </c>
      <c r="Q13" s="20">
        <v>4</v>
      </c>
    </row>
    <row r="14" spans="1:17" ht="64" x14ac:dyDescent="0.2">
      <c r="A14" s="71">
        <v>13</v>
      </c>
      <c r="B14" s="107" t="str">
        <f>HYPERLINK("https://www.ncbi.nlm.nih.gov/gene/11057", "11057")</f>
        <v>11057</v>
      </c>
      <c r="C14" s="109" t="str">
        <f>HYPERLINK("https://www.uniprot.org/uniprot/P08910", "P08910")</f>
        <v>P08910</v>
      </c>
      <c r="D14" s="43" t="s">
        <v>13</v>
      </c>
      <c r="E14" s="16" t="s">
        <v>13</v>
      </c>
      <c r="F14" s="74" t="s">
        <v>959</v>
      </c>
      <c r="G14" s="28" t="s">
        <v>960</v>
      </c>
      <c r="H14" s="28" t="s">
        <v>3906</v>
      </c>
      <c r="I14" s="31" t="s">
        <v>5069</v>
      </c>
      <c r="J14" s="73">
        <v>27323405</v>
      </c>
      <c r="K14" s="23" t="s">
        <v>4194</v>
      </c>
      <c r="L14" s="60" t="s">
        <v>3292</v>
      </c>
      <c r="M14" s="60" t="s">
        <v>3292</v>
      </c>
      <c r="N14" s="60" t="s">
        <v>3291</v>
      </c>
      <c r="O14" s="60"/>
      <c r="P14" s="60" t="s">
        <v>5493</v>
      </c>
      <c r="Q14" s="20">
        <v>4</v>
      </c>
    </row>
    <row r="15" spans="1:17" ht="80" x14ac:dyDescent="0.2">
      <c r="A15" s="71">
        <v>14</v>
      </c>
      <c r="B15" s="107" t="str">
        <f>HYPERLINK("https://www.ncbi.nlm.nih.gov/gene/25", "25")</f>
        <v>25</v>
      </c>
      <c r="C15" s="109" t="str">
        <f>HYPERLINK("https://www.uniprot.org/uniprot/P00519", "P00519")</f>
        <v>P00519</v>
      </c>
      <c r="D15" s="43" t="s">
        <v>14</v>
      </c>
      <c r="E15" s="16" t="s">
        <v>14</v>
      </c>
      <c r="F15" s="74" t="s">
        <v>961</v>
      </c>
      <c r="G15" s="28" t="s">
        <v>962</v>
      </c>
      <c r="H15" s="28" t="s">
        <v>963</v>
      </c>
      <c r="I15" s="31" t="s">
        <v>5070</v>
      </c>
      <c r="J15" s="73" t="s">
        <v>2864</v>
      </c>
      <c r="K15" s="23" t="s">
        <v>4195</v>
      </c>
      <c r="L15" s="60" t="s">
        <v>5511</v>
      </c>
      <c r="M15" s="60" t="s">
        <v>5511</v>
      </c>
      <c r="N15" s="60" t="s">
        <v>3293</v>
      </c>
      <c r="O15" s="60" t="s">
        <v>5509</v>
      </c>
      <c r="P15" s="60" t="s">
        <v>5495</v>
      </c>
      <c r="Q15" s="20">
        <v>2</v>
      </c>
    </row>
    <row r="16" spans="1:17" ht="128" x14ac:dyDescent="0.2">
      <c r="A16" s="71">
        <v>15</v>
      </c>
      <c r="B16" s="107" t="str">
        <f>HYPERLINK("https://www.ncbi.nlm.nih.gov/gene/23172", "23172")</f>
        <v>23172</v>
      </c>
      <c r="C16" s="109" t="str">
        <f>HYPERLINK("https://www.uniprot.org/uniprot/Q15018", "Q15018")</f>
        <v>Q15018</v>
      </c>
      <c r="D16" s="43" t="s">
        <v>275</v>
      </c>
      <c r="E16" s="16" t="s">
        <v>923</v>
      </c>
      <c r="F16" s="11" t="s">
        <v>1564</v>
      </c>
      <c r="G16" s="28" t="s">
        <v>1565</v>
      </c>
      <c r="H16" s="6" t="s">
        <v>3907</v>
      </c>
      <c r="I16" s="49" t="s">
        <v>3332</v>
      </c>
      <c r="J16" s="73" t="s">
        <v>3674</v>
      </c>
      <c r="K16" s="16" t="s">
        <v>3673</v>
      </c>
      <c r="L16" s="60" t="s">
        <v>3289</v>
      </c>
      <c r="M16" s="60" t="s">
        <v>3289</v>
      </c>
      <c r="N16" s="60" t="s">
        <v>3291</v>
      </c>
      <c r="O16" s="60"/>
      <c r="P16" s="60" t="s">
        <v>5497</v>
      </c>
      <c r="Q16" s="20">
        <v>4</v>
      </c>
    </row>
    <row r="17" spans="1:17" ht="48" x14ac:dyDescent="0.2">
      <c r="A17" s="71">
        <v>16</v>
      </c>
      <c r="B17" s="107" t="str">
        <f>HYPERLINK("https://www.ncbi.nlm.nih.gov/gene/55902", "55902")</f>
        <v>55902</v>
      </c>
      <c r="C17" s="109" t="str">
        <f>HYPERLINK("https://www.uniprot.org/uniprot/Q9NR19", "Q9NR19")</f>
        <v>Q9NR19</v>
      </c>
      <c r="D17" s="43" t="s">
        <v>15</v>
      </c>
      <c r="E17" s="16" t="s">
        <v>15</v>
      </c>
      <c r="F17" s="74" t="s">
        <v>964</v>
      </c>
      <c r="G17" s="28" t="s">
        <v>3908</v>
      </c>
      <c r="H17" s="28" t="s">
        <v>965</v>
      </c>
      <c r="I17" s="31" t="s">
        <v>5071</v>
      </c>
      <c r="J17" s="73">
        <v>29883801</v>
      </c>
      <c r="K17" s="23" t="s">
        <v>4196</v>
      </c>
      <c r="L17" s="60" t="s">
        <v>3289</v>
      </c>
      <c r="M17" s="60" t="s">
        <v>3289</v>
      </c>
      <c r="N17" s="60" t="s">
        <v>3291</v>
      </c>
      <c r="O17" s="60"/>
      <c r="P17" s="60" t="s">
        <v>5492</v>
      </c>
      <c r="Q17" s="20">
        <v>4</v>
      </c>
    </row>
    <row r="18" spans="1:17" ht="48" x14ac:dyDescent="0.2">
      <c r="A18" s="71">
        <v>17</v>
      </c>
      <c r="B18" s="107" t="str">
        <f>HYPERLINK("https://www.ncbi.nlm.nih.gov/gene/59", "59")</f>
        <v>59</v>
      </c>
      <c r="C18" s="110" t="str">
        <f>HYPERLINK("https://www.uniprot.org/uniprot/P62736", "P62736")</f>
        <v>P62736</v>
      </c>
      <c r="D18" s="43" t="s">
        <v>16</v>
      </c>
      <c r="E18" s="16" t="s">
        <v>16</v>
      </c>
      <c r="F18" s="74" t="s">
        <v>966</v>
      </c>
      <c r="G18" s="28" t="s">
        <v>967</v>
      </c>
      <c r="H18" s="28" t="s">
        <v>968</v>
      </c>
      <c r="I18" s="31" t="s">
        <v>2844</v>
      </c>
      <c r="J18" s="73">
        <v>27133165</v>
      </c>
      <c r="K18" s="23" t="s">
        <v>4893</v>
      </c>
      <c r="L18" s="60" t="s">
        <v>3289</v>
      </c>
      <c r="M18" s="60" t="s">
        <v>3289</v>
      </c>
      <c r="N18" s="60" t="s">
        <v>3291</v>
      </c>
      <c r="O18" s="60"/>
      <c r="P18" s="60" t="s">
        <v>5498</v>
      </c>
      <c r="Q18" s="20">
        <v>3</v>
      </c>
    </row>
    <row r="19" spans="1:17" ht="160" x14ac:dyDescent="0.2">
      <c r="A19" s="71">
        <v>18</v>
      </c>
      <c r="B19" s="107" t="str">
        <f>HYPERLINK("https://www.ncbi.nlm.nih.gov/gene/81", "81")</f>
        <v>81</v>
      </c>
      <c r="C19" s="109" t="str">
        <f>HYPERLINK("https://www.uniprot.org/uniprot/O43707", "O43707")</f>
        <v>O43707</v>
      </c>
      <c r="D19" s="43" t="s">
        <v>17</v>
      </c>
      <c r="E19" s="16" t="s">
        <v>17</v>
      </c>
      <c r="F19" s="74"/>
      <c r="G19" s="28" t="s">
        <v>969</v>
      </c>
      <c r="H19" s="28" t="s">
        <v>970</v>
      </c>
      <c r="I19" s="31" t="s">
        <v>5072</v>
      </c>
      <c r="J19" s="73" t="s">
        <v>2865</v>
      </c>
      <c r="K19" s="23" t="s">
        <v>4197</v>
      </c>
      <c r="L19" s="60" t="s">
        <v>3289</v>
      </c>
      <c r="M19" s="60" t="s">
        <v>3289</v>
      </c>
      <c r="N19" s="60" t="s">
        <v>3291</v>
      </c>
      <c r="O19" s="60"/>
      <c r="P19" s="60" t="s">
        <v>5497</v>
      </c>
      <c r="Q19" s="20">
        <v>3</v>
      </c>
    </row>
    <row r="20" spans="1:17" ht="80" x14ac:dyDescent="0.2">
      <c r="A20" s="71">
        <v>19</v>
      </c>
      <c r="B20" s="107" t="str">
        <f>HYPERLINK("https://www.ncbi.nlm.nih.gov/gene/130399", "130399")</f>
        <v>130399</v>
      </c>
      <c r="C20" s="109" t="str">
        <f>HYPERLINK("https://www.uniprot.org/uniprot/Q8NER5", "Q8NER5")</f>
        <v>Q8NER5</v>
      </c>
      <c r="D20" s="43" t="s">
        <v>18</v>
      </c>
      <c r="E20" s="16" t="s">
        <v>18</v>
      </c>
      <c r="F20" s="74" t="s">
        <v>971</v>
      </c>
      <c r="G20" s="28" t="s">
        <v>972</v>
      </c>
      <c r="H20" s="28" t="s">
        <v>3909</v>
      </c>
      <c r="I20" s="31" t="s">
        <v>5073</v>
      </c>
      <c r="J20" s="73">
        <v>21224400</v>
      </c>
      <c r="K20" s="23" t="s">
        <v>4198</v>
      </c>
      <c r="L20" s="60" t="s">
        <v>3292</v>
      </c>
      <c r="M20" s="60" t="s">
        <v>3292</v>
      </c>
      <c r="N20" s="60" t="s">
        <v>3289</v>
      </c>
      <c r="O20" s="60"/>
      <c r="P20" s="60" t="s">
        <v>5492</v>
      </c>
      <c r="Q20" s="20">
        <v>4</v>
      </c>
    </row>
    <row r="21" spans="1:17" ht="112" x14ac:dyDescent="0.2">
      <c r="A21" s="71">
        <v>20</v>
      </c>
      <c r="B21" s="107" t="str">
        <f>HYPERLINK("https://www.ncbi.nlm.nih.gov/gene/102", "102")</f>
        <v>102</v>
      </c>
      <c r="C21" s="109" t="str">
        <f>HYPERLINK("https://www.uniprot.org/uniprot/O14672", "O14672")</f>
        <v>O14672</v>
      </c>
      <c r="D21" s="43" t="s">
        <v>19</v>
      </c>
      <c r="E21" s="16" t="s">
        <v>19</v>
      </c>
      <c r="F21" s="74" t="s">
        <v>973</v>
      </c>
      <c r="G21" s="28" t="s">
        <v>974</v>
      </c>
      <c r="H21" s="28" t="s">
        <v>975</v>
      </c>
      <c r="I21" s="31" t="s">
        <v>5074</v>
      </c>
      <c r="J21" s="73" t="s">
        <v>2866</v>
      </c>
      <c r="K21" s="23" t="s">
        <v>4199</v>
      </c>
      <c r="L21" s="60" t="s">
        <v>3289</v>
      </c>
      <c r="M21" s="60" t="s">
        <v>3289</v>
      </c>
      <c r="N21" s="60" t="s">
        <v>3291</v>
      </c>
      <c r="O21" s="60"/>
      <c r="P21" s="60" t="s">
        <v>3323</v>
      </c>
      <c r="Q21" s="20">
        <v>1</v>
      </c>
    </row>
    <row r="22" spans="1:17" ht="80" x14ac:dyDescent="0.2">
      <c r="A22" s="71">
        <v>21</v>
      </c>
      <c r="B22" s="107" t="str">
        <f>HYPERLINK("https://www.ncbi.nlm.nih.gov/gene/6868", "6868")</f>
        <v>6868</v>
      </c>
      <c r="C22" s="109" t="str">
        <f>HYPERLINK("https://www.uniprot.org/uniprot/P78536", "P78536")</f>
        <v>P78536</v>
      </c>
      <c r="D22" s="43" t="s">
        <v>20</v>
      </c>
      <c r="E22" s="16" t="s">
        <v>20</v>
      </c>
      <c r="F22" s="74" t="s">
        <v>976</v>
      </c>
      <c r="G22" s="28" t="s">
        <v>977</v>
      </c>
      <c r="H22" s="28" t="s">
        <v>3376</v>
      </c>
      <c r="I22" s="31" t="s">
        <v>5075</v>
      </c>
      <c r="J22" s="73" t="s">
        <v>2867</v>
      </c>
      <c r="K22" s="23" t="s">
        <v>4200</v>
      </c>
      <c r="L22" s="60" t="s">
        <v>3289</v>
      </c>
      <c r="M22" s="60" t="s">
        <v>3289</v>
      </c>
      <c r="N22" s="60" t="s">
        <v>3289</v>
      </c>
      <c r="O22" s="60"/>
      <c r="P22" s="60" t="s">
        <v>5492</v>
      </c>
      <c r="Q22" s="20">
        <v>4</v>
      </c>
    </row>
    <row r="23" spans="1:17" ht="64" x14ac:dyDescent="0.2">
      <c r="A23" s="71">
        <v>22</v>
      </c>
      <c r="B23" s="107" t="str">
        <f>HYPERLINK("https://www.ncbi.nlm.nih.gov/gene/8754", "8754")</f>
        <v>8754</v>
      </c>
      <c r="C23" s="109" t="str">
        <f>HYPERLINK("https://www.uniprot.org/uniprot/Q13443", "Q13443")</f>
        <v>Q13443</v>
      </c>
      <c r="D23" s="43" t="s">
        <v>21</v>
      </c>
      <c r="E23" s="16" t="s">
        <v>21</v>
      </c>
      <c r="F23" s="74" t="s">
        <v>978</v>
      </c>
      <c r="G23" s="28" t="s">
        <v>979</v>
      </c>
      <c r="H23" s="28" t="s">
        <v>980</v>
      </c>
      <c r="I23" s="31" t="s">
        <v>5076</v>
      </c>
      <c r="J23" s="73" t="s">
        <v>2868</v>
      </c>
      <c r="K23" s="23" t="s">
        <v>4201</v>
      </c>
      <c r="L23" s="60" t="s">
        <v>3289</v>
      </c>
      <c r="M23" s="60" t="s">
        <v>3289</v>
      </c>
      <c r="N23" s="60" t="s">
        <v>3291</v>
      </c>
      <c r="O23" s="60"/>
      <c r="P23" s="60" t="s">
        <v>5492</v>
      </c>
      <c r="Q23" s="20">
        <v>4</v>
      </c>
    </row>
    <row r="24" spans="1:17" ht="64" x14ac:dyDescent="0.2">
      <c r="A24" s="71">
        <v>23</v>
      </c>
      <c r="B24" s="107" t="str">
        <f>HYPERLINK("https://www.ncbi.nlm.nih.gov/gene/155465", "155465")</f>
        <v>155465</v>
      </c>
      <c r="C24" s="109" t="str">
        <f>HYPERLINK("https://www.uniprot.org/uniprot/Q8TD06", "Q8TD06")</f>
        <v>Q8TD06</v>
      </c>
      <c r="D24" s="43" t="s">
        <v>22</v>
      </c>
      <c r="E24" s="16" t="s">
        <v>22</v>
      </c>
      <c r="F24" s="74" t="s">
        <v>981</v>
      </c>
      <c r="G24" s="28" t="s">
        <v>982</v>
      </c>
      <c r="H24" s="28" t="s">
        <v>3910</v>
      </c>
      <c r="I24" s="31" t="s">
        <v>3342</v>
      </c>
      <c r="J24" s="73">
        <v>22361111</v>
      </c>
      <c r="K24" s="23" t="s">
        <v>4202</v>
      </c>
      <c r="L24" s="60" t="s">
        <v>3289</v>
      </c>
      <c r="M24" s="60" t="s">
        <v>3289</v>
      </c>
      <c r="N24" s="60" t="s">
        <v>3291</v>
      </c>
      <c r="O24" s="60"/>
      <c r="P24" s="60" t="s">
        <v>5496</v>
      </c>
      <c r="Q24" s="20">
        <v>4</v>
      </c>
    </row>
    <row r="25" spans="1:17" ht="80" x14ac:dyDescent="0.2">
      <c r="A25" s="71">
        <v>24</v>
      </c>
      <c r="B25" s="107" t="str">
        <f>HYPERLINK("https://www.ncbi.nlm.nih.gov/gene/9131", "9131")</f>
        <v>9131</v>
      </c>
      <c r="C25" s="109" t="str">
        <f>HYPERLINK("https://www.uniprot.org/uniprot/O95831", "O95831")</f>
        <v>O95831</v>
      </c>
      <c r="D25" s="43" t="s">
        <v>23</v>
      </c>
      <c r="E25" s="16" t="s">
        <v>23</v>
      </c>
      <c r="F25" s="74" t="s">
        <v>983</v>
      </c>
      <c r="G25" s="28" t="s">
        <v>984</v>
      </c>
      <c r="H25" s="28" t="s">
        <v>985</v>
      </c>
      <c r="I25" s="31" t="s">
        <v>2828</v>
      </c>
      <c r="J25" s="73">
        <v>18283299</v>
      </c>
      <c r="K25" s="23" t="s">
        <v>4203</v>
      </c>
      <c r="L25" s="60" t="s">
        <v>3292</v>
      </c>
      <c r="M25" s="60" t="s">
        <v>3292</v>
      </c>
      <c r="N25" s="60" t="s">
        <v>3291</v>
      </c>
      <c r="O25" s="60"/>
      <c r="P25" s="60" t="s">
        <v>3323</v>
      </c>
      <c r="Q25" s="20">
        <v>1</v>
      </c>
    </row>
    <row r="26" spans="1:17" ht="64" x14ac:dyDescent="0.2">
      <c r="A26" s="71">
        <v>25</v>
      </c>
      <c r="B26" s="107" t="str">
        <f>HYPERLINK("https://www.ncbi.nlm.nih.gov/gene/57016", "57016")</f>
        <v>57016</v>
      </c>
      <c r="C26" s="109" t="str">
        <f>HYPERLINK("https://www.uniprot.org/uniprot/O60218", "O60218")</f>
        <v>O60218</v>
      </c>
      <c r="D26" s="43" t="s">
        <v>24</v>
      </c>
      <c r="E26" s="16" t="s">
        <v>24</v>
      </c>
      <c r="F26" s="74" t="s">
        <v>986</v>
      </c>
      <c r="G26" s="28" t="s">
        <v>987</v>
      </c>
      <c r="H26" s="28" t="s">
        <v>988</v>
      </c>
      <c r="I26" s="31" t="s">
        <v>2836</v>
      </c>
      <c r="J26" s="73">
        <v>27417252</v>
      </c>
      <c r="K26" s="23" t="s">
        <v>4204</v>
      </c>
      <c r="L26" s="60" t="s">
        <v>3289</v>
      </c>
      <c r="M26" s="60" t="s">
        <v>3289</v>
      </c>
      <c r="N26" s="60" t="s">
        <v>3291</v>
      </c>
      <c r="O26" s="60"/>
      <c r="P26" s="60" t="s">
        <v>3323</v>
      </c>
      <c r="Q26" s="20">
        <v>1</v>
      </c>
    </row>
    <row r="27" spans="1:17" ht="128" x14ac:dyDescent="0.2">
      <c r="A27" s="71">
        <v>26</v>
      </c>
      <c r="B27" s="107" t="str">
        <f>HYPERLINK("https://www.ncbi.nlm.nih.gov/gene/1645", "1645")</f>
        <v>1645</v>
      </c>
      <c r="C27" s="109" t="str">
        <f>HYPERLINK("https://www.uniprot.org/uniprot/Q04828", "Q04828")</f>
        <v>Q04828</v>
      </c>
      <c r="D27" s="43" t="s">
        <v>25</v>
      </c>
      <c r="E27" s="34" t="s">
        <v>25</v>
      </c>
      <c r="F27" s="11" t="s">
        <v>989</v>
      </c>
      <c r="G27" s="28" t="s">
        <v>990</v>
      </c>
      <c r="H27" s="28" t="s">
        <v>3903</v>
      </c>
      <c r="I27" s="31" t="s">
        <v>2836</v>
      </c>
      <c r="J27" s="73" t="s">
        <v>2869</v>
      </c>
      <c r="K27" s="23" t="s">
        <v>4205</v>
      </c>
      <c r="L27" s="60" t="s">
        <v>3289</v>
      </c>
      <c r="M27" s="60" t="s">
        <v>3289</v>
      </c>
      <c r="N27" s="60" t="s">
        <v>3291</v>
      </c>
      <c r="O27" s="60"/>
      <c r="P27" s="60" t="s">
        <v>5493</v>
      </c>
      <c r="Q27" s="20">
        <v>4</v>
      </c>
    </row>
    <row r="28" spans="1:17" ht="224" x14ac:dyDescent="0.2">
      <c r="A28" s="71">
        <v>27</v>
      </c>
      <c r="B28" s="107" t="str">
        <f>HYPERLINK("https://www.ncbi.nlm.nih.gov/gene/1646", "1646")</f>
        <v>1646</v>
      </c>
      <c r="C28" s="109" t="str">
        <f>HYPERLINK("https://www.uniprot.org/uniprot/P52895", "P52895")</f>
        <v>P52895</v>
      </c>
      <c r="D28" s="43" t="s">
        <v>26</v>
      </c>
      <c r="E28" s="34" t="s">
        <v>26</v>
      </c>
      <c r="F28" s="11" t="s">
        <v>991</v>
      </c>
      <c r="G28" s="28" t="s">
        <v>992</v>
      </c>
      <c r="H28" s="28" t="s">
        <v>4087</v>
      </c>
      <c r="I28" s="31" t="s">
        <v>5077</v>
      </c>
      <c r="J28" s="73" t="s">
        <v>3675</v>
      </c>
      <c r="K28" s="23" t="s">
        <v>4206</v>
      </c>
      <c r="L28" s="60" t="s">
        <v>3291</v>
      </c>
      <c r="M28" s="60" t="s">
        <v>3291</v>
      </c>
      <c r="N28" s="60" t="s">
        <v>3291</v>
      </c>
      <c r="O28" s="60"/>
      <c r="P28" s="60" t="s">
        <v>5494</v>
      </c>
      <c r="Q28" s="20">
        <v>5</v>
      </c>
    </row>
    <row r="29" spans="1:17" ht="32" x14ac:dyDescent="0.2">
      <c r="A29" s="71">
        <v>28</v>
      </c>
      <c r="B29" s="107" t="str">
        <f>HYPERLINK("https://www.ncbi.nlm.nih.gov/gene/8644", "8644")</f>
        <v>8644</v>
      </c>
      <c r="C29" s="109" t="str">
        <f>HYPERLINK("https://www.uniprot.org/uniprot/P42330", "P42330")</f>
        <v>P42330</v>
      </c>
      <c r="D29" s="43" t="s">
        <v>27</v>
      </c>
      <c r="E29" s="34" t="s">
        <v>27</v>
      </c>
      <c r="F29" s="11" t="s">
        <v>993</v>
      </c>
      <c r="G29" s="28" t="s">
        <v>994</v>
      </c>
      <c r="H29" s="28" t="s">
        <v>4088</v>
      </c>
      <c r="I29" s="31" t="s">
        <v>2836</v>
      </c>
      <c r="J29" s="73" t="s">
        <v>2870</v>
      </c>
      <c r="K29" s="23" t="s">
        <v>2871</v>
      </c>
      <c r="L29" s="60" t="s">
        <v>3289</v>
      </c>
      <c r="M29" s="60" t="s">
        <v>3289</v>
      </c>
      <c r="N29" s="60" t="s">
        <v>3291</v>
      </c>
      <c r="O29" s="60"/>
      <c r="P29" s="60" t="s">
        <v>5493</v>
      </c>
      <c r="Q29" s="20">
        <v>4</v>
      </c>
    </row>
    <row r="30" spans="1:17" ht="128" x14ac:dyDescent="0.2">
      <c r="A30" s="71">
        <v>29</v>
      </c>
      <c r="B30" s="107" t="str">
        <f>HYPERLINK("https://www.ncbi.nlm.nih.gov/gene/207", "207")</f>
        <v>207</v>
      </c>
      <c r="C30" s="109" t="str">
        <f>HYPERLINK("https://www.uniprot.org/uniprot/P31749", "P31749")</f>
        <v>P31749</v>
      </c>
      <c r="D30" s="43" t="s">
        <v>28</v>
      </c>
      <c r="E30" s="16" t="s">
        <v>28</v>
      </c>
      <c r="F30" s="11" t="s">
        <v>995</v>
      </c>
      <c r="G30" s="28" t="s">
        <v>996</v>
      </c>
      <c r="H30" s="6" t="s">
        <v>3911</v>
      </c>
      <c r="I30" s="49" t="s">
        <v>5078</v>
      </c>
      <c r="J30" s="73" t="s">
        <v>2872</v>
      </c>
      <c r="K30" s="13" t="s">
        <v>3692</v>
      </c>
      <c r="L30" s="60" t="s">
        <v>5526</v>
      </c>
      <c r="M30" s="60" t="s">
        <v>3295</v>
      </c>
      <c r="N30" s="60" t="s">
        <v>3294</v>
      </c>
      <c r="O30" s="60"/>
      <c r="P30" s="60" t="s">
        <v>5494</v>
      </c>
      <c r="Q30" s="20">
        <v>5</v>
      </c>
    </row>
    <row r="31" spans="1:17" ht="48" x14ac:dyDescent="0.2">
      <c r="A31" s="71">
        <v>30</v>
      </c>
      <c r="B31" s="107" t="str">
        <f>HYPERLINK("https://www.ncbi.nlm.nih.gov/gene/84335", "84335")</f>
        <v>84335</v>
      </c>
      <c r="C31" s="109" t="str">
        <f>HYPERLINK("https://www.uniprot.org/uniprot/Q96B36", "Q96B36")</f>
        <v>Q96B36</v>
      </c>
      <c r="D31" s="43" t="s">
        <v>29</v>
      </c>
      <c r="E31" s="16" t="s">
        <v>29</v>
      </c>
      <c r="F31" s="76" t="s">
        <v>997</v>
      </c>
      <c r="G31" s="28" t="s">
        <v>998</v>
      </c>
      <c r="H31" s="6" t="s">
        <v>999</v>
      </c>
      <c r="I31" s="49" t="s">
        <v>5079</v>
      </c>
      <c r="J31" s="73">
        <v>33287446</v>
      </c>
      <c r="K31" s="13" t="s">
        <v>3693</v>
      </c>
      <c r="L31" s="60" t="s">
        <v>3294</v>
      </c>
      <c r="M31" s="60" t="s">
        <v>3291</v>
      </c>
      <c r="N31" s="60" t="s">
        <v>3291</v>
      </c>
      <c r="O31" s="60"/>
      <c r="P31" s="60" t="s">
        <v>3323</v>
      </c>
      <c r="Q31" s="20">
        <v>1</v>
      </c>
    </row>
    <row r="32" spans="1:17" ht="96" x14ac:dyDescent="0.2">
      <c r="A32" s="71">
        <v>31</v>
      </c>
      <c r="B32" s="107" t="str">
        <f>HYPERLINK("https://www.ncbi.nlm.nih.gov/gene/208", "208")</f>
        <v>208</v>
      </c>
      <c r="C32" s="109" t="str">
        <f>HYPERLINK("https://www.uniprot.org/uniprot/P31751", "P31751")</f>
        <v>P31751</v>
      </c>
      <c r="D32" s="43" t="s">
        <v>30</v>
      </c>
      <c r="E32" s="16" t="s">
        <v>30</v>
      </c>
      <c r="F32" s="74" t="s">
        <v>1000</v>
      </c>
      <c r="G32" s="28" t="s">
        <v>1001</v>
      </c>
      <c r="H32" s="28" t="s">
        <v>3912</v>
      </c>
      <c r="I32" s="31" t="s">
        <v>5078</v>
      </c>
      <c r="J32" s="73" t="s">
        <v>2873</v>
      </c>
      <c r="K32" s="23" t="s">
        <v>4207</v>
      </c>
      <c r="L32" s="60" t="s">
        <v>3295</v>
      </c>
      <c r="M32" s="60" t="s">
        <v>3295</v>
      </c>
      <c r="N32" s="60" t="s">
        <v>3291</v>
      </c>
      <c r="O32" s="60"/>
      <c r="P32" s="60" t="s">
        <v>5495</v>
      </c>
      <c r="Q32" s="20">
        <v>2</v>
      </c>
    </row>
    <row r="33" spans="1:17" ht="192" x14ac:dyDescent="0.2">
      <c r="A33" s="71">
        <v>32</v>
      </c>
      <c r="B33" s="107" t="str">
        <f>HYPERLINK("https://www.ncbi.nlm.nih.gov/gene/216", "216")</f>
        <v>216</v>
      </c>
      <c r="C33" s="109" t="str">
        <f>HYPERLINK("https://www.uniprot.org/uniprot/P00352", "P00352")</f>
        <v>P00352</v>
      </c>
      <c r="D33" s="43" t="s">
        <v>31</v>
      </c>
      <c r="E33" s="16" t="s">
        <v>31</v>
      </c>
      <c r="F33" s="74" t="s">
        <v>1002</v>
      </c>
      <c r="G33" s="28" t="s">
        <v>1003</v>
      </c>
      <c r="H33" s="28" t="s">
        <v>1004</v>
      </c>
      <c r="I33" s="31" t="s">
        <v>5080</v>
      </c>
      <c r="J33" s="73" t="s">
        <v>3889</v>
      </c>
      <c r="K33" s="23" t="s">
        <v>4208</v>
      </c>
      <c r="L33" s="60" t="s">
        <v>3289</v>
      </c>
      <c r="M33" s="60" t="s">
        <v>3289</v>
      </c>
      <c r="N33" s="60" t="s">
        <v>3291</v>
      </c>
      <c r="O33" s="60"/>
      <c r="P33" s="60" t="s">
        <v>5494</v>
      </c>
      <c r="Q33" s="20">
        <v>5</v>
      </c>
    </row>
    <row r="34" spans="1:17" ht="80" x14ac:dyDescent="0.2">
      <c r="A34" s="71">
        <v>33</v>
      </c>
      <c r="B34" s="107" t="str">
        <f>HYPERLINK("https://www.ncbi.nlm.nih.gov/gene/218", "218")</f>
        <v>218</v>
      </c>
      <c r="C34" s="109" t="str">
        <f>HYPERLINK("https://www.uniprot.org/uniprot/P30838", "P30838")</f>
        <v>P30838</v>
      </c>
      <c r="D34" s="43" t="s">
        <v>32</v>
      </c>
      <c r="E34" s="16" t="s">
        <v>32</v>
      </c>
      <c r="F34" s="74" t="s">
        <v>1005</v>
      </c>
      <c r="G34" s="28" t="s">
        <v>1006</v>
      </c>
      <c r="H34" s="28" t="s">
        <v>1004</v>
      </c>
      <c r="I34" s="31" t="s">
        <v>5080</v>
      </c>
      <c r="J34" s="73">
        <v>28881734</v>
      </c>
      <c r="K34" s="23" t="s">
        <v>4209</v>
      </c>
      <c r="L34" s="60" t="s">
        <v>3289</v>
      </c>
      <c r="M34" s="60" t="s">
        <v>3289</v>
      </c>
      <c r="N34" s="60" t="s">
        <v>3291</v>
      </c>
      <c r="O34" s="60"/>
      <c r="P34" s="60" t="s">
        <v>5495</v>
      </c>
      <c r="Q34" s="20">
        <v>2</v>
      </c>
    </row>
    <row r="35" spans="1:17" ht="96" x14ac:dyDescent="0.2">
      <c r="A35" s="71">
        <v>34</v>
      </c>
      <c r="B35" s="107" t="str">
        <f>HYPERLINK("https://www.ncbi.nlm.nih.gov/gene/226", "226")</f>
        <v>226</v>
      </c>
      <c r="C35" s="109" t="str">
        <f>HYPERLINK("https://www.uniprot.org/uniprot/P04075", "P04075")</f>
        <v>P04075</v>
      </c>
      <c r="D35" s="43" t="s">
        <v>33</v>
      </c>
      <c r="E35" s="16" t="s">
        <v>33</v>
      </c>
      <c r="F35" s="74" t="s">
        <v>1007</v>
      </c>
      <c r="G35" s="28" t="s">
        <v>1008</v>
      </c>
      <c r="H35" s="28" t="s">
        <v>1009</v>
      </c>
      <c r="I35" s="31" t="s">
        <v>3353</v>
      </c>
      <c r="J35" s="73" t="s">
        <v>2874</v>
      </c>
      <c r="K35" s="23" t="s">
        <v>4210</v>
      </c>
      <c r="L35" s="60" t="s">
        <v>3290</v>
      </c>
      <c r="M35" s="60" t="s">
        <v>3289</v>
      </c>
      <c r="N35" s="60" t="s">
        <v>3291</v>
      </c>
      <c r="O35" s="60"/>
      <c r="P35" s="60" t="s">
        <v>3323</v>
      </c>
      <c r="Q35" s="20">
        <v>1</v>
      </c>
    </row>
    <row r="36" spans="1:17" ht="96" x14ac:dyDescent="0.2">
      <c r="A36" s="71">
        <v>35</v>
      </c>
      <c r="B36" s="107" t="str">
        <f>HYPERLINK("https://www.ncbi.nlm.nih.gov/gene/221120", "221120")</f>
        <v>221120</v>
      </c>
      <c r="C36" s="109" t="str">
        <f>HYPERLINK("https://www.uniprot.org/uniprot/Q96Q83", "Q96Q83")</f>
        <v>Q96Q83</v>
      </c>
      <c r="D36" s="43" t="s">
        <v>34</v>
      </c>
      <c r="E36" s="16" t="s">
        <v>34</v>
      </c>
      <c r="F36" s="74" t="s">
        <v>1010</v>
      </c>
      <c r="G36" s="28" t="s">
        <v>1011</v>
      </c>
      <c r="H36" s="28" t="s">
        <v>3913</v>
      </c>
      <c r="I36" s="31" t="s">
        <v>5081</v>
      </c>
      <c r="J36" s="73" t="s">
        <v>2875</v>
      </c>
      <c r="K36" s="23" t="s">
        <v>4211</v>
      </c>
      <c r="L36" s="60" t="s">
        <v>3289</v>
      </c>
      <c r="M36" s="60" t="s">
        <v>3289</v>
      </c>
      <c r="N36" s="60" t="s">
        <v>3291</v>
      </c>
      <c r="O36" s="60"/>
      <c r="P36" s="60" t="s">
        <v>5495</v>
      </c>
      <c r="Q36" s="20">
        <v>2</v>
      </c>
    </row>
    <row r="37" spans="1:17" ht="64" x14ac:dyDescent="0.2">
      <c r="A37" s="71">
        <v>36</v>
      </c>
      <c r="B37" s="107" t="str">
        <f>HYPERLINK("https://www.ncbi.nlm.nih.gov/gene/55626", "55626")</f>
        <v>55626</v>
      </c>
      <c r="C37" s="109" t="str">
        <f>HYPERLINK("https://www.uniprot.org/uniprot/Q9C0C7", "Q9C0C7")</f>
        <v>Q9C0C7</v>
      </c>
      <c r="D37" s="43" t="s">
        <v>35</v>
      </c>
      <c r="E37" s="16" t="s">
        <v>35</v>
      </c>
      <c r="F37" s="28" t="s">
        <v>1012</v>
      </c>
      <c r="G37" s="28" t="s">
        <v>1013</v>
      </c>
      <c r="H37" s="28" t="s">
        <v>1014</v>
      </c>
      <c r="I37" s="31" t="s">
        <v>2838</v>
      </c>
      <c r="J37" s="73" t="s">
        <v>2876</v>
      </c>
      <c r="K37" s="30" t="s">
        <v>4212</v>
      </c>
      <c r="L37" s="60" t="s">
        <v>3289</v>
      </c>
      <c r="M37" s="60" t="s">
        <v>3289</v>
      </c>
      <c r="N37" s="60" t="s">
        <v>3289</v>
      </c>
      <c r="O37" s="60"/>
      <c r="P37" s="60" t="s">
        <v>5493</v>
      </c>
      <c r="Q37" s="20">
        <v>4</v>
      </c>
    </row>
    <row r="38" spans="1:17" ht="80" x14ac:dyDescent="0.2">
      <c r="A38" s="71">
        <v>37</v>
      </c>
      <c r="B38" s="107" t="str">
        <f>HYPERLINK("https://www.ncbi.nlm.nih.gov/gene/267", "267")</f>
        <v>267</v>
      </c>
      <c r="C38" s="110" t="str">
        <f>HYPERLINK("https://www.uniprot.org/uniprot/Q9UKV5", "Q9UKV5")</f>
        <v>Q9UKV5</v>
      </c>
      <c r="D38" s="43" t="s">
        <v>36</v>
      </c>
      <c r="E38" s="34" t="s">
        <v>36</v>
      </c>
      <c r="F38" s="74" t="s">
        <v>1015</v>
      </c>
      <c r="G38" s="30" t="s">
        <v>1016</v>
      </c>
      <c r="H38" s="30" t="s">
        <v>3914</v>
      </c>
      <c r="I38" s="47" t="s">
        <v>5082</v>
      </c>
      <c r="J38" s="73" t="s">
        <v>2877</v>
      </c>
      <c r="K38" s="23" t="s">
        <v>4213</v>
      </c>
      <c r="L38" s="60" t="s">
        <v>3289</v>
      </c>
      <c r="M38" s="60" t="s">
        <v>3289</v>
      </c>
      <c r="N38" s="60" t="s">
        <v>3291</v>
      </c>
      <c r="O38" s="60"/>
      <c r="P38" s="60" t="s">
        <v>5498</v>
      </c>
      <c r="Q38" s="63">
        <v>3</v>
      </c>
    </row>
    <row r="39" spans="1:17" ht="64" x14ac:dyDescent="0.2">
      <c r="A39" s="71">
        <v>38</v>
      </c>
      <c r="B39" s="107" t="str">
        <f>HYPERLINK("https://www.ncbi.nlm.nih.gov/gene/27063", "27063")</f>
        <v>27063</v>
      </c>
      <c r="C39" s="109" t="str">
        <f>HYPERLINK("https://www.uniprot.org/uniprot/Q15327", "Q15327")</f>
        <v>Q15327</v>
      </c>
      <c r="D39" s="43" t="s">
        <v>37</v>
      </c>
      <c r="E39" s="16" t="s">
        <v>37</v>
      </c>
      <c r="F39" s="74" t="s">
        <v>1017</v>
      </c>
      <c r="G39" s="28" t="s">
        <v>1018</v>
      </c>
      <c r="H39" s="28" t="s">
        <v>1019</v>
      </c>
      <c r="I39" s="31" t="s">
        <v>5083</v>
      </c>
      <c r="J39" s="73" t="s">
        <v>2878</v>
      </c>
      <c r="K39" s="23" t="s">
        <v>4214</v>
      </c>
      <c r="L39" s="60" t="s">
        <v>3289</v>
      </c>
      <c r="M39" s="60" t="s">
        <v>3289</v>
      </c>
      <c r="N39" s="60" t="s">
        <v>3291</v>
      </c>
      <c r="O39" s="60"/>
      <c r="P39" s="60" t="s">
        <v>5493</v>
      </c>
      <c r="Q39" s="20">
        <v>4</v>
      </c>
    </row>
    <row r="40" spans="1:17" ht="128" x14ac:dyDescent="0.2">
      <c r="A40" s="71">
        <v>39</v>
      </c>
      <c r="B40" s="107" t="str">
        <f>HYPERLINK("https://www.ncbi.nlm.nih.gov/gene/302", "302")</f>
        <v>302</v>
      </c>
      <c r="C40" s="109" t="str">
        <f>HYPERLINK("https://www.uniprot.org/uniprot/P07355", "P07355")</f>
        <v>P07355</v>
      </c>
      <c r="D40" s="43" t="s">
        <v>38</v>
      </c>
      <c r="E40" s="16" t="s">
        <v>38</v>
      </c>
      <c r="F40" s="74" t="s">
        <v>1020</v>
      </c>
      <c r="G40" s="28" t="s">
        <v>1021</v>
      </c>
      <c r="H40" s="28" t="s">
        <v>1022</v>
      </c>
      <c r="I40" s="31" t="s">
        <v>5084</v>
      </c>
      <c r="J40" s="73" t="s">
        <v>2879</v>
      </c>
      <c r="K40" s="23" t="s">
        <v>4215</v>
      </c>
      <c r="L40" s="60" t="s">
        <v>3289</v>
      </c>
      <c r="M40" s="60" t="s">
        <v>3289</v>
      </c>
      <c r="N40" s="60" t="s">
        <v>3291</v>
      </c>
      <c r="O40" s="60"/>
      <c r="P40" s="60" t="s">
        <v>5494</v>
      </c>
      <c r="Q40" s="20">
        <v>5</v>
      </c>
    </row>
    <row r="41" spans="1:17" ht="144" x14ac:dyDescent="0.2">
      <c r="A41" s="71">
        <v>40</v>
      </c>
      <c r="B41" s="107" t="str">
        <f>HYPERLINK("https://www.ncbi.nlm.nih.gov/gene/306", "306")</f>
        <v>306</v>
      </c>
      <c r="C41" s="109" t="str">
        <f>HYPERLINK("https://www.uniprot.org/uniprot/P12429", "P12429")</f>
        <v>P12429</v>
      </c>
      <c r="D41" s="43" t="s">
        <v>39</v>
      </c>
      <c r="E41" s="16" t="s">
        <v>39</v>
      </c>
      <c r="F41" s="74" t="s">
        <v>1023</v>
      </c>
      <c r="G41" s="28" t="s">
        <v>1024</v>
      </c>
      <c r="H41" s="28" t="s">
        <v>1025</v>
      </c>
      <c r="I41" s="31" t="s">
        <v>5085</v>
      </c>
      <c r="J41" s="73" t="s">
        <v>2880</v>
      </c>
      <c r="K41" s="23" t="s">
        <v>4216</v>
      </c>
      <c r="L41" s="60" t="s">
        <v>3289</v>
      </c>
      <c r="M41" s="60" t="s">
        <v>3289</v>
      </c>
      <c r="N41" s="60" t="s">
        <v>3291</v>
      </c>
      <c r="O41" s="60"/>
      <c r="P41" s="60" t="s">
        <v>3323</v>
      </c>
      <c r="Q41" s="20">
        <v>1</v>
      </c>
    </row>
    <row r="42" spans="1:17" ht="80" x14ac:dyDescent="0.2">
      <c r="A42" s="71">
        <v>41</v>
      </c>
      <c r="B42" s="107" t="str">
        <f>HYPERLINK("https://www.ncbi.nlm.nih.gov/gene/307", "307")</f>
        <v>307</v>
      </c>
      <c r="C42" s="109" t="str">
        <f>HYPERLINK("https://www.uniprot.org/uniprot/P09525", "P09525")</f>
        <v>P09525</v>
      </c>
      <c r="D42" s="43" t="s">
        <v>40</v>
      </c>
      <c r="E42" s="16" t="s">
        <v>40</v>
      </c>
      <c r="F42" s="74" t="s">
        <v>1026</v>
      </c>
      <c r="G42" s="28" t="s">
        <v>1027</v>
      </c>
      <c r="H42" s="28" t="s">
        <v>1028</v>
      </c>
      <c r="I42" s="31" t="s">
        <v>5086</v>
      </c>
      <c r="J42" s="73" t="s">
        <v>2881</v>
      </c>
      <c r="K42" s="23" t="s">
        <v>4217</v>
      </c>
      <c r="L42" s="60" t="s">
        <v>3289</v>
      </c>
      <c r="M42" s="60" t="s">
        <v>3289</v>
      </c>
      <c r="N42" s="60" t="s">
        <v>3291</v>
      </c>
      <c r="O42" s="60"/>
      <c r="P42" s="60" t="s">
        <v>5492</v>
      </c>
      <c r="Q42" s="20">
        <v>4</v>
      </c>
    </row>
    <row r="43" spans="1:17" ht="112" x14ac:dyDescent="0.2">
      <c r="A43" s="71">
        <v>42</v>
      </c>
      <c r="B43" s="107" t="str">
        <f>HYPERLINK("https://www.ncbi.nlm.nih.gov/gene/317", "317")</f>
        <v>317</v>
      </c>
      <c r="C43" s="109" t="str">
        <f>HYPERLINK("https://www.uniprot.org/uniprot/O14727", "O14727")</f>
        <v>O14727</v>
      </c>
      <c r="D43" s="43" t="s">
        <v>41</v>
      </c>
      <c r="E43" s="16" t="s">
        <v>41</v>
      </c>
      <c r="F43" s="74"/>
      <c r="G43" s="28" t="s">
        <v>1029</v>
      </c>
      <c r="H43" s="28" t="s">
        <v>1030</v>
      </c>
      <c r="I43" s="31" t="s">
        <v>2828</v>
      </c>
      <c r="J43" s="73" t="s">
        <v>2882</v>
      </c>
      <c r="K43" s="23" t="s">
        <v>4218</v>
      </c>
      <c r="L43" s="60" t="s">
        <v>3292</v>
      </c>
      <c r="M43" s="60" t="s">
        <v>3292</v>
      </c>
      <c r="N43" s="60" t="s">
        <v>3289</v>
      </c>
      <c r="O43" s="60"/>
      <c r="P43" s="60" t="s">
        <v>3323</v>
      </c>
      <c r="Q43" s="20">
        <v>1</v>
      </c>
    </row>
    <row r="44" spans="1:17" ht="112" x14ac:dyDescent="0.2">
      <c r="A44" s="71">
        <v>43</v>
      </c>
      <c r="B44" s="107" t="str">
        <f>HYPERLINK("https://www.ncbi.nlm.nih.gov/gene/324", "324")</f>
        <v>324</v>
      </c>
      <c r="C44" s="109" t="str">
        <f>HYPERLINK("https://www.uniprot.org/uniprot/P25054", "P25054")</f>
        <v>P25054</v>
      </c>
      <c r="D44" s="43" t="s">
        <v>42</v>
      </c>
      <c r="E44" s="16" t="s">
        <v>42</v>
      </c>
      <c r="F44" s="11"/>
      <c r="G44" s="28" t="s">
        <v>1031</v>
      </c>
      <c r="H44" s="6" t="s">
        <v>3915</v>
      </c>
      <c r="I44" s="49" t="s">
        <v>5087</v>
      </c>
      <c r="J44" s="73" t="s">
        <v>2883</v>
      </c>
      <c r="K44" s="13" t="s">
        <v>3568</v>
      </c>
      <c r="L44" s="60" t="s">
        <v>3292</v>
      </c>
      <c r="M44" s="60" t="s">
        <v>3292</v>
      </c>
      <c r="N44" s="60" t="s">
        <v>3291</v>
      </c>
      <c r="O44" s="60"/>
      <c r="P44" s="60" t="s">
        <v>5492</v>
      </c>
      <c r="Q44" s="20">
        <v>4</v>
      </c>
    </row>
    <row r="45" spans="1:17" ht="128" x14ac:dyDescent="0.2">
      <c r="A45" s="71">
        <v>44</v>
      </c>
      <c r="B45" s="107" t="str">
        <f>HYPERLINK("https://www.ncbi.nlm.nih.gov/gene/328", "328")</f>
        <v>328</v>
      </c>
      <c r="C45" s="109" t="str">
        <f>HYPERLINK("https://www.uniprot.org/uniprot/P27695", "P27695")</f>
        <v>P27695</v>
      </c>
      <c r="D45" s="43" t="s">
        <v>43</v>
      </c>
      <c r="E45" s="16" t="s">
        <v>43</v>
      </c>
      <c r="F45" s="74" t="s">
        <v>1032</v>
      </c>
      <c r="G45" s="28" t="s">
        <v>1033</v>
      </c>
      <c r="H45" s="28" t="s">
        <v>3852</v>
      </c>
      <c r="I45" s="31" t="s">
        <v>5088</v>
      </c>
      <c r="J45" s="73" t="s">
        <v>2884</v>
      </c>
      <c r="K45" s="23" t="s">
        <v>4219</v>
      </c>
      <c r="L45" s="60" t="s">
        <v>3289</v>
      </c>
      <c r="M45" s="60" t="s">
        <v>3290</v>
      </c>
      <c r="N45" s="60" t="s">
        <v>3291</v>
      </c>
      <c r="O45" s="60"/>
      <c r="P45" s="60" t="s">
        <v>3323</v>
      </c>
      <c r="Q45" s="20">
        <v>1</v>
      </c>
    </row>
    <row r="46" spans="1:17" ht="80" x14ac:dyDescent="0.2">
      <c r="A46" s="71">
        <v>45</v>
      </c>
      <c r="B46" s="107" t="str">
        <f>HYPERLINK("https://www.ncbi.nlm.nih.gov/gene/359", "359")</f>
        <v>359</v>
      </c>
      <c r="C46" s="109" t="str">
        <f>HYPERLINK("https://www.uniprot.org/uniprot/P41181", "P41181")</f>
        <v>P41181</v>
      </c>
      <c r="D46" s="43" t="s">
        <v>44</v>
      </c>
      <c r="E46" s="16" t="s">
        <v>44</v>
      </c>
      <c r="F46" s="74"/>
      <c r="G46" s="28" t="s">
        <v>1034</v>
      </c>
      <c r="H46" s="28" t="s">
        <v>1035</v>
      </c>
      <c r="I46" s="31" t="s">
        <v>3844</v>
      </c>
      <c r="J46" s="73" t="s">
        <v>2885</v>
      </c>
      <c r="K46" s="23" t="s">
        <v>4220</v>
      </c>
      <c r="L46" s="60" t="s">
        <v>3292</v>
      </c>
      <c r="M46" s="60" t="s">
        <v>3292</v>
      </c>
      <c r="N46" s="60" t="s">
        <v>3291</v>
      </c>
      <c r="O46" s="60"/>
      <c r="P46" s="60" t="s">
        <v>3323</v>
      </c>
      <c r="Q46" s="20">
        <v>1</v>
      </c>
    </row>
    <row r="47" spans="1:17" ht="80" x14ac:dyDescent="0.2">
      <c r="A47" s="71">
        <v>46</v>
      </c>
      <c r="B47" s="107" t="str">
        <f>HYPERLINK("https://www.ncbi.nlm.nih.gov/gene/374", "374")</f>
        <v>374</v>
      </c>
      <c r="C47" s="109" t="str">
        <f>HYPERLINK("https://www.uniprot.org/uniprot/P15514", "P15514")</f>
        <v>P15514</v>
      </c>
      <c r="D47" s="43" t="s">
        <v>45</v>
      </c>
      <c r="E47" s="16" t="s">
        <v>45</v>
      </c>
      <c r="F47" s="74" t="s">
        <v>1036</v>
      </c>
      <c r="G47" s="28" t="s">
        <v>1037</v>
      </c>
      <c r="H47" s="28" t="s">
        <v>1038</v>
      </c>
      <c r="I47" s="31" t="s">
        <v>5089</v>
      </c>
      <c r="J47" s="73">
        <v>28459431</v>
      </c>
      <c r="K47" s="23" t="s">
        <v>4221</v>
      </c>
      <c r="L47" s="60" t="s">
        <v>3289</v>
      </c>
      <c r="M47" s="60" t="s">
        <v>3289</v>
      </c>
      <c r="N47" s="60" t="s">
        <v>3291</v>
      </c>
      <c r="O47" s="60"/>
      <c r="P47" s="60" t="s">
        <v>5494</v>
      </c>
      <c r="Q47" s="20">
        <v>5</v>
      </c>
    </row>
    <row r="48" spans="1:17" ht="96" x14ac:dyDescent="0.2">
      <c r="A48" s="71">
        <v>47</v>
      </c>
      <c r="B48" s="107" t="str">
        <f>HYPERLINK("https://www.ncbi.nlm.nih.gov/gene/397", "397")</f>
        <v>397</v>
      </c>
      <c r="C48" s="109" t="str">
        <f>HYPERLINK("https://www.uniprot.org/uniprot/P52566", "P52566")</f>
        <v>P52566</v>
      </c>
      <c r="D48" s="43" t="s">
        <v>46</v>
      </c>
      <c r="E48" s="16" t="s">
        <v>46</v>
      </c>
      <c r="F48" s="74" t="s">
        <v>1039</v>
      </c>
      <c r="G48" s="28" t="s">
        <v>1040</v>
      </c>
      <c r="H48" s="28" t="s">
        <v>1041</v>
      </c>
      <c r="I48" s="31" t="s">
        <v>5090</v>
      </c>
      <c r="J48" s="73">
        <v>21752536</v>
      </c>
      <c r="K48" s="23" t="s">
        <v>4222</v>
      </c>
      <c r="L48" s="60" t="s">
        <v>3289</v>
      </c>
      <c r="M48" s="60" t="s">
        <v>3289</v>
      </c>
      <c r="N48" s="60" t="s">
        <v>3291</v>
      </c>
      <c r="O48" s="60"/>
      <c r="P48" s="60" t="s">
        <v>5495</v>
      </c>
      <c r="Q48" s="20">
        <v>2</v>
      </c>
    </row>
    <row r="49" spans="1:17" ht="80" x14ac:dyDescent="0.2">
      <c r="A49" s="71">
        <v>48</v>
      </c>
      <c r="B49" s="107" t="str">
        <f>HYPERLINK("https://www.ncbi.nlm.nih.gov/gene/8289", "8289")</f>
        <v>8289</v>
      </c>
      <c r="C49" s="109" t="str">
        <f>HYPERLINK("https://www.uniprot.org/uniprot/O14497", "O14497")</f>
        <v>O14497</v>
      </c>
      <c r="D49" s="43" t="s">
        <v>47</v>
      </c>
      <c r="E49" s="16" t="s">
        <v>47</v>
      </c>
      <c r="F49" s="74" t="s">
        <v>1042</v>
      </c>
      <c r="G49" s="28" t="s">
        <v>1043</v>
      </c>
      <c r="H49" s="28" t="s">
        <v>1044</v>
      </c>
      <c r="I49" s="31" t="s">
        <v>5091</v>
      </c>
      <c r="J49" s="73">
        <v>29660381</v>
      </c>
      <c r="K49" s="23" t="s">
        <v>4223</v>
      </c>
      <c r="L49" s="60" t="s">
        <v>3292</v>
      </c>
      <c r="M49" s="60" t="s">
        <v>3292</v>
      </c>
      <c r="N49" s="60" t="s">
        <v>3291</v>
      </c>
      <c r="O49" s="60"/>
      <c r="P49" s="60" t="s">
        <v>5493</v>
      </c>
      <c r="Q49" s="20">
        <v>4</v>
      </c>
    </row>
    <row r="50" spans="1:17" ht="48" x14ac:dyDescent="0.2">
      <c r="A50" s="71">
        <v>49</v>
      </c>
      <c r="B50" s="107" t="str">
        <f>HYPERLINK("https://www.ncbi.nlm.nih.gov/gene/10620", "10620")</f>
        <v>10620</v>
      </c>
      <c r="C50" s="109" t="str">
        <f>HYPERLINK("https://www.uniprot.org/uniprot/Q8IVW6", "Q8IVW6")</f>
        <v>Q8IVW6</v>
      </c>
      <c r="D50" s="43" t="s">
        <v>48</v>
      </c>
      <c r="E50" s="16" t="s">
        <v>48</v>
      </c>
      <c r="F50" s="74" t="s">
        <v>1045</v>
      </c>
      <c r="G50" s="28" t="s">
        <v>5060</v>
      </c>
      <c r="H50" s="28" t="s">
        <v>1046</v>
      </c>
      <c r="I50" s="31" t="s">
        <v>2827</v>
      </c>
      <c r="J50" s="73" t="s">
        <v>2886</v>
      </c>
      <c r="K50" s="23" t="s">
        <v>4224</v>
      </c>
      <c r="L50" s="60" t="s">
        <v>3290</v>
      </c>
      <c r="M50" s="60" t="s">
        <v>3289</v>
      </c>
      <c r="N50" s="60" t="s">
        <v>3291</v>
      </c>
      <c r="O50" s="60"/>
      <c r="P50" s="60" t="s">
        <v>5499</v>
      </c>
      <c r="Q50" s="20">
        <v>4</v>
      </c>
    </row>
    <row r="51" spans="1:17" ht="105.5" customHeight="1" x14ac:dyDescent="0.2">
      <c r="A51" s="71">
        <v>50</v>
      </c>
      <c r="B51" s="107" t="str">
        <f>HYPERLINK("https://www.ncbi.nlm.nih.gov/gene/25820", "25820")</f>
        <v>25820</v>
      </c>
      <c r="C51" s="110" t="str">
        <f>HYPERLINK("https://www.uniprot.org/uniprot/Q9Y4X5", "Q9Y4X5")</f>
        <v>Q9Y4X5</v>
      </c>
      <c r="D51" s="43" t="s">
        <v>49</v>
      </c>
      <c r="E51" s="16" t="s">
        <v>49</v>
      </c>
      <c r="F51" s="74" t="s">
        <v>1047</v>
      </c>
      <c r="G51" s="28" t="s">
        <v>1048</v>
      </c>
      <c r="H51" s="28" t="s">
        <v>3338</v>
      </c>
      <c r="I51" s="31" t="s">
        <v>5092</v>
      </c>
      <c r="J51" s="73" t="s">
        <v>3339</v>
      </c>
      <c r="K51" s="23" t="s">
        <v>4225</v>
      </c>
      <c r="L51" s="60" t="s">
        <v>3289</v>
      </c>
      <c r="M51" s="60" t="s">
        <v>3289</v>
      </c>
      <c r="N51" s="60" t="s">
        <v>3289</v>
      </c>
      <c r="O51" s="60"/>
      <c r="P51" s="60" t="s">
        <v>5492</v>
      </c>
      <c r="Q51" s="20">
        <v>4</v>
      </c>
    </row>
    <row r="52" spans="1:17" ht="128" x14ac:dyDescent="0.2">
      <c r="A52" s="71">
        <v>51</v>
      </c>
      <c r="B52" s="107" t="str">
        <f>HYPERLINK("https://www.ncbi.nlm.nih.gov/gene/10550", "10550")</f>
        <v>10550</v>
      </c>
      <c r="C52" s="109" t="str">
        <f>HYPERLINK("https://www.uniprot.org/uniprot/O75915", "O75915")</f>
        <v>O75915</v>
      </c>
      <c r="D52" s="43" t="s">
        <v>50</v>
      </c>
      <c r="E52" s="16" t="s">
        <v>50</v>
      </c>
      <c r="F52" s="74" t="s">
        <v>1049</v>
      </c>
      <c r="G52" s="28" t="s">
        <v>1050</v>
      </c>
      <c r="H52" s="28" t="s">
        <v>1051</v>
      </c>
      <c r="I52" s="31" t="s">
        <v>5093</v>
      </c>
      <c r="J52" s="73" t="s">
        <v>2887</v>
      </c>
      <c r="K52" s="23" t="s">
        <v>4226</v>
      </c>
      <c r="L52" s="60" t="s">
        <v>3292</v>
      </c>
      <c r="M52" s="60" t="s">
        <v>3292</v>
      </c>
      <c r="N52" s="60" t="s">
        <v>3291</v>
      </c>
      <c r="O52" s="60"/>
      <c r="P52" s="60" t="s">
        <v>5493</v>
      </c>
      <c r="Q52" s="20">
        <v>4</v>
      </c>
    </row>
    <row r="53" spans="1:17" ht="112" x14ac:dyDescent="0.2">
      <c r="A53" s="71">
        <v>52</v>
      </c>
      <c r="B53" s="107" t="str">
        <f>HYPERLINK("https://www.ncbi.nlm.nih.gov/gene/405", "405")</f>
        <v>405</v>
      </c>
      <c r="C53" s="109" t="str">
        <f>HYPERLINK("https://www.uniprot.org/uniprot/P27540", "P27540")</f>
        <v>P27540</v>
      </c>
      <c r="D53" s="43" t="s">
        <v>51</v>
      </c>
      <c r="E53" s="16" t="s">
        <v>51</v>
      </c>
      <c r="F53" s="74" t="s">
        <v>1052</v>
      </c>
      <c r="G53" s="28" t="s">
        <v>1053</v>
      </c>
      <c r="H53" s="28" t="s">
        <v>3916</v>
      </c>
      <c r="I53" s="31" t="s">
        <v>2839</v>
      </c>
      <c r="J53" s="73" t="s">
        <v>2888</v>
      </c>
      <c r="K53" s="23" t="s">
        <v>4227</v>
      </c>
      <c r="L53" s="60" t="s">
        <v>3290</v>
      </c>
      <c r="M53" s="60" t="s">
        <v>3289</v>
      </c>
      <c r="N53" s="60" t="s">
        <v>3291</v>
      </c>
      <c r="O53" s="60"/>
      <c r="P53" s="60" t="s">
        <v>5495</v>
      </c>
      <c r="Q53" s="20">
        <v>2</v>
      </c>
    </row>
    <row r="54" spans="1:17" ht="96" x14ac:dyDescent="0.2">
      <c r="A54" s="71">
        <v>53</v>
      </c>
      <c r="B54" s="107" t="str">
        <f>HYPERLINK("https://www.ncbi.nlm.nih.gov/gene/445", "445")</f>
        <v>445</v>
      </c>
      <c r="C54" s="109" t="str">
        <f>HYPERLINK("https://www.uniprot.org/uniprot/P00966", "P00966")</f>
        <v>P00966</v>
      </c>
      <c r="D54" s="43" t="s">
        <v>52</v>
      </c>
      <c r="E54" s="16" t="s">
        <v>52</v>
      </c>
      <c r="F54" s="74" t="s">
        <v>1054</v>
      </c>
      <c r="G54" s="28" t="s">
        <v>1055</v>
      </c>
      <c r="H54" s="28" t="s">
        <v>1056</v>
      </c>
      <c r="I54" s="31" t="s">
        <v>5094</v>
      </c>
      <c r="J54" s="73" t="s">
        <v>2889</v>
      </c>
      <c r="K54" s="23" t="s">
        <v>4228</v>
      </c>
      <c r="L54" s="60" t="s">
        <v>3292</v>
      </c>
      <c r="M54" s="60" t="s">
        <v>3290</v>
      </c>
      <c r="N54" s="60" t="s">
        <v>5512</v>
      </c>
      <c r="O54" s="60"/>
      <c r="P54" s="60" t="s">
        <v>5493</v>
      </c>
      <c r="Q54" s="20">
        <v>4</v>
      </c>
    </row>
    <row r="55" spans="1:17" ht="80" x14ac:dyDescent="0.2">
      <c r="A55" s="71">
        <v>54</v>
      </c>
      <c r="B55" s="107" t="str">
        <f>HYPERLINK("https://www.ncbi.nlm.nih.gov/gene/1386", "1386")</f>
        <v>1386</v>
      </c>
      <c r="C55" s="109" t="str">
        <f>HYPERLINK("https://www.uniprot.org/uniprot/P15336", "P15336")</f>
        <v>P15336</v>
      </c>
      <c r="D55" s="43" t="s">
        <v>53</v>
      </c>
      <c r="E55" s="16" t="s">
        <v>53</v>
      </c>
      <c r="F55" s="74" t="s">
        <v>1057</v>
      </c>
      <c r="G55" s="28" t="s">
        <v>1058</v>
      </c>
      <c r="H55" s="28" t="s">
        <v>1059</v>
      </c>
      <c r="I55" s="31" t="s">
        <v>5095</v>
      </c>
      <c r="J55" s="73" t="s">
        <v>2890</v>
      </c>
      <c r="K55" s="23" t="s">
        <v>4229</v>
      </c>
      <c r="L55" s="60" t="s">
        <v>3295</v>
      </c>
      <c r="M55" s="60" t="s">
        <v>3289</v>
      </c>
      <c r="N55" s="60" t="s">
        <v>3291</v>
      </c>
      <c r="O55" s="60"/>
      <c r="P55" s="60" t="s">
        <v>3323</v>
      </c>
      <c r="Q55" s="20">
        <v>1</v>
      </c>
    </row>
    <row r="56" spans="1:17" ht="96" x14ac:dyDescent="0.2">
      <c r="A56" s="71">
        <v>55</v>
      </c>
      <c r="B56" s="107" t="str">
        <f>HYPERLINK("https://www.ncbi.nlm.nih.gov/gene/467", "467")</f>
        <v>467</v>
      </c>
      <c r="C56" s="109" t="str">
        <f>HYPERLINK("https://www.uniprot.org/uniprot/P18847", "P18847")</f>
        <v>P18847</v>
      </c>
      <c r="D56" s="43" t="s">
        <v>54</v>
      </c>
      <c r="E56" s="77" t="s">
        <v>54</v>
      </c>
      <c r="F56" s="78"/>
      <c r="G56" s="28" t="s">
        <v>1060</v>
      </c>
      <c r="H56" s="28" t="s">
        <v>1061</v>
      </c>
      <c r="I56" s="31" t="s">
        <v>5096</v>
      </c>
      <c r="J56" s="73" t="s">
        <v>4959</v>
      </c>
      <c r="K56" s="15" t="s">
        <v>3694</v>
      </c>
      <c r="L56" s="60" t="s">
        <v>3291</v>
      </c>
      <c r="M56" s="60" t="s">
        <v>3292</v>
      </c>
      <c r="N56" s="60" t="s">
        <v>3289</v>
      </c>
      <c r="O56" s="60"/>
      <c r="P56" s="60" t="s">
        <v>3323</v>
      </c>
      <c r="Q56" s="20">
        <v>1</v>
      </c>
    </row>
    <row r="57" spans="1:17" ht="64" x14ac:dyDescent="0.2">
      <c r="A57" s="71">
        <v>56</v>
      </c>
      <c r="B57" s="107" t="str">
        <f>HYPERLINK("https://www.ncbi.nlm.nih.gov/gene/468", "468")</f>
        <v>468</v>
      </c>
      <c r="C57" s="109" t="str">
        <f>HYPERLINK("https://www.uniprot.org/uniprot/P18848", "P18848")</f>
        <v>P18848</v>
      </c>
      <c r="D57" s="43" t="s">
        <v>55</v>
      </c>
      <c r="E57" s="16" t="s">
        <v>55</v>
      </c>
      <c r="F57" s="74" t="s">
        <v>1062</v>
      </c>
      <c r="G57" s="28" t="s">
        <v>1063</v>
      </c>
      <c r="H57" s="28" t="s">
        <v>1064</v>
      </c>
      <c r="I57" s="31" t="s">
        <v>5097</v>
      </c>
      <c r="J57" s="73" t="s">
        <v>2891</v>
      </c>
      <c r="K57" s="23" t="s">
        <v>4230</v>
      </c>
      <c r="L57" s="60" t="s">
        <v>3289</v>
      </c>
      <c r="M57" s="60" t="s">
        <v>3289</v>
      </c>
      <c r="N57" s="60" t="s">
        <v>3291</v>
      </c>
      <c r="O57" s="60"/>
      <c r="P57" s="60" t="s">
        <v>5495</v>
      </c>
      <c r="Q57" s="20">
        <v>2</v>
      </c>
    </row>
    <row r="58" spans="1:17" ht="128" x14ac:dyDescent="0.2">
      <c r="A58" s="71">
        <v>57</v>
      </c>
      <c r="B58" s="107" t="str">
        <f>HYPERLINK("https://www.ncbi.nlm.nih.gov/gene/22926", "22926")</f>
        <v>22926</v>
      </c>
      <c r="C58" s="111" t="str">
        <f>HYPERLINK("https://www.uniprot.org/uniprot/P18850", "P18850")</f>
        <v>P18850</v>
      </c>
      <c r="D58" s="43" t="s">
        <v>918</v>
      </c>
      <c r="E58" s="16" t="s">
        <v>918</v>
      </c>
      <c r="F58" s="74"/>
      <c r="G58" s="28" t="s">
        <v>2822</v>
      </c>
      <c r="H58" s="28" t="s">
        <v>2823</v>
      </c>
      <c r="I58" s="31" t="s">
        <v>5098</v>
      </c>
      <c r="J58" s="73" t="s">
        <v>3287</v>
      </c>
      <c r="K58" s="23" t="s">
        <v>4231</v>
      </c>
      <c r="L58" s="60" t="s">
        <v>3289</v>
      </c>
      <c r="M58" s="60" t="s">
        <v>3290</v>
      </c>
      <c r="N58" s="60" t="s">
        <v>3289</v>
      </c>
      <c r="O58" s="60"/>
      <c r="P58" s="60" t="s">
        <v>5492</v>
      </c>
      <c r="Q58" s="20">
        <v>4</v>
      </c>
    </row>
    <row r="59" spans="1:17" ht="48" x14ac:dyDescent="0.2">
      <c r="A59" s="71">
        <v>58</v>
      </c>
      <c r="B59" s="107" t="str">
        <f>HYPERLINK("https://www.ncbi.nlm.nih.gov/gene/9140", "9140")</f>
        <v>9140</v>
      </c>
      <c r="C59" s="109" t="str">
        <f>HYPERLINK("https://www.uniprot.org/uniprot/O94817", "O94817")</f>
        <v>O94817</v>
      </c>
      <c r="D59" s="43" t="s">
        <v>56</v>
      </c>
      <c r="E59" s="16" t="s">
        <v>56</v>
      </c>
      <c r="F59" s="74" t="s">
        <v>1065</v>
      </c>
      <c r="G59" s="28" t="s">
        <v>4965</v>
      </c>
      <c r="H59" s="28" t="s">
        <v>1066</v>
      </c>
      <c r="I59" s="31" t="s">
        <v>2838</v>
      </c>
      <c r="J59" s="73" t="s">
        <v>3866</v>
      </c>
      <c r="K59" s="23" t="s">
        <v>4232</v>
      </c>
      <c r="L59" s="60" t="s">
        <v>3291</v>
      </c>
      <c r="M59" s="60" t="s">
        <v>3289</v>
      </c>
      <c r="N59" s="60" t="s">
        <v>3289</v>
      </c>
      <c r="O59" s="60"/>
      <c r="P59" s="60" t="s">
        <v>3323</v>
      </c>
      <c r="Q59" s="20">
        <v>1</v>
      </c>
    </row>
    <row r="60" spans="1:17" ht="96" x14ac:dyDescent="0.2">
      <c r="A60" s="71">
        <v>59</v>
      </c>
      <c r="B60" s="107" t="str">
        <f>HYPERLINK("https://www.ncbi.nlm.nih.gov/gene/22863", "22863")</f>
        <v>22863</v>
      </c>
      <c r="C60" s="109" t="str">
        <f>HYPERLINK("https://www.uniprot.org/uniprot/Q6ZNE5", "Q6ZNE5")</f>
        <v>Q6ZNE5</v>
      </c>
      <c r="D60" s="43" t="s">
        <v>57</v>
      </c>
      <c r="E60" s="35" t="s">
        <v>57</v>
      </c>
      <c r="F60" s="79" t="s">
        <v>1067</v>
      </c>
      <c r="G60" s="30" t="s">
        <v>1068</v>
      </c>
      <c r="H60" s="30" t="s">
        <v>1069</v>
      </c>
      <c r="I60" s="47" t="s">
        <v>2838</v>
      </c>
      <c r="J60" s="73" t="s">
        <v>3867</v>
      </c>
      <c r="K60" s="23" t="s">
        <v>4233</v>
      </c>
      <c r="L60" s="60" t="s">
        <v>3289</v>
      </c>
      <c r="M60" s="60" t="s">
        <v>3289</v>
      </c>
      <c r="N60" s="60" t="s">
        <v>3291</v>
      </c>
      <c r="O60" s="60"/>
      <c r="P60" s="60" t="s">
        <v>5495</v>
      </c>
      <c r="Q60" s="20">
        <v>2</v>
      </c>
    </row>
    <row r="61" spans="1:17" ht="48" x14ac:dyDescent="0.2">
      <c r="A61" s="71">
        <v>60</v>
      </c>
      <c r="B61" s="107" t="str">
        <f>HYPERLINK("https://www.ncbi.nlm.nih.gov/gene/9474", "9474")</f>
        <v>9474</v>
      </c>
      <c r="C61" s="109" t="str">
        <f>HYPERLINK("https://www.uniprot.org/uniprot/Q9H1Y0", "Q9H1Y0")</f>
        <v>Q9H1Y0</v>
      </c>
      <c r="D61" s="43" t="s">
        <v>58</v>
      </c>
      <c r="E61" s="16" t="s">
        <v>58</v>
      </c>
      <c r="F61" s="74" t="s">
        <v>1070</v>
      </c>
      <c r="G61" s="28" t="s">
        <v>1071</v>
      </c>
      <c r="H61" s="28" t="s">
        <v>1072</v>
      </c>
      <c r="I61" s="31" t="s">
        <v>2838</v>
      </c>
      <c r="J61" s="73">
        <v>29512762</v>
      </c>
      <c r="K61" s="23" t="s">
        <v>4234</v>
      </c>
      <c r="L61" s="60" t="s">
        <v>3289</v>
      </c>
      <c r="M61" s="60" t="s">
        <v>3289</v>
      </c>
      <c r="N61" s="60" t="s">
        <v>3289</v>
      </c>
      <c r="O61" s="60"/>
      <c r="P61" s="60" t="s">
        <v>3323</v>
      </c>
      <c r="Q61" s="20">
        <v>1</v>
      </c>
    </row>
    <row r="62" spans="1:17" ht="144" x14ac:dyDescent="0.2">
      <c r="A62" s="71">
        <v>61</v>
      </c>
      <c r="B62" s="107" t="str">
        <f>HYPERLINK("https://www.ncbi.nlm.nih.gov/gene/10533", "10533")</f>
        <v>10533</v>
      </c>
      <c r="C62" s="109" t="str">
        <f>HYPERLINK("https://www.uniprot.org/uniprot/O95352", "O95352")</f>
        <v>O95352</v>
      </c>
      <c r="D62" s="43" t="s">
        <v>59</v>
      </c>
      <c r="E62" s="16" t="s">
        <v>59</v>
      </c>
      <c r="F62" s="74" t="s">
        <v>1073</v>
      </c>
      <c r="G62" s="28" t="s">
        <v>1074</v>
      </c>
      <c r="H62" s="28" t="s">
        <v>1075</v>
      </c>
      <c r="I62" s="31" t="s">
        <v>2838</v>
      </c>
      <c r="J62" s="73" t="s">
        <v>2892</v>
      </c>
      <c r="K62" s="23" t="s">
        <v>4235</v>
      </c>
      <c r="L62" s="60" t="s">
        <v>3289</v>
      </c>
      <c r="M62" s="60" t="s">
        <v>3289</v>
      </c>
      <c r="N62" s="60" t="s">
        <v>3291</v>
      </c>
      <c r="O62" s="60"/>
      <c r="P62" s="60" t="s">
        <v>3323</v>
      </c>
      <c r="Q62" s="20">
        <v>1</v>
      </c>
    </row>
    <row r="63" spans="1:17" ht="112" x14ac:dyDescent="0.2">
      <c r="A63" s="71">
        <v>62</v>
      </c>
      <c r="B63" s="107" t="str">
        <f>HYPERLINK("https://www.ncbi.nlm.nih.gov/gene/472", "472")</f>
        <v>472</v>
      </c>
      <c r="C63" s="109" t="str">
        <f>HYPERLINK("https://www.uniprot.org/uniprot/Q13315", "Q13315")</f>
        <v>Q13315</v>
      </c>
      <c r="D63" s="43" t="s">
        <v>60</v>
      </c>
      <c r="E63" s="16" t="s">
        <v>60</v>
      </c>
      <c r="F63" s="11"/>
      <c r="G63" s="28" t="s">
        <v>3517</v>
      </c>
      <c r="H63" s="6" t="s">
        <v>3917</v>
      </c>
      <c r="I63" s="49" t="s">
        <v>5099</v>
      </c>
      <c r="J63" s="73" t="s">
        <v>2893</v>
      </c>
      <c r="K63" s="13" t="s">
        <v>3695</v>
      </c>
      <c r="L63" s="60" t="s">
        <v>3295</v>
      </c>
      <c r="M63" s="60" t="s">
        <v>3289</v>
      </c>
      <c r="N63" s="60" t="s">
        <v>3294</v>
      </c>
      <c r="O63" s="60"/>
      <c r="P63" s="60" t="s">
        <v>5497</v>
      </c>
      <c r="Q63" s="20">
        <v>3</v>
      </c>
    </row>
    <row r="64" spans="1:17" ht="112" x14ac:dyDescent="0.2">
      <c r="A64" s="71">
        <v>63</v>
      </c>
      <c r="B64" s="107" t="str">
        <f>HYPERLINK("https://www.ncbi.nlm.nih.gov/gene/23300", "23300")</f>
        <v>23300</v>
      </c>
      <c r="C64" s="109" t="str">
        <f>HYPERLINK("https://www.uniprot.org/uniprot/O43313", "O43313")</f>
        <v>O43313</v>
      </c>
      <c r="D64" s="43" t="s">
        <v>61</v>
      </c>
      <c r="E64" s="16" t="s">
        <v>61</v>
      </c>
      <c r="F64" s="11" t="s">
        <v>1076</v>
      </c>
      <c r="G64" s="28" t="s">
        <v>1077</v>
      </c>
      <c r="H64" s="6" t="s">
        <v>1078</v>
      </c>
      <c r="I64" s="49" t="s">
        <v>3332</v>
      </c>
      <c r="J64" s="73">
        <v>30464262</v>
      </c>
      <c r="K64" s="13" t="s">
        <v>3696</v>
      </c>
      <c r="L64" s="60" t="s">
        <v>3292</v>
      </c>
      <c r="M64" s="60" t="s">
        <v>3292</v>
      </c>
      <c r="N64" s="60" t="s">
        <v>3291</v>
      </c>
      <c r="O64" s="60"/>
      <c r="P64" s="60" t="s">
        <v>5492</v>
      </c>
      <c r="Q64" s="20">
        <v>4</v>
      </c>
    </row>
    <row r="65" spans="1:17" ht="112" x14ac:dyDescent="0.2">
      <c r="A65" s="71">
        <v>64</v>
      </c>
      <c r="B65" s="107" t="str">
        <f>HYPERLINK("https://www.ncbi.nlm.nih.gov/gene/23200", "23200")</f>
        <v>23200</v>
      </c>
      <c r="C65" s="109" t="str">
        <f>HYPERLINK("https://www.uniprot.org/uniprot/Q9Y2G3", "Q9Y2G3")</f>
        <v>Q9Y2G3</v>
      </c>
      <c r="D65" s="43" t="s">
        <v>62</v>
      </c>
      <c r="E65" s="16" t="s">
        <v>62</v>
      </c>
      <c r="F65" s="80" t="s">
        <v>1079</v>
      </c>
      <c r="G65" s="28" t="s">
        <v>1080</v>
      </c>
      <c r="H65" s="6" t="s">
        <v>1081</v>
      </c>
      <c r="I65" s="49" t="s">
        <v>3843</v>
      </c>
      <c r="J65" s="73">
        <v>23585472</v>
      </c>
      <c r="K65" s="13" t="s">
        <v>3697</v>
      </c>
      <c r="L65" s="60" t="s">
        <v>3289</v>
      </c>
      <c r="M65" s="60" t="s">
        <v>3289</v>
      </c>
      <c r="N65" s="60" t="s">
        <v>3291</v>
      </c>
      <c r="O65" s="60"/>
      <c r="P65" s="60" t="s">
        <v>5499</v>
      </c>
      <c r="Q65" s="20">
        <v>5</v>
      </c>
    </row>
    <row r="66" spans="1:17" ht="112" x14ac:dyDescent="0.2">
      <c r="A66" s="72">
        <v>65</v>
      </c>
      <c r="B66" s="107" t="str">
        <f>HYPERLINK("https://www.ncbi.nlm.nih.gov/gene/476", "476")</f>
        <v>476</v>
      </c>
      <c r="C66" s="112" t="str">
        <f>HYPERLINK("https://www.uniprot.org/uniprot/P05023", "P05023")</f>
        <v>P05023</v>
      </c>
      <c r="D66" s="43" t="s">
        <v>3847</v>
      </c>
      <c r="E66" s="81" t="s">
        <v>3847</v>
      </c>
      <c r="F66" s="82"/>
      <c r="G66" s="31" t="s">
        <v>3849</v>
      </c>
      <c r="H66" s="49" t="s">
        <v>3850</v>
      </c>
      <c r="I66" s="49" t="s">
        <v>3844</v>
      </c>
      <c r="J66" s="73">
        <v>16044341</v>
      </c>
      <c r="K66" s="69" t="s">
        <v>3848</v>
      </c>
      <c r="L66" s="60" t="s">
        <v>3292</v>
      </c>
      <c r="M66" s="60" t="s">
        <v>3292</v>
      </c>
      <c r="N66" s="60" t="s">
        <v>3292</v>
      </c>
      <c r="O66" s="60" t="s">
        <v>5509</v>
      </c>
      <c r="P66" s="60" t="s">
        <v>3323</v>
      </c>
      <c r="Q66" s="64">
        <v>1</v>
      </c>
    </row>
    <row r="67" spans="1:17" ht="80" x14ac:dyDescent="0.2">
      <c r="A67" s="71">
        <v>66</v>
      </c>
      <c r="B67" s="107" t="str">
        <f>HYPERLINK("https://www.ncbi.nlm.nih.gov/gene/481", "481")</f>
        <v>481</v>
      </c>
      <c r="C67" s="109" t="str">
        <f>HYPERLINK("https://www.uniprot.org/uniprot/P05026", "P05026")</f>
        <v>P05026</v>
      </c>
      <c r="D67" s="43" t="s">
        <v>63</v>
      </c>
      <c r="E67" s="16" t="s">
        <v>63</v>
      </c>
      <c r="F67" s="11" t="s">
        <v>1082</v>
      </c>
      <c r="G67" s="28" t="s">
        <v>1083</v>
      </c>
      <c r="H67" s="6" t="s">
        <v>1084</v>
      </c>
      <c r="I67" s="49" t="s">
        <v>5100</v>
      </c>
      <c r="J67" s="73" t="s">
        <v>3845</v>
      </c>
      <c r="K67" s="13" t="s">
        <v>3846</v>
      </c>
      <c r="L67" s="60" t="s">
        <v>3292</v>
      </c>
      <c r="M67" s="60" t="s">
        <v>3292</v>
      </c>
      <c r="N67" s="60" t="s">
        <v>3291</v>
      </c>
      <c r="O67" s="60"/>
      <c r="P67" s="60" t="s">
        <v>3323</v>
      </c>
      <c r="Q67" s="20">
        <v>1</v>
      </c>
    </row>
    <row r="68" spans="1:17" ht="48" x14ac:dyDescent="0.2">
      <c r="A68" s="71">
        <v>67</v>
      </c>
      <c r="B68" s="107" t="str">
        <f>HYPERLINK("https://www.ncbi.nlm.nih.gov/gene/533", "533")</f>
        <v>533</v>
      </c>
      <c r="C68" s="109" t="str">
        <f>HYPERLINK("https://www.uniprot.org/uniprot/Q99437", "Q99437")</f>
        <v>Q99437</v>
      </c>
      <c r="D68" s="43" t="s">
        <v>69</v>
      </c>
      <c r="E68" s="16" t="s">
        <v>69</v>
      </c>
      <c r="F68" s="75" t="s">
        <v>1100</v>
      </c>
      <c r="G68" s="28" t="s">
        <v>1101</v>
      </c>
      <c r="H68" s="28" t="s">
        <v>1102</v>
      </c>
      <c r="I68" s="31" t="s">
        <v>2843</v>
      </c>
      <c r="J68" s="73" t="s">
        <v>2895</v>
      </c>
      <c r="K68" s="23" t="s">
        <v>2896</v>
      </c>
      <c r="L68" s="60" t="s">
        <v>3289</v>
      </c>
      <c r="M68" s="60" t="s">
        <v>3289</v>
      </c>
      <c r="N68" s="60" t="s">
        <v>3291</v>
      </c>
      <c r="O68" s="60"/>
      <c r="P68" s="60" t="s">
        <v>3323</v>
      </c>
      <c r="Q68" s="20">
        <v>1</v>
      </c>
    </row>
    <row r="69" spans="1:17" ht="32" x14ac:dyDescent="0.2">
      <c r="A69" s="71">
        <v>68</v>
      </c>
      <c r="B69" s="107" t="str">
        <f>HYPERLINK("https://www.ncbi.nlm.nih.gov/gene/9114", "9114")</f>
        <v>9114</v>
      </c>
      <c r="C69" s="109" t="str">
        <f>HYPERLINK("https://www.uniprot.org/uniprot/P61421", "P61421")</f>
        <v>P61421</v>
      </c>
      <c r="D69" s="43" t="s">
        <v>67</v>
      </c>
      <c r="E69" s="16" t="s">
        <v>67</v>
      </c>
      <c r="F69" s="75" t="s">
        <v>1094</v>
      </c>
      <c r="G69" s="28" t="s">
        <v>1095</v>
      </c>
      <c r="H69" s="28" t="s">
        <v>1096</v>
      </c>
      <c r="I69" s="31" t="s">
        <v>2843</v>
      </c>
      <c r="J69" s="73" t="s">
        <v>2895</v>
      </c>
      <c r="K69" s="23" t="s">
        <v>2896</v>
      </c>
      <c r="L69" s="60" t="s">
        <v>3289</v>
      </c>
      <c r="M69" s="60" t="s">
        <v>3289</v>
      </c>
      <c r="N69" s="60" t="s">
        <v>3291</v>
      </c>
      <c r="O69" s="60"/>
      <c r="P69" s="60" t="s">
        <v>3323</v>
      </c>
      <c r="Q69" s="20">
        <v>1</v>
      </c>
    </row>
    <row r="70" spans="1:17" ht="64" x14ac:dyDescent="0.2">
      <c r="A70" s="71">
        <v>69</v>
      </c>
      <c r="B70" s="107" t="str">
        <f>HYPERLINK("https://www.ncbi.nlm.nih.gov/gene/523", "523")</f>
        <v>523</v>
      </c>
      <c r="C70" s="109" t="str">
        <f>HYPERLINK("https://www.uniprot.org/uniprot/P38606", "P38606")</f>
        <v>P38606</v>
      </c>
      <c r="D70" s="43" t="s">
        <v>64</v>
      </c>
      <c r="E70" s="16" t="s">
        <v>64</v>
      </c>
      <c r="F70" s="75" t="s">
        <v>1085</v>
      </c>
      <c r="G70" s="28" t="s">
        <v>1086</v>
      </c>
      <c r="H70" s="28" t="s">
        <v>1087</v>
      </c>
      <c r="I70" s="31" t="s">
        <v>2843</v>
      </c>
      <c r="J70" s="73" t="s">
        <v>2894</v>
      </c>
      <c r="K70" s="23" t="s">
        <v>4236</v>
      </c>
      <c r="L70" s="60" t="s">
        <v>3289</v>
      </c>
      <c r="M70" s="60" t="s">
        <v>3289</v>
      </c>
      <c r="N70" s="60" t="s">
        <v>3289</v>
      </c>
      <c r="O70" s="60"/>
      <c r="P70" s="60" t="s">
        <v>3323</v>
      </c>
      <c r="Q70" s="20">
        <v>1</v>
      </c>
    </row>
    <row r="71" spans="1:17" ht="32" x14ac:dyDescent="0.2">
      <c r="A71" s="71">
        <v>70</v>
      </c>
      <c r="B71" s="107" t="str">
        <f>HYPERLINK("https://www.ncbi.nlm.nih.gov/gene/526", "526")</f>
        <v>526</v>
      </c>
      <c r="C71" s="109" t="str">
        <f>HYPERLINK("https://www.uniprot.org/uniprot/P21281", "P21281")</f>
        <v>P21281</v>
      </c>
      <c r="D71" s="43" t="s">
        <v>65</v>
      </c>
      <c r="E71" s="16" t="s">
        <v>65</v>
      </c>
      <c r="F71" s="75" t="s">
        <v>1088</v>
      </c>
      <c r="G71" s="28" t="s">
        <v>1089</v>
      </c>
      <c r="H71" s="28" t="s">
        <v>1090</v>
      </c>
      <c r="I71" s="31" t="s">
        <v>2843</v>
      </c>
      <c r="J71" s="73" t="s">
        <v>2895</v>
      </c>
      <c r="K71" s="23" t="s">
        <v>2896</v>
      </c>
      <c r="L71" s="60" t="s">
        <v>3289</v>
      </c>
      <c r="M71" s="60" t="s">
        <v>3289</v>
      </c>
      <c r="N71" s="60" t="s">
        <v>3291</v>
      </c>
      <c r="O71" s="60"/>
      <c r="P71" s="60" t="s">
        <v>3323</v>
      </c>
      <c r="Q71" s="20">
        <v>1</v>
      </c>
    </row>
    <row r="72" spans="1:17" ht="48" x14ac:dyDescent="0.2">
      <c r="A72" s="71">
        <v>71</v>
      </c>
      <c r="B72" s="107" t="str">
        <f>HYPERLINK("https://www.ncbi.nlm.nih.gov/gene/528", "528")</f>
        <v>528</v>
      </c>
      <c r="C72" s="109" t="str">
        <f>HYPERLINK("https://www.uniprot.org/uniprot/P21283", "P21283")</f>
        <v>P21283</v>
      </c>
      <c r="D72" s="43" t="s">
        <v>66</v>
      </c>
      <c r="E72" s="16" t="s">
        <v>66</v>
      </c>
      <c r="F72" s="75" t="s">
        <v>1091</v>
      </c>
      <c r="G72" s="28" t="s">
        <v>1092</v>
      </c>
      <c r="H72" s="28" t="s">
        <v>1093</v>
      </c>
      <c r="I72" s="31" t="s">
        <v>2843</v>
      </c>
      <c r="J72" s="73" t="s">
        <v>2895</v>
      </c>
      <c r="K72" s="23" t="s">
        <v>2896</v>
      </c>
      <c r="L72" s="60" t="s">
        <v>3289</v>
      </c>
      <c r="M72" s="60" t="s">
        <v>3289</v>
      </c>
      <c r="N72" s="60" t="s">
        <v>3291</v>
      </c>
      <c r="O72" s="60"/>
      <c r="P72" s="60" t="s">
        <v>3323</v>
      </c>
      <c r="Q72" s="20">
        <v>1</v>
      </c>
    </row>
    <row r="73" spans="1:17" ht="48" x14ac:dyDescent="0.2">
      <c r="A73" s="71">
        <v>72</v>
      </c>
      <c r="B73" s="107" t="str">
        <f>HYPERLINK("https://www.ncbi.nlm.nih.gov/gene/529", "529")</f>
        <v>529</v>
      </c>
      <c r="C73" s="109" t="str">
        <f>HYPERLINK("https://www.uniprot.org/uniprot/P36543", "P36543")</f>
        <v>P36543</v>
      </c>
      <c r="D73" s="43" t="s">
        <v>68</v>
      </c>
      <c r="E73" s="16" t="s">
        <v>68</v>
      </c>
      <c r="F73" s="75" t="s">
        <v>1097</v>
      </c>
      <c r="G73" s="28" t="s">
        <v>1098</v>
      </c>
      <c r="H73" s="28" t="s">
        <v>1099</v>
      </c>
      <c r="I73" s="31" t="s">
        <v>2843</v>
      </c>
      <c r="J73" s="73" t="s">
        <v>2895</v>
      </c>
      <c r="K73" s="23" t="s">
        <v>2896</v>
      </c>
      <c r="L73" s="60" t="s">
        <v>3289</v>
      </c>
      <c r="M73" s="60" t="s">
        <v>3289</v>
      </c>
      <c r="N73" s="60" t="s">
        <v>3291</v>
      </c>
      <c r="O73" s="60"/>
      <c r="P73" s="60" t="s">
        <v>3323</v>
      </c>
      <c r="Q73" s="20">
        <v>1</v>
      </c>
    </row>
    <row r="74" spans="1:17" ht="112" x14ac:dyDescent="0.2">
      <c r="A74" s="71">
        <v>73</v>
      </c>
      <c r="B74" s="107" t="str">
        <f>HYPERLINK("https://www.ncbi.nlm.nih.gov/gene/538", "538")</f>
        <v>538</v>
      </c>
      <c r="C74" s="109" t="str">
        <f>HYPERLINK("https://www.uniprot.org/uniprot/Q04656", "Q04656")</f>
        <v>Q04656</v>
      </c>
      <c r="D74" s="43" t="s">
        <v>70</v>
      </c>
      <c r="E74" s="16" t="s">
        <v>70</v>
      </c>
      <c r="F74" s="74" t="s">
        <v>1103</v>
      </c>
      <c r="G74" s="28" t="s">
        <v>1104</v>
      </c>
      <c r="H74" s="28" t="s">
        <v>1105</v>
      </c>
      <c r="I74" s="31" t="s">
        <v>3843</v>
      </c>
      <c r="J74" s="73" t="s">
        <v>3611</v>
      </c>
      <c r="K74" s="23" t="s">
        <v>4237</v>
      </c>
      <c r="L74" s="60" t="s">
        <v>3289</v>
      </c>
      <c r="M74" s="60" t="s">
        <v>3289</v>
      </c>
      <c r="N74" s="60" t="s">
        <v>3291</v>
      </c>
      <c r="O74" s="60"/>
      <c r="P74" s="60" t="s">
        <v>5493</v>
      </c>
      <c r="Q74" s="20">
        <v>4</v>
      </c>
    </row>
    <row r="75" spans="1:17" ht="96" x14ac:dyDescent="0.2">
      <c r="A75" s="71">
        <v>74</v>
      </c>
      <c r="B75" s="107" t="str">
        <f>HYPERLINK("https://www.ncbi.nlm.nih.gov/gene/540", "540")</f>
        <v>540</v>
      </c>
      <c r="C75" s="109" t="str">
        <f>HYPERLINK("https://www.uniprot.org/uniprot/P35670", "P35670")</f>
        <v>P35670</v>
      </c>
      <c r="D75" s="43" t="s">
        <v>71</v>
      </c>
      <c r="E75" s="16" t="s">
        <v>71</v>
      </c>
      <c r="F75" s="12" t="s">
        <v>1106</v>
      </c>
      <c r="G75" s="28" t="s">
        <v>1107</v>
      </c>
      <c r="H75" s="28" t="s">
        <v>3612</v>
      </c>
      <c r="I75" s="31" t="s">
        <v>3843</v>
      </c>
      <c r="J75" s="73" t="s">
        <v>3610</v>
      </c>
      <c r="K75" s="23" t="s">
        <v>4238</v>
      </c>
      <c r="L75" s="60" t="s">
        <v>3289</v>
      </c>
      <c r="M75" s="60" t="s">
        <v>3289</v>
      </c>
      <c r="N75" s="60" t="s">
        <v>3291</v>
      </c>
      <c r="O75" s="60"/>
      <c r="P75" s="60" t="s">
        <v>5493</v>
      </c>
      <c r="Q75" s="20">
        <v>4</v>
      </c>
    </row>
    <row r="76" spans="1:17" ht="80" x14ac:dyDescent="0.2">
      <c r="A76" s="71">
        <v>75</v>
      </c>
      <c r="B76" s="107" t="str">
        <f>HYPERLINK("https://www.ncbi.nlm.nih.gov/gene/545", "545")</f>
        <v>545</v>
      </c>
      <c r="C76" s="109" t="str">
        <f>HYPERLINK("https://www.uniprot.org/uniprot/Q13535", "Q13535")</f>
        <v>Q13535</v>
      </c>
      <c r="D76" s="43" t="s">
        <v>72</v>
      </c>
      <c r="E76" s="16" t="s">
        <v>72</v>
      </c>
      <c r="F76" s="11" t="s">
        <v>3518</v>
      </c>
      <c r="G76" s="28" t="s">
        <v>3519</v>
      </c>
      <c r="H76" s="6" t="s">
        <v>3918</v>
      </c>
      <c r="I76" s="49" t="s">
        <v>5101</v>
      </c>
      <c r="J76" s="73">
        <v>25560806</v>
      </c>
      <c r="K76" s="16" t="s">
        <v>3698</v>
      </c>
      <c r="L76" s="60" t="s">
        <v>3295</v>
      </c>
      <c r="M76" s="60" t="s">
        <v>3295</v>
      </c>
      <c r="N76" s="60" t="s">
        <v>3291</v>
      </c>
      <c r="O76" s="60"/>
      <c r="P76" s="60" t="s">
        <v>3323</v>
      </c>
      <c r="Q76" s="20">
        <v>1</v>
      </c>
    </row>
    <row r="77" spans="1:17" ht="64" x14ac:dyDescent="0.2">
      <c r="A77" s="71">
        <v>76</v>
      </c>
      <c r="B77" s="107" t="str">
        <f>HYPERLINK("https://www.ncbi.nlm.nih.gov/gene/84126", "84126")</f>
        <v>84126</v>
      </c>
      <c r="C77" s="109" t="str">
        <f>HYPERLINK("https://www.uniprot.org/uniprot/Q8WXE1", "Q8WXE1")</f>
        <v>Q8WXE1</v>
      </c>
      <c r="D77" s="43" t="s">
        <v>73</v>
      </c>
      <c r="E77" s="16" t="s">
        <v>73</v>
      </c>
      <c r="F77" s="11" t="s">
        <v>1108</v>
      </c>
      <c r="G77" s="28" t="s">
        <v>1109</v>
      </c>
      <c r="H77" s="6" t="s">
        <v>3413</v>
      </c>
      <c r="I77" s="49" t="s">
        <v>2826</v>
      </c>
      <c r="J77" s="73" t="s">
        <v>3676</v>
      </c>
      <c r="K77" s="16" t="s">
        <v>3699</v>
      </c>
      <c r="L77" s="60" t="s">
        <v>3295</v>
      </c>
      <c r="M77" s="60" t="s">
        <v>3295</v>
      </c>
      <c r="N77" s="60" t="s">
        <v>3291</v>
      </c>
      <c r="O77" s="60"/>
      <c r="P77" s="60" t="s">
        <v>3323</v>
      </c>
      <c r="Q77" s="20">
        <v>1</v>
      </c>
    </row>
    <row r="78" spans="1:17" ht="144" x14ac:dyDescent="0.2">
      <c r="A78" s="71">
        <v>77</v>
      </c>
      <c r="B78" s="107" t="str">
        <f>HYPERLINK("https://www.ncbi.nlm.nih.gov/gene/6790", "6790")</f>
        <v>6790</v>
      </c>
      <c r="C78" s="109" t="str">
        <f>HYPERLINK("https://www.uniprot.org/uniprot/O14965", "O14965")</f>
        <v>O14965</v>
      </c>
      <c r="D78" s="43" t="s">
        <v>74</v>
      </c>
      <c r="E78" s="16" t="s">
        <v>74</v>
      </c>
      <c r="F78" s="11" t="s">
        <v>1110</v>
      </c>
      <c r="G78" s="28" t="s">
        <v>1111</v>
      </c>
      <c r="H78" s="6" t="s">
        <v>3904</v>
      </c>
      <c r="I78" s="49" t="s">
        <v>5102</v>
      </c>
      <c r="J78" s="73" t="s">
        <v>3841</v>
      </c>
      <c r="K78" s="13" t="s">
        <v>3877</v>
      </c>
      <c r="L78" s="60" t="s">
        <v>3289</v>
      </c>
      <c r="M78" s="60" t="s">
        <v>3289</v>
      </c>
      <c r="N78" s="60" t="s">
        <v>3291</v>
      </c>
      <c r="O78" s="60"/>
      <c r="P78" s="60" t="s">
        <v>5494</v>
      </c>
      <c r="Q78" s="20">
        <v>5</v>
      </c>
    </row>
    <row r="79" spans="1:17" ht="80" x14ac:dyDescent="0.2">
      <c r="A79" s="71">
        <v>78</v>
      </c>
      <c r="B79" s="107" t="str">
        <f>HYPERLINK("https://www.ncbi.nlm.nih.gov/gene/558", "558")</f>
        <v>558</v>
      </c>
      <c r="C79" s="109" t="str">
        <f>HYPERLINK("https://www.uniprot.org/uniprot/P30530", "P30530")</f>
        <v>P30530</v>
      </c>
      <c r="D79" s="43" t="s">
        <v>75</v>
      </c>
      <c r="E79" s="16" t="s">
        <v>75</v>
      </c>
      <c r="F79" s="11" t="s">
        <v>1112</v>
      </c>
      <c r="G79" s="28" t="s">
        <v>1113</v>
      </c>
      <c r="H79" s="6" t="s">
        <v>1114</v>
      </c>
      <c r="I79" s="49" t="s">
        <v>5070</v>
      </c>
      <c r="J79" s="73">
        <v>23117882</v>
      </c>
      <c r="K79" s="13" t="s">
        <v>3700</v>
      </c>
      <c r="L79" s="60" t="s">
        <v>3289</v>
      </c>
      <c r="M79" s="60" t="s">
        <v>3289</v>
      </c>
      <c r="N79" s="60" t="s">
        <v>3291</v>
      </c>
      <c r="O79" s="60"/>
      <c r="P79" s="60" t="s">
        <v>5492</v>
      </c>
      <c r="Q79" s="20">
        <v>4</v>
      </c>
    </row>
    <row r="80" spans="1:17" ht="112" x14ac:dyDescent="0.2">
      <c r="A80" s="71">
        <v>79</v>
      </c>
      <c r="B80" s="107" t="str">
        <f>HYPERLINK("https://www.ncbi.nlm.nih.gov/gene/572", "572")</f>
        <v>572</v>
      </c>
      <c r="C80" s="109" t="str">
        <f>HYPERLINK("https://www.uniprot.org/uniprot/Q92934", "Q92934")</f>
        <v>Q92934</v>
      </c>
      <c r="D80" s="43" t="s">
        <v>76</v>
      </c>
      <c r="E80" s="16" t="s">
        <v>76</v>
      </c>
      <c r="F80" s="11" t="s">
        <v>1115</v>
      </c>
      <c r="G80" s="28" t="s">
        <v>1116</v>
      </c>
      <c r="H80" s="6" t="s">
        <v>1117</v>
      </c>
      <c r="I80" s="49" t="s">
        <v>5103</v>
      </c>
      <c r="J80" s="73" t="s">
        <v>3856</v>
      </c>
      <c r="K80" s="13" t="s">
        <v>3855</v>
      </c>
      <c r="L80" s="60" t="s">
        <v>3296</v>
      </c>
      <c r="M80" s="60" t="s">
        <v>3296</v>
      </c>
      <c r="N80" s="60" t="s">
        <v>3291</v>
      </c>
      <c r="O80" s="60"/>
      <c r="P80" s="60" t="s">
        <v>5493</v>
      </c>
      <c r="Q80" s="20">
        <v>4</v>
      </c>
    </row>
    <row r="81" spans="1:17" ht="96" x14ac:dyDescent="0.2">
      <c r="A81" s="71">
        <v>80</v>
      </c>
      <c r="B81" s="107" t="str">
        <f>HYPERLINK("https://www.ncbi.nlm.nih.gov/gene/9531", "9531")</f>
        <v>9531</v>
      </c>
      <c r="C81" s="109" t="str">
        <f>HYPERLINK("https://www.uniprot.org/uniprot/O95817", "O95817")</f>
        <v>O95817</v>
      </c>
      <c r="D81" s="43" t="s">
        <v>77</v>
      </c>
      <c r="E81" s="16" t="s">
        <v>77</v>
      </c>
      <c r="F81" s="11" t="s">
        <v>1118</v>
      </c>
      <c r="G81" s="28" t="s">
        <v>1119</v>
      </c>
      <c r="H81" s="6" t="s">
        <v>1120</v>
      </c>
      <c r="I81" s="49" t="s">
        <v>5104</v>
      </c>
      <c r="J81" s="73" t="s">
        <v>2897</v>
      </c>
      <c r="K81" s="13" t="s">
        <v>3701</v>
      </c>
      <c r="L81" s="60" t="s">
        <v>3289</v>
      </c>
      <c r="M81" s="60" t="s">
        <v>3289</v>
      </c>
      <c r="N81" s="60" t="s">
        <v>3291</v>
      </c>
      <c r="O81" s="60"/>
      <c r="P81" s="60" t="s">
        <v>5492</v>
      </c>
      <c r="Q81" s="20">
        <v>4</v>
      </c>
    </row>
    <row r="82" spans="1:17" ht="128" x14ac:dyDescent="0.2">
      <c r="A82" s="71">
        <v>81</v>
      </c>
      <c r="B82" s="107" t="str">
        <f>HYPERLINK("https://www.ncbi.nlm.nih.gov/gene/578", "578")</f>
        <v>578</v>
      </c>
      <c r="C82" s="109" t="str">
        <f>HYPERLINK("https://www.uniprot.org/uniprot/Q16611", "Q16611")</f>
        <v>Q16611</v>
      </c>
      <c r="D82" s="43" t="s">
        <v>78</v>
      </c>
      <c r="E82" s="16" t="s">
        <v>78</v>
      </c>
      <c r="F82" s="74" t="s">
        <v>1121</v>
      </c>
      <c r="G82" s="28" t="s">
        <v>1122</v>
      </c>
      <c r="H82" s="28" t="s">
        <v>1123</v>
      </c>
      <c r="I82" s="31" t="s">
        <v>2828</v>
      </c>
      <c r="J82" s="73" t="s">
        <v>2898</v>
      </c>
      <c r="K82" s="23" t="s">
        <v>4239</v>
      </c>
      <c r="L82" s="60" t="s">
        <v>3292</v>
      </c>
      <c r="M82" s="60" t="s">
        <v>3292</v>
      </c>
      <c r="N82" s="60" t="s">
        <v>3291</v>
      </c>
      <c r="O82" s="60"/>
      <c r="P82" s="60" t="s">
        <v>3323</v>
      </c>
      <c r="Q82" s="20">
        <v>1</v>
      </c>
    </row>
    <row r="83" spans="1:17" ht="80" x14ac:dyDescent="0.2">
      <c r="A83" s="71">
        <v>82</v>
      </c>
      <c r="B83" s="107" t="str">
        <f>HYPERLINK("https://www.ncbi.nlm.nih.gov/gene/8314", "8314")</f>
        <v>8314</v>
      </c>
      <c r="C83" s="109" t="str">
        <f>HYPERLINK("https://www.uniprot.org/uniprot/Q92560", "Q92560")</f>
        <v>Q92560</v>
      </c>
      <c r="D83" s="43" t="s">
        <v>79</v>
      </c>
      <c r="E83" s="16" t="s">
        <v>79</v>
      </c>
      <c r="F83" s="11" t="s">
        <v>1124</v>
      </c>
      <c r="G83" s="28" t="s">
        <v>1125</v>
      </c>
      <c r="H83" s="6" t="s">
        <v>3919</v>
      </c>
      <c r="I83" s="49" t="s">
        <v>5105</v>
      </c>
      <c r="J83" s="73" t="s">
        <v>3355</v>
      </c>
      <c r="K83" s="16" t="s">
        <v>3575</v>
      </c>
      <c r="L83" s="60" t="s">
        <v>3292</v>
      </c>
      <c r="M83" s="60" t="s">
        <v>3292</v>
      </c>
      <c r="N83" s="60" t="s">
        <v>3291</v>
      </c>
      <c r="O83" s="60"/>
      <c r="P83" s="60" t="s">
        <v>5493</v>
      </c>
      <c r="Q83" s="20">
        <v>4</v>
      </c>
    </row>
    <row r="84" spans="1:17" ht="96" x14ac:dyDescent="0.2">
      <c r="A84" s="71">
        <v>83</v>
      </c>
      <c r="B84" s="107" t="str">
        <f>HYPERLINK("https://www.ncbi.nlm.nih.gov/gene/580", "580")</f>
        <v>580</v>
      </c>
      <c r="C84" s="109" t="str">
        <f>HYPERLINK("https://www.uniprot.org/uniprot/Q99728", "Q99728")</f>
        <v>Q99728</v>
      </c>
      <c r="D84" s="43" t="s">
        <v>80</v>
      </c>
      <c r="E84" s="16" t="s">
        <v>80</v>
      </c>
      <c r="F84" s="11"/>
      <c r="G84" s="28" t="s">
        <v>1126</v>
      </c>
      <c r="H84" s="6" t="s">
        <v>3920</v>
      </c>
      <c r="I84" s="49" t="s">
        <v>3332</v>
      </c>
      <c r="J84" s="73" t="s">
        <v>2899</v>
      </c>
      <c r="K84" s="16" t="s">
        <v>3702</v>
      </c>
      <c r="L84" s="60" t="s">
        <v>3289</v>
      </c>
      <c r="M84" s="60" t="s">
        <v>3289</v>
      </c>
      <c r="N84" s="60" t="s">
        <v>3289</v>
      </c>
      <c r="O84" s="60"/>
      <c r="P84" s="60" t="s">
        <v>3323</v>
      </c>
      <c r="Q84" s="20">
        <v>1</v>
      </c>
    </row>
    <row r="85" spans="1:17" ht="144" x14ac:dyDescent="0.2">
      <c r="A85" s="71">
        <v>84</v>
      </c>
      <c r="B85" s="107" t="str">
        <f>HYPERLINK("https://www.ncbi.nlm.nih.gov/gene/581", "581")</f>
        <v>581</v>
      </c>
      <c r="C85" s="109" t="str">
        <f>HYPERLINK("https://www.uniprot.org/uniprot/Q07812", "Q07812")</f>
        <v>Q07812</v>
      </c>
      <c r="D85" s="43" t="s">
        <v>81</v>
      </c>
      <c r="E85" s="16" t="s">
        <v>81</v>
      </c>
      <c r="F85" s="74" t="s">
        <v>1127</v>
      </c>
      <c r="G85" s="28" t="s">
        <v>4966</v>
      </c>
      <c r="H85" s="28" t="s">
        <v>1128</v>
      </c>
      <c r="I85" s="31" t="s">
        <v>2828</v>
      </c>
      <c r="J85" s="73" t="s">
        <v>3857</v>
      </c>
      <c r="K85" s="23" t="s">
        <v>4240</v>
      </c>
      <c r="L85" s="60" t="s">
        <v>3292</v>
      </c>
      <c r="M85" s="60" t="s">
        <v>3292</v>
      </c>
      <c r="N85" s="60" t="s">
        <v>3300</v>
      </c>
      <c r="O85" s="60"/>
      <c r="P85" s="60" t="s">
        <v>5493</v>
      </c>
      <c r="Q85" s="20">
        <v>4</v>
      </c>
    </row>
    <row r="86" spans="1:17" ht="80" x14ac:dyDescent="0.2">
      <c r="A86" s="71">
        <v>85</v>
      </c>
      <c r="B86" s="107" t="str">
        <f>HYPERLINK("https://www.ncbi.nlm.nih.gov/gene/27113", "27113")</f>
        <v>27113</v>
      </c>
      <c r="C86" s="109" t="str">
        <f>HYPERLINK("https://www.uniprot.org/uniprot/Q9BXH1", "Q9BXH1")</f>
        <v>Q9BXH1</v>
      </c>
      <c r="D86" s="43" t="s">
        <v>82</v>
      </c>
      <c r="E86" s="16" t="s">
        <v>82</v>
      </c>
      <c r="F86" s="74" t="s">
        <v>1129</v>
      </c>
      <c r="G86" s="28" t="s">
        <v>1130</v>
      </c>
      <c r="H86" s="28" t="s">
        <v>3921</v>
      </c>
      <c r="I86" s="31" t="s">
        <v>5106</v>
      </c>
      <c r="J86" s="73" t="s">
        <v>3663</v>
      </c>
      <c r="K86" s="23" t="s">
        <v>4241</v>
      </c>
      <c r="L86" s="60" t="s">
        <v>3292</v>
      </c>
      <c r="M86" s="60" t="s">
        <v>3292</v>
      </c>
      <c r="N86" s="60" t="s">
        <v>3289</v>
      </c>
      <c r="O86" s="60"/>
      <c r="P86" s="60" t="s">
        <v>5495</v>
      </c>
      <c r="Q86" s="20">
        <v>2</v>
      </c>
    </row>
    <row r="87" spans="1:17" ht="48" x14ac:dyDescent="0.2">
      <c r="A87" s="71">
        <v>86</v>
      </c>
      <c r="B87" s="107" t="str">
        <f>HYPERLINK("https://www.ncbi.nlm.nih.gov/gene/586", "586")</f>
        <v>586</v>
      </c>
      <c r="C87" s="113" t="str">
        <f>HYPERLINK("https://www.uniprot.org/uniprot/P54687", "P54687")</f>
        <v>P54687</v>
      </c>
      <c r="D87" s="43" t="s">
        <v>83</v>
      </c>
      <c r="E87" s="16" t="s">
        <v>83</v>
      </c>
      <c r="F87" s="74" t="s">
        <v>1131</v>
      </c>
      <c r="G87" s="31" t="s">
        <v>1132</v>
      </c>
      <c r="H87" s="31" t="s">
        <v>1133</v>
      </c>
      <c r="I87" s="31" t="s">
        <v>3378</v>
      </c>
      <c r="J87" s="73">
        <v>27246112</v>
      </c>
      <c r="K87" s="23" t="s">
        <v>4242</v>
      </c>
      <c r="L87" s="60" t="s">
        <v>3289</v>
      </c>
      <c r="M87" s="60" t="s">
        <v>3289</v>
      </c>
      <c r="N87" s="60" t="s">
        <v>3291</v>
      </c>
      <c r="O87" s="60"/>
      <c r="P87" s="60" t="s">
        <v>5492</v>
      </c>
      <c r="Q87" s="64">
        <v>4</v>
      </c>
    </row>
    <row r="88" spans="1:17" ht="192" x14ac:dyDescent="0.2">
      <c r="A88" s="71">
        <v>87</v>
      </c>
      <c r="B88" s="107" t="str">
        <f>HYPERLINK("https://www.ncbi.nlm.nih.gov/gene/596", "596")</f>
        <v>596</v>
      </c>
      <c r="C88" s="109" t="str">
        <f>HYPERLINK("https://www.uniprot.org/uniprot/P10415", "P10415")</f>
        <v>P10415</v>
      </c>
      <c r="D88" s="43" t="s">
        <v>84</v>
      </c>
      <c r="E88" s="16" t="s">
        <v>84</v>
      </c>
      <c r="F88" s="74" t="s">
        <v>1134</v>
      </c>
      <c r="G88" s="28" t="s">
        <v>1135</v>
      </c>
      <c r="H88" s="28" t="s">
        <v>1136</v>
      </c>
      <c r="I88" s="31" t="s">
        <v>2828</v>
      </c>
      <c r="J88" s="73" t="s">
        <v>3859</v>
      </c>
      <c r="K88" s="23" t="s">
        <v>4243</v>
      </c>
      <c r="L88" s="60" t="s">
        <v>3289</v>
      </c>
      <c r="M88" s="60" t="s">
        <v>3289</v>
      </c>
      <c r="N88" s="60" t="s">
        <v>3291</v>
      </c>
      <c r="O88" s="60"/>
      <c r="P88" s="60" t="s">
        <v>5493</v>
      </c>
      <c r="Q88" s="20">
        <v>4</v>
      </c>
    </row>
    <row r="89" spans="1:17" ht="96" x14ac:dyDescent="0.2">
      <c r="A89" s="71">
        <v>88</v>
      </c>
      <c r="B89" s="107" t="str">
        <f>HYPERLINK("https://www.ncbi.nlm.nih.gov/gene/597", "597")</f>
        <v>597</v>
      </c>
      <c r="C89" s="109" t="str">
        <f>HYPERLINK("https://www.uniprot.org/uniprot/Q16548", "Q16548")</f>
        <v>Q16548</v>
      </c>
      <c r="D89" s="43" t="s">
        <v>3488</v>
      </c>
      <c r="E89" s="16" t="s">
        <v>3488</v>
      </c>
      <c r="F89" s="74" t="s">
        <v>3489</v>
      </c>
      <c r="G89" s="28" t="s">
        <v>3490</v>
      </c>
      <c r="H89" s="28" t="s">
        <v>3922</v>
      </c>
      <c r="I89" s="31" t="s">
        <v>2828</v>
      </c>
      <c r="J89" s="73" t="s">
        <v>3491</v>
      </c>
      <c r="K89" s="23" t="s">
        <v>4244</v>
      </c>
      <c r="L89" s="60" t="s">
        <v>3291</v>
      </c>
      <c r="M89" s="60" t="s">
        <v>3289</v>
      </c>
      <c r="N89" s="60" t="s">
        <v>3292</v>
      </c>
      <c r="O89" s="60"/>
      <c r="P89" s="60" t="s">
        <v>3323</v>
      </c>
      <c r="Q89" s="20">
        <v>1</v>
      </c>
    </row>
    <row r="90" spans="1:17" ht="160" x14ac:dyDescent="0.2">
      <c r="A90" s="71">
        <v>89</v>
      </c>
      <c r="B90" s="107" t="str">
        <f>HYPERLINK("https://www.ncbi.nlm.nih.gov/gene/598", "598")</f>
        <v>598</v>
      </c>
      <c r="C90" s="109" t="str">
        <f>HYPERLINK("https://www.uniprot.org/uniprot/Q07817", "Q07817")</f>
        <v>Q07817</v>
      </c>
      <c r="D90" s="43" t="s">
        <v>85</v>
      </c>
      <c r="E90" s="16" t="s">
        <v>85</v>
      </c>
      <c r="F90" s="74" t="s">
        <v>1137</v>
      </c>
      <c r="G90" s="28" t="s">
        <v>1138</v>
      </c>
      <c r="H90" s="28" t="s">
        <v>3923</v>
      </c>
      <c r="I90" s="31" t="s">
        <v>5106</v>
      </c>
      <c r="J90" s="73" t="s">
        <v>3860</v>
      </c>
      <c r="K90" s="23" t="s">
        <v>4245</v>
      </c>
      <c r="L90" s="60" t="s">
        <v>3300</v>
      </c>
      <c r="M90" s="60" t="s">
        <v>3289</v>
      </c>
      <c r="N90" s="60" t="s">
        <v>3292</v>
      </c>
      <c r="O90" s="60"/>
      <c r="P90" s="60" t="s">
        <v>5499</v>
      </c>
      <c r="Q90" s="20">
        <v>5</v>
      </c>
    </row>
    <row r="91" spans="1:17" ht="80" x14ac:dyDescent="0.2">
      <c r="A91" s="71">
        <v>90</v>
      </c>
      <c r="B91" s="107" t="str">
        <f>HYPERLINK("https://www.ncbi.nlm.nih.gov/gene/10018", "10018")</f>
        <v>10018</v>
      </c>
      <c r="C91" s="109" t="str">
        <f>HYPERLINK("https://www.uniprot.org/uniprot/O43521", "O43521")</f>
        <v>O43521</v>
      </c>
      <c r="D91" s="43" t="s">
        <v>86</v>
      </c>
      <c r="E91" s="16" t="s">
        <v>86</v>
      </c>
      <c r="F91" s="74" t="s">
        <v>1139</v>
      </c>
      <c r="G91" s="28" t="s">
        <v>1140</v>
      </c>
      <c r="H91" s="28" t="s">
        <v>3924</v>
      </c>
      <c r="I91" s="31" t="s">
        <v>5107</v>
      </c>
      <c r="J91" s="73" t="s">
        <v>2900</v>
      </c>
      <c r="K91" s="23" t="s">
        <v>4246</v>
      </c>
      <c r="L91" s="60" t="s">
        <v>3296</v>
      </c>
      <c r="M91" s="60" t="s">
        <v>3292</v>
      </c>
      <c r="N91" s="60" t="s">
        <v>3296</v>
      </c>
      <c r="O91" s="60"/>
      <c r="P91" s="60" t="s">
        <v>3323</v>
      </c>
      <c r="Q91" s="20">
        <v>1</v>
      </c>
    </row>
    <row r="92" spans="1:17" ht="48" x14ac:dyDescent="0.2">
      <c r="A92" s="71">
        <v>91</v>
      </c>
      <c r="B92" s="107" t="str">
        <f>HYPERLINK("https://www.ncbi.nlm.nih.gov/gene/599", "599")</f>
        <v>599</v>
      </c>
      <c r="C92" s="109" t="str">
        <f>HYPERLINK("https://www.uniprot.org/uniprot/Q92843", "Q92843")</f>
        <v>Q92843</v>
      </c>
      <c r="D92" s="43" t="s">
        <v>87</v>
      </c>
      <c r="E92" s="16" t="s">
        <v>87</v>
      </c>
      <c r="F92" s="74" t="s">
        <v>1141</v>
      </c>
      <c r="G92" s="28" t="s">
        <v>1142</v>
      </c>
      <c r="H92" s="28" t="s">
        <v>3925</v>
      </c>
      <c r="I92" s="31" t="s">
        <v>2828</v>
      </c>
      <c r="J92" s="73">
        <v>30019389</v>
      </c>
      <c r="K92" s="23" t="s">
        <v>4247</v>
      </c>
      <c r="L92" s="60" t="s">
        <v>3289</v>
      </c>
      <c r="M92" s="60" t="s">
        <v>3289</v>
      </c>
      <c r="N92" s="60" t="s">
        <v>3291</v>
      </c>
      <c r="O92" s="60"/>
      <c r="P92" s="60" t="s">
        <v>5495</v>
      </c>
      <c r="Q92" s="20">
        <v>2</v>
      </c>
    </row>
    <row r="93" spans="1:17" ht="112" x14ac:dyDescent="0.2">
      <c r="A93" s="71">
        <v>92</v>
      </c>
      <c r="B93" s="107" t="str">
        <f>HYPERLINK("https://www.ncbi.nlm.nih.gov/gene/8678", "8678")</f>
        <v>8678</v>
      </c>
      <c r="C93" s="109" t="str">
        <f>HYPERLINK("https://www.uniprot.org/uniprot/Q14457", "Q14457")</f>
        <v>Q14457</v>
      </c>
      <c r="D93" s="43" t="s">
        <v>88</v>
      </c>
      <c r="E93" s="16" t="s">
        <v>88</v>
      </c>
      <c r="F93" s="74" t="s">
        <v>1143</v>
      </c>
      <c r="G93" s="28" t="s">
        <v>1144</v>
      </c>
      <c r="H93" s="28" t="s">
        <v>4248</v>
      </c>
      <c r="I93" s="31" t="s">
        <v>2838</v>
      </c>
      <c r="J93" s="73" t="s">
        <v>2901</v>
      </c>
      <c r="K93" s="23" t="s">
        <v>4249</v>
      </c>
      <c r="L93" s="60" t="s">
        <v>3291</v>
      </c>
      <c r="M93" s="60" t="s">
        <v>3289</v>
      </c>
      <c r="N93" s="60" t="s">
        <v>3289</v>
      </c>
      <c r="O93" s="60"/>
      <c r="P93" s="60" t="s">
        <v>5492</v>
      </c>
      <c r="Q93" s="20">
        <v>4</v>
      </c>
    </row>
    <row r="94" spans="1:17" ht="48" x14ac:dyDescent="0.2">
      <c r="A94" s="71">
        <v>93</v>
      </c>
      <c r="B94" s="107" t="str">
        <f>HYPERLINK("https://www.ncbi.nlm.nih.gov/gene/27018", "27018")</f>
        <v>27018</v>
      </c>
      <c r="C94" s="111" t="str">
        <f>HYPERLINK("https://www.uniprot.org/uniprot/Q00994", "Q00994")</f>
        <v>Q00994</v>
      </c>
      <c r="D94" s="43" t="s">
        <v>89</v>
      </c>
      <c r="E94" s="16" t="s">
        <v>89</v>
      </c>
      <c r="F94" s="74" t="s">
        <v>1145</v>
      </c>
      <c r="G94" s="28" t="s">
        <v>1146</v>
      </c>
      <c r="H94" s="28" t="s">
        <v>3926</v>
      </c>
      <c r="I94" s="31" t="s">
        <v>2827</v>
      </c>
      <c r="J94" s="73">
        <v>28083995</v>
      </c>
      <c r="K94" s="23" t="s">
        <v>4250</v>
      </c>
      <c r="L94" s="60" t="s">
        <v>3289</v>
      </c>
      <c r="M94" s="60" t="s">
        <v>3289</v>
      </c>
      <c r="N94" s="60" t="s">
        <v>3289</v>
      </c>
      <c r="O94" s="60"/>
      <c r="P94" s="60" t="s">
        <v>5495</v>
      </c>
      <c r="Q94" s="20">
        <v>2</v>
      </c>
    </row>
    <row r="95" spans="1:17" ht="80" x14ac:dyDescent="0.2">
      <c r="A95" s="71">
        <v>94</v>
      </c>
      <c r="B95" s="107" t="str">
        <f>HYPERLINK("https://www.ncbi.nlm.nih.gov/gene/8553", "8553")</f>
        <v>8553</v>
      </c>
      <c r="C95" s="109" t="str">
        <f>HYPERLINK("https://www.uniprot.org/uniprot/O14503", "O14503")</f>
        <v>O14503</v>
      </c>
      <c r="D95" s="43" t="s">
        <v>90</v>
      </c>
      <c r="E95" s="16" t="s">
        <v>90</v>
      </c>
      <c r="F95" s="83" t="s">
        <v>1147</v>
      </c>
      <c r="G95" s="28" t="s">
        <v>1148</v>
      </c>
      <c r="H95" s="28" t="s">
        <v>1149</v>
      </c>
      <c r="I95" s="31" t="s">
        <v>2828</v>
      </c>
      <c r="J95" s="73" t="s">
        <v>2902</v>
      </c>
      <c r="K95" s="23" t="s">
        <v>4251</v>
      </c>
      <c r="L95" s="60" t="s">
        <v>3292</v>
      </c>
      <c r="M95" s="60" t="s">
        <v>3292</v>
      </c>
      <c r="N95" s="60" t="s">
        <v>3289</v>
      </c>
      <c r="O95" s="60"/>
      <c r="P95" s="60" t="s">
        <v>5493</v>
      </c>
      <c r="Q95" s="20">
        <v>4</v>
      </c>
    </row>
    <row r="96" spans="1:17" ht="96" x14ac:dyDescent="0.2">
      <c r="A96" s="71">
        <v>95</v>
      </c>
      <c r="B96" s="107" t="str">
        <f>HYPERLINK("https://www.ncbi.nlm.nih.gov/gene/637", "637")</f>
        <v>637</v>
      </c>
      <c r="C96" s="109" t="str">
        <f>HYPERLINK("https://www.uniprot.org/uniprot/P55957", "P55957")</f>
        <v>P55957</v>
      </c>
      <c r="D96" s="43" t="s">
        <v>91</v>
      </c>
      <c r="E96" s="16" t="s">
        <v>91</v>
      </c>
      <c r="F96" s="83"/>
      <c r="G96" s="28" t="s">
        <v>1150</v>
      </c>
      <c r="H96" s="28" t="s">
        <v>1151</v>
      </c>
      <c r="I96" s="31" t="s">
        <v>2828</v>
      </c>
      <c r="J96" s="73" t="s">
        <v>3858</v>
      </c>
      <c r="K96" s="23" t="s">
        <v>4252</v>
      </c>
      <c r="L96" s="60" t="s">
        <v>3291</v>
      </c>
      <c r="M96" s="60" t="s">
        <v>3292</v>
      </c>
      <c r="N96" s="60" t="s">
        <v>3289</v>
      </c>
      <c r="O96" s="60"/>
      <c r="P96" s="60" t="s">
        <v>5495</v>
      </c>
      <c r="Q96" s="20">
        <v>2</v>
      </c>
    </row>
    <row r="97" spans="1:17" ht="80" x14ac:dyDescent="0.2">
      <c r="A97" s="71">
        <v>96</v>
      </c>
      <c r="B97" s="107" t="str">
        <f>HYPERLINK("https://www.ncbi.nlm.nih.gov/gene/638", "638")</f>
        <v>638</v>
      </c>
      <c r="C97" s="109" t="str">
        <f>HYPERLINK("https://www.uniprot.org/uniprot/Q13323", "Q13323")</f>
        <v>Q13323</v>
      </c>
      <c r="D97" s="43" t="s">
        <v>92</v>
      </c>
      <c r="E97" s="16" t="s">
        <v>92</v>
      </c>
      <c r="F97" s="83" t="s">
        <v>1152</v>
      </c>
      <c r="G97" s="28" t="s">
        <v>1153</v>
      </c>
      <c r="H97" s="28" t="s">
        <v>1154</v>
      </c>
      <c r="I97" s="31" t="s">
        <v>2828</v>
      </c>
      <c r="J97" s="73">
        <v>30176890</v>
      </c>
      <c r="K97" s="23" t="s">
        <v>4253</v>
      </c>
      <c r="L97" s="60" t="s">
        <v>3291</v>
      </c>
      <c r="M97" s="60" t="s">
        <v>3292</v>
      </c>
      <c r="N97" s="60" t="s">
        <v>3289</v>
      </c>
      <c r="O97" s="60"/>
      <c r="P97" s="60" t="s">
        <v>3323</v>
      </c>
      <c r="Q97" s="20">
        <v>1</v>
      </c>
    </row>
    <row r="98" spans="1:17" ht="112" x14ac:dyDescent="0.2">
      <c r="A98" s="71">
        <v>97</v>
      </c>
      <c r="B98" s="107" t="str">
        <f>HYPERLINK("https://www.ncbi.nlm.nih.gov/gene/274", "274")</f>
        <v>274</v>
      </c>
      <c r="C98" s="109" t="str">
        <f>HYPERLINK("https://www.uniprot.org/uniprot/O00499", "O00499")</f>
        <v>O00499</v>
      </c>
      <c r="D98" s="43" t="s">
        <v>93</v>
      </c>
      <c r="E98" s="16" t="s">
        <v>93</v>
      </c>
      <c r="F98" s="83" t="s">
        <v>1155</v>
      </c>
      <c r="G98" s="28" t="s">
        <v>1156</v>
      </c>
      <c r="H98" s="28" t="s">
        <v>3927</v>
      </c>
      <c r="I98" s="31" t="s">
        <v>5108</v>
      </c>
      <c r="J98" s="73" t="s">
        <v>2903</v>
      </c>
      <c r="K98" s="23" t="s">
        <v>4254</v>
      </c>
      <c r="L98" s="60" t="s">
        <v>3292</v>
      </c>
      <c r="M98" s="60" t="s">
        <v>3292</v>
      </c>
      <c r="N98" s="60" t="s">
        <v>3291</v>
      </c>
      <c r="O98" s="60"/>
      <c r="P98" s="60" t="s">
        <v>3323</v>
      </c>
      <c r="Q98" s="20">
        <v>1</v>
      </c>
    </row>
    <row r="99" spans="1:17" ht="96" x14ac:dyDescent="0.2">
      <c r="A99" s="71">
        <v>98</v>
      </c>
      <c r="B99" s="107" t="str">
        <f>HYPERLINK("https://www.ncbi.nlm.nih.gov/gene/329", "329")</f>
        <v>329</v>
      </c>
      <c r="C99" s="109" t="str">
        <f>HYPERLINK("https://www.uniprot.org/uniprot/Q13490", "Q13490")</f>
        <v>Q13490</v>
      </c>
      <c r="D99" s="43" t="s">
        <v>94</v>
      </c>
      <c r="E99" s="16" t="s">
        <v>94</v>
      </c>
      <c r="F99" s="83" t="s">
        <v>1157</v>
      </c>
      <c r="G99" s="28" t="s">
        <v>1158</v>
      </c>
      <c r="H99" s="28" t="s">
        <v>1159</v>
      </c>
      <c r="I99" s="31" t="s">
        <v>5109</v>
      </c>
      <c r="J99" s="73" t="s">
        <v>2904</v>
      </c>
      <c r="K99" s="23" t="s">
        <v>4255</v>
      </c>
      <c r="L99" s="60" t="s">
        <v>3289</v>
      </c>
      <c r="M99" s="60" t="s">
        <v>3289</v>
      </c>
      <c r="N99" s="60" t="s">
        <v>5523</v>
      </c>
      <c r="O99" s="60"/>
      <c r="P99" s="60" t="s">
        <v>5494</v>
      </c>
      <c r="Q99" s="20">
        <v>5</v>
      </c>
    </row>
    <row r="100" spans="1:17" ht="128" x14ac:dyDescent="0.2">
      <c r="A100" s="71">
        <v>99</v>
      </c>
      <c r="B100" s="107" t="str">
        <f>HYPERLINK("https://www.ncbi.nlm.nih.gov/gene/330", "330")</f>
        <v>330</v>
      </c>
      <c r="C100" s="109" t="str">
        <f>HYPERLINK("https://www.uniprot.org/uniprot/Q13489", "Q13489")</f>
        <v>Q13489</v>
      </c>
      <c r="D100" s="43" t="s">
        <v>95</v>
      </c>
      <c r="E100" s="16" t="s">
        <v>95</v>
      </c>
      <c r="F100" s="83" t="s">
        <v>3861</v>
      </c>
      <c r="G100" s="28" t="s">
        <v>1160</v>
      </c>
      <c r="H100" s="28" t="s">
        <v>1159</v>
      </c>
      <c r="I100" s="31" t="s">
        <v>5109</v>
      </c>
      <c r="J100" s="73" t="s">
        <v>3862</v>
      </c>
      <c r="K100" s="23" t="s">
        <v>4256</v>
      </c>
      <c r="L100" s="60" t="s">
        <v>3289</v>
      </c>
      <c r="M100" s="60" t="s">
        <v>3289</v>
      </c>
      <c r="N100" s="60" t="s">
        <v>5523</v>
      </c>
      <c r="O100" s="60"/>
      <c r="P100" s="60" t="s">
        <v>5494</v>
      </c>
      <c r="Q100" s="20">
        <v>5</v>
      </c>
    </row>
    <row r="101" spans="1:17" ht="112" x14ac:dyDescent="0.2">
      <c r="A101" s="71">
        <v>100</v>
      </c>
      <c r="B101" s="107" t="str">
        <f>HYPERLINK("https://www.ncbi.nlm.nih.gov/gene/332", "332")</f>
        <v>332</v>
      </c>
      <c r="C101" s="109" t="str">
        <f>HYPERLINK("https://www.uniprot.org/uniprot/O15392", "O15392")</f>
        <v>O15392</v>
      </c>
      <c r="D101" s="43" t="s">
        <v>96</v>
      </c>
      <c r="E101" s="16" t="s">
        <v>96</v>
      </c>
      <c r="F101" s="74" t="s">
        <v>1161</v>
      </c>
      <c r="G101" s="28" t="s">
        <v>1162</v>
      </c>
      <c r="H101" s="28" t="s">
        <v>1163</v>
      </c>
      <c r="I101" s="31" t="s">
        <v>5107</v>
      </c>
      <c r="J101" s="73" t="s">
        <v>3634</v>
      </c>
      <c r="K101" s="23" t="s">
        <v>4257</v>
      </c>
      <c r="L101" s="60" t="s">
        <v>3289</v>
      </c>
      <c r="M101" s="60" t="s">
        <v>3289</v>
      </c>
      <c r="N101" s="60" t="s">
        <v>3289</v>
      </c>
      <c r="O101" s="60"/>
      <c r="P101" s="60" t="s">
        <v>5493</v>
      </c>
      <c r="Q101" s="20">
        <v>4</v>
      </c>
    </row>
    <row r="102" spans="1:17" ht="112" x14ac:dyDescent="0.2">
      <c r="A102" s="71">
        <v>101</v>
      </c>
      <c r="B102" s="107" t="str">
        <f>HYPERLINK("https://www.ncbi.nlm.nih.gov/gene/79444", "79444")</f>
        <v>79444</v>
      </c>
      <c r="C102" s="109" t="str">
        <f>HYPERLINK("https://www.uniprot.org/uniprot/Q96CA5", "Q96CA5")</f>
        <v>Q96CA5</v>
      </c>
      <c r="D102" s="43" t="s">
        <v>97</v>
      </c>
      <c r="E102" s="16" t="s">
        <v>97</v>
      </c>
      <c r="F102" s="74" t="s">
        <v>1164</v>
      </c>
      <c r="G102" s="28" t="s">
        <v>1165</v>
      </c>
      <c r="H102" s="28" t="s">
        <v>1166</v>
      </c>
      <c r="I102" s="31" t="s">
        <v>2828</v>
      </c>
      <c r="J102" s="73">
        <v>23188704</v>
      </c>
      <c r="K102" s="23" t="s">
        <v>4258</v>
      </c>
      <c r="L102" s="60" t="s">
        <v>3289</v>
      </c>
      <c r="M102" s="60" t="s">
        <v>3289</v>
      </c>
      <c r="N102" s="60" t="s">
        <v>3289</v>
      </c>
      <c r="O102" s="60"/>
      <c r="P102" s="60" t="s">
        <v>3323</v>
      </c>
      <c r="Q102" s="20">
        <v>1</v>
      </c>
    </row>
    <row r="103" spans="1:17" ht="48" x14ac:dyDescent="0.2">
      <c r="A103" s="71">
        <v>102</v>
      </c>
      <c r="B103" s="107" t="str">
        <f>HYPERLINK("https://www.ncbi.nlm.nih.gov/gene/641", "641")</f>
        <v>641</v>
      </c>
      <c r="C103" s="109" t="str">
        <f>HYPERLINK("https://www.uniprot.org/uniprot/P54132", "P54132")</f>
        <v>P54132</v>
      </c>
      <c r="D103" s="43" t="s">
        <v>98</v>
      </c>
      <c r="E103" s="16" t="s">
        <v>98</v>
      </c>
      <c r="F103" s="74" t="s">
        <v>1167</v>
      </c>
      <c r="G103" s="28" t="s">
        <v>1168</v>
      </c>
      <c r="H103" s="28" t="s">
        <v>1169</v>
      </c>
      <c r="I103" s="31" t="s">
        <v>3332</v>
      </c>
      <c r="J103" s="73">
        <v>29452344</v>
      </c>
      <c r="K103" s="30" t="s">
        <v>4259</v>
      </c>
      <c r="L103" s="60" t="s">
        <v>3292</v>
      </c>
      <c r="M103" s="60" t="s">
        <v>3292</v>
      </c>
      <c r="N103" s="60" t="s">
        <v>3291</v>
      </c>
      <c r="O103" s="60"/>
      <c r="P103" s="60" t="s">
        <v>5493</v>
      </c>
      <c r="Q103" s="20">
        <v>4</v>
      </c>
    </row>
    <row r="104" spans="1:17" ht="112" x14ac:dyDescent="0.2">
      <c r="A104" s="71">
        <v>103</v>
      </c>
      <c r="B104" s="107" t="str">
        <f>HYPERLINK("https://www.ncbi.nlm.nih.gov/gene/648", "648")</f>
        <v>648</v>
      </c>
      <c r="C104" s="109" t="str">
        <f>HYPERLINK("https://www.uniprot.org/uniprot/P35226", "P35226")</f>
        <v>P35226</v>
      </c>
      <c r="D104" s="43" t="s">
        <v>99</v>
      </c>
      <c r="E104" s="16" t="s">
        <v>99</v>
      </c>
      <c r="F104" s="74" t="s">
        <v>1170</v>
      </c>
      <c r="G104" s="28" t="s">
        <v>1171</v>
      </c>
      <c r="H104" s="28" t="s">
        <v>3928</v>
      </c>
      <c r="I104" s="31" t="s">
        <v>5110</v>
      </c>
      <c r="J104" s="73" t="s">
        <v>2905</v>
      </c>
      <c r="K104" s="16" t="s">
        <v>3703</v>
      </c>
      <c r="L104" s="60" t="s">
        <v>3289</v>
      </c>
      <c r="M104" s="60" t="s">
        <v>3289</v>
      </c>
      <c r="N104" s="60" t="s">
        <v>3291</v>
      </c>
      <c r="O104" s="60"/>
      <c r="P104" s="60" t="s">
        <v>5495</v>
      </c>
      <c r="Q104" s="20">
        <v>2</v>
      </c>
    </row>
    <row r="105" spans="1:17" ht="112" x14ac:dyDescent="0.2">
      <c r="A105" s="71">
        <v>104</v>
      </c>
      <c r="B105" s="107" t="str">
        <f>HYPERLINK("https://www.ncbi.nlm.nih.gov/gene/652", "652")</f>
        <v>652</v>
      </c>
      <c r="C105" s="109" t="str">
        <f>HYPERLINK("https://www.uniprot.org/uniprot/P12644", "P12644")</f>
        <v>P12644</v>
      </c>
      <c r="D105" s="43" t="s">
        <v>100</v>
      </c>
      <c r="E105" s="16" t="s">
        <v>100</v>
      </c>
      <c r="F105" s="74" t="s">
        <v>1172</v>
      </c>
      <c r="G105" s="28" t="s">
        <v>1173</v>
      </c>
      <c r="H105" s="28" t="s">
        <v>3929</v>
      </c>
      <c r="I105" s="31" t="s">
        <v>5111</v>
      </c>
      <c r="J105" s="73" t="s">
        <v>2906</v>
      </c>
      <c r="K105" s="16" t="s">
        <v>3704</v>
      </c>
      <c r="L105" s="60" t="s">
        <v>3290</v>
      </c>
      <c r="M105" s="60" t="s">
        <v>3289</v>
      </c>
      <c r="N105" s="60" t="s">
        <v>3289</v>
      </c>
      <c r="O105" s="60"/>
      <c r="P105" s="60" t="s">
        <v>5493</v>
      </c>
      <c r="Q105" s="20">
        <v>4</v>
      </c>
    </row>
    <row r="106" spans="1:17" ht="80" x14ac:dyDescent="0.2">
      <c r="A106" s="71">
        <v>105</v>
      </c>
      <c r="B106" s="107" t="str">
        <f>HYPERLINK("https://www.ncbi.nlm.nih.gov/gene/657", "657")</f>
        <v>657</v>
      </c>
      <c r="C106" s="109" t="str">
        <f>HYPERLINK("https://www.uniprot.org/uniprot/P36894", "P36894")</f>
        <v>P36894</v>
      </c>
      <c r="D106" s="43" t="s">
        <v>101</v>
      </c>
      <c r="E106" s="16" t="s">
        <v>101</v>
      </c>
      <c r="F106" s="11" t="s">
        <v>1174</v>
      </c>
      <c r="G106" s="28" t="s">
        <v>1175</v>
      </c>
      <c r="H106" s="6" t="s">
        <v>3930</v>
      </c>
      <c r="I106" s="49" t="s">
        <v>2832</v>
      </c>
      <c r="J106" s="73">
        <v>26235139</v>
      </c>
      <c r="K106" s="16" t="s">
        <v>3705</v>
      </c>
      <c r="L106" s="60" t="s">
        <v>3289</v>
      </c>
      <c r="M106" s="60" t="s">
        <v>3289</v>
      </c>
      <c r="N106" s="60" t="s">
        <v>3291</v>
      </c>
      <c r="O106" s="60"/>
      <c r="P106" s="60" t="s">
        <v>5493</v>
      </c>
      <c r="Q106" s="20">
        <v>4</v>
      </c>
    </row>
    <row r="107" spans="1:17" ht="128" x14ac:dyDescent="0.2">
      <c r="A107" s="71">
        <v>106</v>
      </c>
      <c r="B107" s="107" t="str">
        <f>HYPERLINK("https://www.ncbi.nlm.nih.gov/gene/664", "664")</f>
        <v>664</v>
      </c>
      <c r="C107" s="109" t="str">
        <f>HYPERLINK("https://www.uniprot.org/uniprot/Q12983", "Q12983")</f>
        <v>Q12983</v>
      </c>
      <c r="D107" s="43" t="s">
        <v>102</v>
      </c>
      <c r="E107" s="16" t="s">
        <v>102</v>
      </c>
      <c r="F107" s="11" t="s">
        <v>1176</v>
      </c>
      <c r="G107" s="28" t="s">
        <v>1177</v>
      </c>
      <c r="H107" s="6" t="s">
        <v>1178</v>
      </c>
      <c r="I107" s="49" t="s">
        <v>5104</v>
      </c>
      <c r="J107" s="73" t="s">
        <v>3677</v>
      </c>
      <c r="K107" s="16" t="s">
        <v>3706</v>
      </c>
      <c r="L107" s="60" t="s">
        <v>3289</v>
      </c>
      <c r="M107" s="60" t="s">
        <v>3290</v>
      </c>
      <c r="N107" s="60" t="s">
        <v>3289</v>
      </c>
      <c r="O107" s="60"/>
      <c r="P107" s="60" t="s">
        <v>3323</v>
      </c>
      <c r="Q107" s="20">
        <v>1</v>
      </c>
    </row>
    <row r="108" spans="1:17" ht="48" x14ac:dyDescent="0.2">
      <c r="A108" s="71">
        <v>107</v>
      </c>
      <c r="B108" s="107" t="str">
        <f>HYPERLINK("https://www.ncbi.nlm.nih.gov/gene/666", "666")</f>
        <v>666</v>
      </c>
      <c r="C108" s="109" t="str">
        <f>HYPERLINK("https://www.uniprot.org/uniprot/Q9UMX3", "Q9UMX3")</f>
        <v>Q9UMX3</v>
      </c>
      <c r="D108" s="43" t="s">
        <v>103</v>
      </c>
      <c r="E108" s="16" t="s">
        <v>103</v>
      </c>
      <c r="F108" s="11" t="s">
        <v>1179</v>
      </c>
      <c r="G108" s="28" t="s">
        <v>1180</v>
      </c>
      <c r="H108" s="6" t="s">
        <v>1181</v>
      </c>
      <c r="I108" s="49" t="s">
        <v>2828</v>
      </c>
      <c r="J108" s="73">
        <v>29985192</v>
      </c>
      <c r="K108" s="16" t="s">
        <v>3707</v>
      </c>
      <c r="L108" s="60" t="s">
        <v>3292</v>
      </c>
      <c r="M108" s="60" t="s">
        <v>3290</v>
      </c>
      <c r="N108" s="60" t="s">
        <v>3291</v>
      </c>
      <c r="O108" s="60"/>
      <c r="P108" s="60" t="s">
        <v>5492</v>
      </c>
      <c r="Q108" s="20">
        <v>4</v>
      </c>
    </row>
    <row r="109" spans="1:17" ht="304" x14ac:dyDescent="0.2">
      <c r="A109" s="71">
        <v>108</v>
      </c>
      <c r="B109" s="107" t="str">
        <f>HYPERLINK("https://www.ncbi.nlm.nih.gov/gene/672", "672")</f>
        <v>672</v>
      </c>
      <c r="C109" s="109" t="str">
        <f>HYPERLINK("https://www.uniprot.org/uniprot/P38398", "P38398")</f>
        <v>P38398</v>
      </c>
      <c r="D109" s="43" t="s">
        <v>104</v>
      </c>
      <c r="E109" s="16" t="s">
        <v>104</v>
      </c>
      <c r="F109" s="6" t="s">
        <v>3527</v>
      </c>
      <c r="G109" s="28" t="s">
        <v>3528</v>
      </c>
      <c r="H109" s="6" t="s">
        <v>3931</v>
      </c>
      <c r="I109" s="49" t="s">
        <v>5112</v>
      </c>
      <c r="J109" s="73" t="s">
        <v>2907</v>
      </c>
      <c r="K109" s="5" t="s">
        <v>3572</v>
      </c>
      <c r="L109" s="60" t="s">
        <v>3289</v>
      </c>
      <c r="M109" s="60" t="s">
        <v>3289</v>
      </c>
      <c r="N109" s="60" t="s">
        <v>3289</v>
      </c>
      <c r="O109" s="60"/>
      <c r="P109" s="60" t="s">
        <v>5494</v>
      </c>
      <c r="Q109" s="20">
        <v>5</v>
      </c>
    </row>
    <row r="110" spans="1:17" ht="192" x14ac:dyDescent="0.2">
      <c r="A110" s="71">
        <v>109</v>
      </c>
      <c r="B110" s="107" t="str">
        <f>HYPERLINK("https://www.ncbi.nlm.nih.gov/gene/675", "675")</f>
        <v>675</v>
      </c>
      <c r="C110" s="109" t="str">
        <f>HYPERLINK("https://www.uniprot.org/uniprot/P51587", "P51587")</f>
        <v>P51587</v>
      </c>
      <c r="D110" s="43" t="s">
        <v>105</v>
      </c>
      <c r="E110" s="16" t="s">
        <v>105</v>
      </c>
      <c r="F110" s="11" t="s">
        <v>3529</v>
      </c>
      <c r="G110" s="28" t="s">
        <v>3530</v>
      </c>
      <c r="H110" s="6" t="s">
        <v>3932</v>
      </c>
      <c r="I110" s="49" t="s">
        <v>5113</v>
      </c>
      <c r="J110" s="73" t="s">
        <v>2908</v>
      </c>
      <c r="K110" s="16" t="s">
        <v>3708</v>
      </c>
      <c r="L110" s="60" t="s">
        <v>3289</v>
      </c>
      <c r="M110" s="60" t="s">
        <v>3289</v>
      </c>
      <c r="N110" s="60" t="s">
        <v>3291</v>
      </c>
      <c r="O110" s="60"/>
      <c r="P110" s="60" t="s">
        <v>5494</v>
      </c>
      <c r="Q110" s="20">
        <v>5</v>
      </c>
    </row>
    <row r="111" spans="1:17" ht="96" x14ac:dyDescent="0.2">
      <c r="A111" s="71">
        <v>110</v>
      </c>
      <c r="B111" s="107" t="str">
        <f>HYPERLINK("https://www.ncbi.nlm.nih.gov/gene/65980", "65980")</f>
        <v>65980</v>
      </c>
      <c r="C111" s="114" t="str">
        <f>HYPERLINK("https://www.uniprot.org/uniprot/Q9H8M2", "Q9H8M2")</f>
        <v>Q9H8M2</v>
      </c>
      <c r="D111" s="43" t="s">
        <v>106</v>
      </c>
      <c r="E111" s="34" t="s">
        <v>106</v>
      </c>
      <c r="F111" s="79"/>
      <c r="G111" s="30" t="s">
        <v>1182</v>
      </c>
      <c r="H111" s="30" t="s">
        <v>3356</v>
      </c>
      <c r="I111" s="47" t="s">
        <v>5114</v>
      </c>
      <c r="J111" s="73" t="s">
        <v>2909</v>
      </c>
      <c r="K111" s="23" t="s">
        <v>4260</v>
      </c>
      <c r="L111" s="60" t="s">
        <v>3289</v>
      </c>
      <c r="M111" s="60" t="s">
        <v>3289</v>
      </c>
      <c r="N111" s="60" t="s">
        <v>3291</v>
      </c>
      <c r="O111" s="60"/>
      <c r="P111" s="60" t="s">
        <v>3323</v>
      </c>
      <c r="Q111" s="20">
        <v>1</v>
      </c>
    </row>
    <row r="112" spans="1:17" ht="64" x14ac:dyDescent="0.2">
      <c r="A112" s="71">
        <v>111</v>
      </c>
      <c r="B112" s="107" t="str">
        <f>HYPERLINK("https://www.ncbi.nlm.nih.gov/gene/83990", "83990")</f>
        <v>83990</v>
      </c>
      <c r="C112" s="109" t="str">
        <f>HYPERLINK("https://www.uniprot.org/uniprot/Q9BX63", "Q9BX63")</f>
        <v>Q9BX63</v>
      </c>
      <c r="D112" s="43" t="s">
        <v>107</v>
      </c>
      <c r="E112" s="38" t="s">
        <v>107</v>
      </c>
      <c r="F112" s="32" t="s">
        <v>1183</v>
      </c>
      <c r="G112" s="28" t="s">
        <v>1184</v>
      </c>
      <c r="H112" s="6" t="s">
        <v>3933</v>
      </c>
      <c r="I112" s="49" t="s">
        <v>5115</v>
      </c>
      <c r="J112" s="73">
        <v>26680099</v>
      </c>
      <c r="K112" s="16" t="s">
        <v>3709</v>
      </c>
      <c r="L112" s="60" t="s">
        <v>3292</v>
      </c>
      <c r="M112" s="60" t="s">
        <v>3292</v>
      </c>
      <c r="N112" s="60" t="s">
        <v>3291</v>
      </c>
      <c r="O112" s="60"/>
      <c r="P112" s="60" t="s">
        <v>5499</v>
      </c>
      <c r="Q112" s="20">
        <v>5</v>
      </c>
    </row>
    <row r="113" spans="1:17" ht="112" x14ac:dyDescent="0.2">
      <c r="A113" s="71">
        <v>112</v>
      </c>
      <c r="B113" s="107" t="str">
        <f>HYPERLINK("https://www.ncbi.nlm.nih.gov/gene/682", "682")</f>
        <v>682</v>
      </c>
      <c r="C113" s="109" t="str">
        <f>HYPERLINK("https://www.uniprot.org/uniprot/P35613", "P35613")</f>
        <v>P35613</v>
      </c>
      <c r="D113" s="43" t="s">
        <v>108</v>
      </c>
      <c r="E113" s="38" t="s">
        <v>108</v>
      </c>
      <c r="F113" s="32" t="s">
        <v>1185</v>
      </c>
      <c r="G113" s="28" t="s">
        <v>1186</v>
      </c>
      <c r="H113" s="6" t="s">
        <v>1187</v>
      </c>
      <c r="I113" s="49" t="s">
        <v>5116</v>
      </c>
      <c r="J113" s="73" t="s">
        <v>2910</v>
      </c>
      <c r="K113" s="13" t="s">
        <v>3710</v>
      </c>
      <c r="L113" s="60" t="s">
        <v>3289</v>
      </c>
      <c r="M113" s="60" t="s">
        <v>3289</v>
      </c>
      <c r="N113" s="60" t="s">
        <v>3291</v>
      </c>
      <c r="O113" s="60"/>
      <c r="P113" s="60" t="s">
        <v>5499</v>
      </c>
      <c r="Q113" s="20">
        <v>4</v>
      </c>
    </row>
    <row r="114" spans="1:17" ht="112" x14ac:dyDescent="0.2">
      <c r="A114" s="71">
        <v>113</v>
      </c>
      <c r="B114" s="107" t="str">
        <f>HYPERLINK("https://www.ncbi.nlm.nih.gov/gene/708", "708")</f>
        <v>708</v>
      </c>
      <c r="C114" s="113" t="str">
        <f>HYPERLINK("https://www.uniprot.org/uniprot/Q07021", "Q07021")</f>
        <v>Q07021</v>
      </c>
      <c r="D114" s="43" t="s">
        <v>109</v>
      </c>
      <c r="E114" s="38" t="s">
        <v>109</v>
      </c>
      <c r="F114" s="32" t="s">
        <v>1188</v>
      </c>
      <c r="G114" s="28" t="s">
        <v>1189</v>
      </c>
      <c r="H114" s="6" t="s">
        <v>3934</v>
      </c>
      <c r="I114" s="49" t="s">
        <v>5117</v>
      </c>
      <c r="J114" s="73" t="s">
        <v>2911</v>
      </c>
      <c r="K114" s="13" t="s">
        <v>3553</v>
      </c>
      <c r="L114" s="60" t="s">
        <v>3289</v>
      </c>
      <c r="M114" s="60" t="s">
        <v>3290</v>
      </c>
      <c r="N114" s="60" t="s">
        <v>3289</v>
      </c>
      <c r="O114" s="60"/>
      <c r="P114" s="60" t="s">
        <v>5492</v>
      </c>
      <c r="Q114" s="20">
        <v>4</v>
      </c>
    </row>
    <row r="115" spans="1:17" ht="80" x14ac:dyDescent="0.2">
      <c r="A115" s="71">
        <v>114</v>
      </c>
      <c r="B115" s="107" t="str">
        <f>HYPERLINK("https://www.ncbi.nlm.nih.gov/gene/790", "790")</f>
        <v>790</v>
      </c>
      <c r="C115" s="109" t="str">
        <f>HYPERLINK("https://www.uniprot.org/uniprot/P27708", "P27708")</f>
        <v>P27708</v>
      </c>
      <c r="D115" s="43" t="s">
        <v>110</v>
      </c>
      <c r="E115" s="38" t="s">
        <v>110</v>
      </c>
      <c r="F115" s="32"/>
      <c r="G115" s="28" t="s">
        <v>1190</v>
      </c>
      <c r="H115" s="6" t="s">
        <v>1191</v>
      </c>
      <c r="I115" s="49" t="s">
        <v>5118</v>
      </c>
      <c r="J115" s="73">
        <v>30038717</v>
      </c>
      <c r="K115" s="13" t="s">
        <v>3711</v>
      </c>
      <c r="L115" s="60" t="s">
        <v>3289</v>
      </c>
      <c r="M115" s="60" t="s">
        <v>3289</v>
      </c>
      <c r="N115" s="60" t="s">
        <v>3291</v>
      </c>
      <c r="O115" s="60"/>
      <c r="P115" s="60" t="s">
        <v>4900</v>
      </c>
      <c r="Q115" s="20">
        <v>3</v>
      </c>
    </row>
    <row r="116" spans="1:17" ht="64" x14ac:dyDescent="0.2">
      <c r="A116" s="71">
        <v>115</v>
      </c>
      <c r="B116" s="107" t="str">
        <f>HYPERLINK("https://www.ncbi.nlm.nih.gov/gene/817", "817")</f>
        <v>817</v>
      </c>
      <c r="C116" s="109" t="str">
        <f>HYPERLINK("https://www.uniprot.org/uniprot/Q13557", "Q13557")</f>
        <v>Q13557</v>
      </c>
      <c r="D116" s="43" t="s">
        <v>112</v>
      </c>
      <c r="E116" s="38" t="s">
        <v>112</v>
      </c>
      <c r="F116" s="32" t="s">
        <v>1194</v>
      </c>
      <c r="G116" s="28" t="s">
        <v>1195</v>
      </c>
      <c r="H116" s="6" t="s">
        <v>3935</v>
      </c>
      <c r="I116" s="49" t="s">
        <v>5119</v>
      </c>
      <c r="J116" s="73">
        <v>30127991</v>
      </c>
      <c r="K116" s="13" t="s">
        <v>3712</v>
      </c>
      <c r="L116" s="60" t="s">
        <v>3289</v>
      </c>
      <c r="M116" s="60" t="s">
        <v>3289</v>
      </c>
      <c r="N116" s="60" t="s">
        <v>3291</v>
      </c>
      <c r="O116" s="60"/>
      <c r="P116" s="60" t="s">
        <v>5493</v>
      </c>
      <c r="Q116" s="20">
        <v>4</v>
      </c>
    </row>
    <row r="117" spans="1:17" ht="64" x14ac:dyDescent="0.2">
      <c r="A117" s="71">
        <v>116</v>
      </c>
      <c r="B117" s="107" t="str">
        <f>HYPERLINK("https://www.ncbi.nlm.nih.gov/gene/823", "823")</f>
        <v>823</v>
      </c>
      <c r="C117" s="109" t="str">
        <f>HYPERLINK("https://www.uniprot.org/uniprot/P07384", "P07384")</f>
        <v>P07384</v>
      </c>
      <c r="D117" s="43" t="s">
        <v>113</v>
      </c>
      <c r="E117" s="38" t="s">
        <v>113</v>
      </c>
      <c r="F117" s="32" t="s">
        <v>1196</v>
      </c>
      <c r="G117" s="28" t="s">
        <v>1197</v>
      </c>
      <c r="H117" s="6" t="s">
        <v>1198</v>
      </c>
      <c r="I117" s="49" t="s">
        <v>2824</v>
      </c>
      <c r="J117" s="73">
        <v>28089626</v>
      </c>
      <c r="K117" s="13" t="s">
        <v>3713</v>
      </c>
      <c r="L117" s="60" t="s">
        <v>3291</v>
      </c>
      <c r="M117" s="60" t="s">
        <v>3292</v>
      </c>
      <c r="N117" s="60" t="s">
        <v>3289</v>
      </c>
      <c r="O117" s="60"/>
      <c r="P117" s="60" t="s">
        <v>3323</v>
      </c>
      <c r="Q117" s="20">
        <v>1</v>
      </c>
    </row>
    <row r="118" spans="1:17" ht="96" x14ac:dyDescent="0.2">
      <c r="A118" s="71">
        <v>117</v>
      </c>
      <c r="B118" s="107" t="str">
        <f>HYPERLINK("https://www.ncbi.nlm.nih.gov/gene/826", "826")</f>
        <v>826</v>
      </c>
      <c r="C118" s="109" t="str">
        <f>HYPERLINK("https://www.uniprot.org/uniprot/P04632", "P04632")</f>
        <v>P04632</v>
      </c>
      <c r="D118" s="36" t="s">
        <v>111</v>
      </c>
      <c r="E118" s="38" t="s">
        <v>920</v>
      </c>
      <c r="F118" s="32"/>
      <c r="G118" s="28" t="s">
        <v>1192</v>
      </c>
      <c r="H118" s="6" t="s">
        <v>1193</v>
      </c>
      <c r="I118" s="49" t="s">
        <v>2828</v>
      </c>
      <c r="J118" s="73" t="s">
        <v>2912</v>
      </c>
      <c r="K118" s="13" t="s">
        <v>3714</v>
      </c>
      <c r="L118" s="60" t="s">
        <v>3291</v>
      </c>
      <c r="M118" s="60" t="s">
        <v>3292</v>
      </c>
      <c r="N118" s="60" t="s">
        <v>3289</v>
      </c>
      <c r="O118" s="60"/>
      <c r="P118" s="60" t="s">
        <v>3323</v>
      </c>
      <c r="Q118" s="20">
        <v>1</v>
      </c>
    </row>
    <row r="119" spans="1:17" ht="64" x14ac:dyDescent="0.2">
      <c r="A119" s="71">
        <v>118</v>
      </c>
      <c r="B119" s="107" t="str">
        <f>HYPERLINK("https://www.ncbi.nlm.nih.gov/gene/29775", "29775")</f>
        <v>29775</v>
      </c>
      <c r="C119" s="109" t="str">
        <f>HYPERLINK("https://www.uniprot.org/uniprot/Q9BWT7", "Q9BWT7")</f>
        <v>Q9BWT7</v>
      </c>
      <c r="D119" s="43" t="s">
        <v>114</v>
      </c>
      <c r="E119" s="38" t="s">
        <v>114</v>
      </c>
      <c r="F119" s="32" t="s">
        <v>1199</v>
      </c>
      <c r="G119" s="28" t="s">
        <v>1200</v>
      </c>
      <c r="H119" s="6" t="s">
        <v>1201</v>
      </c>
      <c r="I119" s="49" t="s">
        <v>2834</v>
      </c>
      <c r="J119" s="73">
        <v>24833094</v>
      </c>
      <c r="K119" s="13" t="s">
        <v>3715</v>
      </c>
      <c r="L119" s="60" t="s">
        <v>3289</v>
      </c>
      <c r="M119" s="60" t="s">
        <v>3289</v>
      </c>
      <c r="N119" s="60" t="s">
        <v>3291</v>
      </c>
      <c r="O119" s="60"/>
      <c r="P119" s="60" t="s">
        <v>5493</v>
      </c>
      <c r="Q119" s="20">
        <v>4</v>
      </c>
    </row>
    <row r="120" spans="1:17" ht="48" x14ac:dyDescent="0.2">
      <c r="A120" s="71">
        <v>119</v>
      </c>
      <c r="B120" s="115" t="str">
        <f>HYPERLINK("https://www.ncbi.nlm.nih.gov/gene/100506742", "100506742")</f>
        <v>100506742</v>
      </c>
      <c r="C120" s="109" t="str">
        <f>HYPERLINK("https://www.uniprot.org/uniprot/Q6UXS9", "Q6UXS9")</f>
        <v>Q6UXS9</v>
      </c>
      <c r="D120" s="43" t="s">
        <v>115</v>
      </c>
      <c r="E120" s="16" t="s">
        <v>115</v>
      </c>
      <c r="F120" s="11"/>
      <c r="G120" s="28" t="s">
        <v>1202</v>
      </c>
      <c r="H120" s="6" t="s">
        <v>1203</v>
      </c>
      <c r="I120" s="49" t="s">
        <v>5120</v>
      </c>
      <c r="J120" s="73">
        <v>15901768</v>
      </c>
      <c r="K120" s="13" t="s">
        <v>3716</v>
      </c>
      <c r="L120" s="60" t="s">
        <v>3291</v>
      </c>
      <c r="M120" s="60" t="s">
        <v>3292</v>
      </c>
      <c r="N120" s="60" t="s">
        <v>3289</v>
      </c>
      <c r="O120" s="60"/>
      <c r="P120" s="60" t="s">
        <v>5495</v>
      </c>
      <c r="Q120" s="20">
        <v>2</v>
      </c>
    </row>
    <row r="121" spans="1:17" ht="48" x14ac:dyDescent="0.2">
      <c r="A121" s="71">
        <v>120</v>
      </c>
      <c r="B121" s="107" t="str">
        <f>HYPERLINK("https://www.ncbi.nlm.nih.gov/gene/23581", "23581")</f>
        <v>23581</v>
      </c>
      <c r="C121" s="109" t="str">
        <f>HYPERLINK("https://www.uniprot.org/uniprot/P31944", "P31944")</f>
        <v>P31944</v>
      </c>
      <c r="D121" s="43" t="s">
        <v>116</v>
      </c>
      <c r="E121" s="16" t="s">
        <v>116</v>
      </c>
      <c r="F121" s="11"/>
      <c r="G121" s="28" t="s">
        <v>1204</v>
      </c>
      <c r="H121" s="6" t="s">
        <v>3937</v>
      </c>
      <c r="I121" s="49" t="s">
        <v>2828</v>
      </c>
      <c r="J121" s="73">
        <v>21567094</v>
      </c>
      <c r="K121" s="13" t="s">
        <v>3717</v>
      </c>
      <c r="L121" s="60" t="s">
        <v>3289</v>
      </c>
      <c r="M121" s="60" t="s">
        <v>3289</v>
      </c>
      <c r="N121" s="60" t="s">
        <v>3291</v>
      </c>
      <c r="O121" s="60"/>
      <c r="P121" s="60" t="s">
        <v>5500</v>
      </c>
      <c r="Q121" s="20">
        <v>4</v>
      </c>
    </row>
    <row r="122" spans="1:17" ht="96" x14ac:dyDescent="0.2">
      <c r="A122" s="71">
        <v>121</v>
      </c>
      <c r="B122" s="107" t="str">
        <f>HYPERLINK("https://www.ncbi.nlm.nih.gov/gene/835", "835")</f>
        <v>835</v>
      </c>
      <c r="C122" s="109" t="str">
        <f>HYPERLINK("https://www.uniprot.org/uniprot/P42575", "P42575")</f>
        <v>P42575</v>
      </c>
      <c r="D122" s="43" t="s">
        <v>117</v>
      </c>
      <c r="E122" s="16" t="s">
        <v>117</v>
      </c>
      <c r="F122" s="11" t="s">
        <v>1205</v>
      </c>
      <c r="G122" s="9" t="s">
        <v>1206</v>
      </c>
      <c r="H122" s="6" t="s">
        <v>1207</v>
      </c>
      <c r="I122" s="49" t="s">
        <v>2828</v>
      </c>
      <c r="J122" s="73" t="s">
        <v>2913</v>
      </c>
      <c r="K122" s="13" t="s">
        <v>3718</v>
      </c>
      <c r="L122" s="60" t="s">
        <v>3297</v>
      </c>
      <c r="M122" s="60" t="s">
        <v>3292</v>
      </c>
      <c r="N122" s="60" t="s">
        <v>3289</v>
      </c>
      <c r="O122" s="60"/>
      <c r="P122" s="60" t="s">
        <v>3323</v>
      </c>
      <c r="Q122" s="20">
        <v>1</v>
      </c>
    </row>
    <row r="123" spans="1:17" ht="96" x14ac:dyDescent="0.2">
      <c r="A123" s="71">
        <v>122</v>
      </c>
      <c r="B123" s="107" t="str">
        <f>HYPERLINK("https://www.ncbi.nlm.nih.gov/gene/836", "836")</f>
        <v>836</v>
      </c>
      <c r="C123" s="109" t="str">
        <f>HYPERLINK("https://www.uniprot.org/uniprot/P42574", "P42574")</f>
        <v>P42574</v>
      </c>
      <c r="D123" s="43" t="s">
        <v>118</v>
      </c>
      <c r="E123" s="16" t="s">
        <v>118</v>
      </c>
      <c r="F123" s="11" t="s">
        <v>1208</v>
      </c>
      <c r="G123" s="28" t="s">
        <v>1209</v>
      </c>
      <c r="H123" s="6" t="s">
        <v>3938</v>
      </c>
      <c r="I123" s="49" t="s">
        <v>5107</v>
      </c>
      <c r="J123" s="73" t="s">
        <v>2914</v>
      </c>
      <c r="K123" s="13" t="s">
        <v>3719</v>
      </c>
      <c r="L123" s="60" t="s">
        <v>3298</v>
      </c>
      <c r="M123" s="60" t="s">
        <v>3292</v>
      </c>
      <c r="N123" s="60" t="s">
        <v>3289</v>
      </c>
      <c r="O123" s="60"/>
      <c r="P123" s="60" t="s">
        <v>3323</v>
      </c>
      <c r="Q123" s="20">
        <v>1</v>
      </c>
    </row>
    <row r="124" spans="1:17" ht="160" x14ac:dyDescent="0.2">
      <c r="A124" s="71">
        <v>123</v>
      </c>
      <c r="B124" s="107" t="str">
        <f>HYPERLINK("https://www.ncbi.nlm.nih.gov/gene/837", "837")</f>
        <v>837</v>
      </c>
      <c r="C124" s="111" t="str">
        <f>HYPERLINK("https://www.uniprot.org/uniprot/P49662", "P49662")</f>
        <v>P49662</v>
      </c>
      <c r="D124" s="43" t="s">
        <v>119</v>
      </c>
      <c r="E124" s="16" t="s">
        <v>119</v>
      </c>
      <c r="F124" s="11" t="s">
        <v>1210</v>
      </c>
      <c r="G124" s="28" t="s">
        <v>1211</v>
      </c>
      <c r="H124" s="6" t="s">
        <v>4089</v>
      </c>
      <c r="I124" s="49" t="s">
        <v>5121</v>
      </c>
      <c r="J124" s="73" t="s">
        <v>2915</v>
      </c>
      <c r="K124" s="13" t="s">
        <v>3720</v>
      </c>
      <c r="L124" s="60" t="s">
        <v>3292</v>
      </c>
      <c r="M124" s="60" t="s">
        <v>3292</v>
      </c>
      <c r="N124" s="60" t="s">
        <v>3289</v>
      </c>
      <c r="O124" s="60"/>
      <c r="P124" s="60" t="s">
        <v>3323</v>
      </c>
      <c r="Q124" s="20">
        <v>1</v>
      </c>
    </row>
    <row r="125" spans="1:17" ht="48" x14ac:dyDescent="0.2">
      <c r="A125" s="71">
        <v>124</v>
      </c>
      <c r="B125" s="107" t="str">
        <f>HYPERLINK("https://www.ncbi.nlm.nih.gov/gene/839", "839")</f>
        <v>839</v>
      </c>
      <c r="C125" s="109" t="str">
        <f>HYPERLINK("https://www.uniprot.org/uniprot/P55212", "P55212")</f>
        <v>P55212</v>
      </c>
      <c r="D125" s="43" t="s">
        <v>120</v>
      </c>
      <c r="E125" s="16" t="s">
        <v>120</v>
      </c>
      <c r="F125" s="11" t="s">
        <v>1212</v>
      </c>
      <c r="G125" s="28" t="s">
        <v>1213</v>
      </c>
      <c r="H125" s="6" t="s">
        <v>1214</v>
      </c>
      <c r="I125" s="49" t="s">
        <v>5106</v>
      </c>
      <c r="J125" s="73">
        <v>18064040</v>
      </c>
      <c r="K125" s="13" t="s">
        <v>3721</v>
      </c>
      <c r="L125" s="60" t="s">
        <v>3291</v>
      </c>
      <c r="M125" s="60" t="s">
        <v>3292</v>
      </c>
      <c r="N125" s="60" t="s">
        <v>3289</v>
      </c>
      <c r="O125" s="60"/>
      <c r="P125" s="60" t="s">
        <v>5495</v>
      </c>
      <c r="Q125" s="20">
        <v>2</v>
      </c>
    </row>
    <row r="126" spans="1:17" ht="64" x14ac:dyDescent="0.2">
      <c r="A126" s="71">
        <v>125</v>
      </c>
      <c r="B126" s="107" t="str">
        <f>HYPERLINK("https://www.ncbi.nlm.nih.gov/gene/840", "840")</f>
        <v>840</v>
      </c>
      <c r="C126" s="109" t="str">
        <f>HYPERLINK("https://www.uniprot.org/uniprot/P55210", "P55210")</f>
        <v>P55210</v>
      </c>
      <c r="D126" s="43" t="s">
        <v>121</v>
      </c>
      <c r="E126" s="16" t="s">
        <v>121</v>
      </c>
      <c r="F126" s="11" t="s">
        <v>1215</v>
      </c>
      <c r="G126" s="28" t="s">
        <v>1216</v>
      </c>
      <c r="H126" s="6" t="s">
        <v>1217</v>
      </c>
      <c r="I126" s="49" t="s">
        <v>5106</v>
      </c>
      <c r="J126" s="73" t="s">
        <v>2916</v>
      </c>
      <c r="K126" s="13" t="s">
        <v>3722</v>
      </c>
      <c r="L126" s="60" t="s">
        <v>3292</v>
      </c>
      <c r="M126" s="60" t="s">
        <v>3292</v>
      </c>
      <c r="N126" s="60" t="s">
        <v>3289</v>
      </c>
      <c r="O126" s="60"/>
      <c r="P126" s="60" t="s">
        <v>3323</v>
      </c>
      <c r="Q126" s="20">
        <v>1</v>
      </c>
    </row>
    <row r="127" spans="1:17" ht="80" x14ac:dyDescent="0.2">
      <c r="A127" s="71">
        <v>126</v>
      </c>
      <c r="B127" s="107" t="str">
        <f>HYPERLINK("https://www.ncbi.nlm.nih.gov/gene/841", "841")</f>
        <v>841</v>
      </c>
      <c r="C127" s="109" t="str">
        <f>HYPERLINK("https://www.uniprot.org/uniprot/Q14790", "Q14790")</f>
        <v>Q14790</v>
      </c>
      <c r="D127" s="43" t="s">
        <v>122</v>
      </c>
      <c r="E127" s="16" t="s">
        <v>122</v>
      </c>
      <c r="F127" s="11" t="s">
        <v>1218</v>
      </c>
      <c r="G127" s="28" t="s">
        <v>1219</v>
      </c>
      <c r="H127" s="6" t="s">
        <v>1220</v>
      </c>
      <c r="I127" s="49" t="s">
        <v>2828</v>
      </c>
      <c r="J127" s="73" t="s">
        <v>2917</v>
      </c>
      <c r="K127" s="13" t="s">
        <v>3723</v>
      </c>
      <c r="L127" s="60" t="s">
        <v>3292</v>
      </c>
      <c r="M127" s="60" t="s">
        <v>3292</v>
      </c>
      <c r="N127" s="60" t="s">
        <v>3289</v>
      </c>
      <c r="O127" s="60"/>
      <c r="P127" s="60" t="s">
        <v>3323</v>
      </c>
      <c r="Q127" s="20">
        <v>1</v>
      </c>
    </row>
    <row r="128" spans="1:17" ht="96" x14ac:dyDescent="0.2">
      <c r="A128" s="71">
        <v>127</v>
      </c>
      <c r="B128" s="107" t="str">
        <f>HYPERLINK("https://www.ncbi.nlm.nih.gov/gene/842", "842")</f>
        <v>842</v>
      </c>
      <c r="C128" s="109" t="str">
        <f>HYPERLINK("https://www.uniprot.org/uniprot/P55211", "P55211")</f>
        <v>P55211</v>
      </c>
      <c r="D128" s="43" t="s">
        <v>123</v>
      </c>
      <c r="E128" s="16" t="s">
        <v>123</v>
      </c>
      <c r="F128" s="11" t="s">
        <v>1221</v>
      </c>
      <c r="G128" s="28" t="s">
        <v>1222</v>
      </c>
      <c r="H128" s="6" t="s">
        <v>1223</v>
      </c>
      <c r="I128" s="49" t="s">
        <v>2828</v>
      </c>
      <c r="J128" s="73" t="s">
        <v>2918</v>
      </c>
      <c r="K128" s="13" t="s">
        <v>3724</v>
      </c>
      <c r="L128" s="60" t="s">
        <v>3297</v>
      </c>
      <c r="M128" s="60" t="s">
        <v>3292</v>
      </c>
      <c r="N128" s="60" t="s">
        <v>3299</v>
      </c>
      <c r="O128" s="60"/>
      <c r="P128" s="60" t="s">
        <v>3323</v>
      </c>
      <c r="Q128" s="20">
        <v>1</v>
      </c>
    </row>
    <row r="129" spans="1:17" ht="96" x14ac:dyDescent="0.2">
      <c r="A129" s="71">
        <v>128</v>
      </c>
      <c r="B129" s="107" t="str">
        <f>HYPERLINK("https://www.ncbi.nlm.nih.gov/gene/857", "857")</f>
        <v>857</v>
      </c>
      <c r="C129" s="109" t="str">
        <f>HYPERLINK("https://www.uniprot.org/uniprot/Q03135", "Q03135")</f>
        <v>Q03135</v>
      </c>
      <c r="D129" s="43" t="s">
        <v>124</v>
      </c>
      <c r="E129" s="16" t="s">
        <v>124</v>
      </c>
      <c r="F129" s="11" t="s">
        <v>1224</v>
      </c>
      <c r="G129" s="28" t="s">
        <v>1225</v>
      </c>
      <c r="H129" s="6" t="s">
        <v>3939</v>
      </c>
      <c r="I129" s="49" t="s">
        <v>5122</v>
      </c>
      <c r="J129" s="73">
        <v>26503358</v>
      </c>
      <c r="K129" s="13" t="s">
        <v>3725</v>
      </c>
      <c r="L129" s="60" t="s">
        <v>3289</v>
      </c>
      <c r="M129" s="60" t="s">
        <v>3289</v>
      </c>
      <c r="N129" s="60" t="s">
        <v>3291</v>
      </c>
      <c r="O129" s="60"/>
      <c r="P129" s="60" t="s">
        <v>3323</v>
      </c>
      <c r="Q129" s="20">
        <v>1</v>
      </c>
    </row>
    <row r="130" spans="1:17" ht="144" x14ac:dyDescent="0.2">
      <c r="A130" s="71">
        <v>129</v>
      </c>
      <c r="B130" s="107" t="str">
        <f>HYPERLINK("https://www.ncbi.nlm.nih.gov/gene/112464", "112464")</f>
        <v>112464</v>
      </c>
      <c r="C130" s="109" t="str">
        <f>HYPERLINK("https://www.uniprot.org/uniprot/Q969G5", "Q969G5")</f>
        <v>Q969G5</v>
      </c>
      <c r="D130" s="43" t="s">
        <v>125</v>
      </c>
      <c r="E130" s="16" t="s">
        <v>125</v>
      </c>
      <c r="F130" s="11" t="s">
        <v>1226</v>
      </c>
      <c r="G130" s="28" t="s">
        <v>1227</v>
      </c>
      <c r="H130" s="6" t="s">
        <v>3940</v>
      </c>
      <c r="I130" s="49" t="s">
        <v>5123</v>
      </c>
      <c r="J130" s="73">
        <v>32945503</v>
      </c>
      <c r="K130" s="13" t="s">
        <v>3581</v>
      </c>
      <c r="L130" s="60" t="s">
        <v>3292</v>
      </c>
      <c r="M130" s="60" t="s">
        <v>3292</v>
      </c>
      <c r="N130" s="60" t="s">
        <v>3291</v>
      </c>
      <c r="O130" s="60"/>
      <c r="P130" s="60" t="s">
        <v>5493</v>
      </c>
      <c r="Q130" s="20">
        <v>4</v>
      </c>
    </row>
    <row r="131" spans="1:17" ht="144" x14ac:dyDescent="0.2">
      <c r="A131" s="71">
        <v>130</v>
      </c>
      <c r="B131" s="107" t="str">
        <f>HYPERLINK("https://www.ncbi.nlm.nih.gov/gene/875", "875")</f>
        <v>875</v>
      </c>
      <c r="C131" s="109" t="str">
        <f>HYPERLINK("https://www.uniprot.org/uniprot/P35520", "P35520")</f>
        <v>P35520</v>
      </c>
      <c r="D131" s="43" t="s">
        <v>126</v>
      </c>
      <c r="E131" s="16" t="s">
        <v>126</v>
      </c>
      <c r="F131" s="11"/>
      <c r="G131" s="28" t="s">
        <v>1228</v>
      </c>
      <c r="H131" s="6" t="s">
        <v>1229</v>
      </c>
      <c r="I131" s="49" t="s">
        <v>3378</v>
      </c>
      <c r="J131" s="73" t="s">
        <v>3636</v>
      </c>
      <c r="K131" s="13" t="s">
        <v>3726</v>
      </c>
      <c r="L131" s="60" t="s">
        <v>3289</v>
      </c>
      <c r="M131" s="60" t="s">
        <v>3289</v>
      </c>
      <c r="N131" s="60" t="s">
        <v>3291</v>
      </c>
      <c r="O131" s="60"/>
      <c r="P131" s="60" t="s">
        <v>5493</v>
      </c>
      <c r="Q131" s="20">
        <v>4</v>
      </c>
    </row>
    <row r="132" spans="1:17" ht="112" x14ac:dyDescent="0.2">
      <c r="A132" s="71">
        <v>131</v>
      </c>
      <c r="B132" s="107" t="str">
        <f>HYPERLINK("https://www.ncbi.nlm.nih.gov/gene/26112", "26112")</f>
        <v>26112</v>
      </c>
      <c r="C132" s="109" t="str">
        <f>HYPERLINK("https://www.uniprot.org/uniprot/A6NI79", "A6NI79")</f>
        <v>A6NI79</v>
      </c>
      <c r="D132" s="43" t="s">
        <v>127</v>
      </c>
      <c r="E132" s="16" t="s">
        <v>127</v>
      </c>
      <c r="F132" s="11"/>
      <c r="G132" s="28" t="s">
        <v>1230</v>
      </c>
      <c r="H132" s="6" t="s">
        <v>1231</v>
      </c>
      <c r="I132" s="49" t="s">
        <v>5124</v>
      </c>
      <c r="J132" s="73" t="s">
        <v>2919</v>
      </c>
      <c r="K132" s="13" t="s">
        <v>3727</v>
      </c>
      <c r="L132" s="60" t="s">
        <v>3290</v>
      </c>
      <c r="M132" s="60" t="s">
        <v>3290</v>
      </c>
      <c r="N132" s="60" t="s">
        <v>3291</v>
      </c>
      <c r="O132" s="60"/>
      <c r="P132" s="60" t="s">
        <v>5493</v>
      </c>
      <c r="Q132" s="20">
        <v>4</v>
      </c>
    </row>
    <row r="133" spans="1:17" ht="80" x14ac:dyDescent="0.2">
      <c r="A133" s="71">
        <v>132</v>
      </c>
      <c r="B133" s="107" t="str">
        <f>HYPERLINK("https://www.ncbi.nlm.nih.gov/gene/6347", "6347")</f>
        <v>6347</v>
      </c>
      <c r="C133" s="109" t="str">
        <f>HYPERLINK("https://www.uniprot.org/uniprot/P13500", "P13500")</f>
        <v>P13500</v>
      </c>
      <c r="D133" s="43" t="s">
        <v>128</v>
      </c>
      <c r="E133" s="16" t="s">
        <v>128</v>
      </c>
      <c r="F133" s="11" t="s">
        <v>1232</v>
      </c>
      <c r="G133" s="28" t="s">
        <v>1233</v>
      </c>
      <c r="H133" s="6" t="s">
        <v>3941</v>
      </c>
      <c r="I133" s="49" t="s">
        <v>5125</v>
      </c>
      <c r="J133" s="73" t="s">
        <v>2920</v>
      </c>
      <c r="K133" s="13" t="s">
        <v>3728</v>
      </c>
      <c r="L133" s="60" t="s">
        <v>3289</v>
      </c>
      <c r="M133" s="60" t="s">
        <v>3289</v>
      </c>
      <c r="N133" s="60" t="s">
        <v>3291</v>
      </c>
      <c r="O133" s="60"/>
      <c r="P133" s="60" t="s">
        <v>5494</v>
      </c>
      <c r="Q133" s="20">
        <v>5</v>
      </c>
    </row>
    <row r="134" spans="1:17" ht="80" x14ac:dyDescent="0.2">
      <c r="A134" s="71">
        <v>133</v>
      </c>
      <c r="B134" s="107" t="str">
        <f>HYPERLINK("https://www.ncbi.nlm.nih.gov/gene/6370", "6370")</f>
        <v>6370</v>
      </c>
      <c r="C134" s="109" t="str">
        <f>HYPERLINK("https://www.uniprot.org/uniprot/O15444", "O15444")</f>
        <v>O15444</v>
      </c>
      <c r="D134" s="43" t="s">
        <v>129</v>
      </c>
      <c r="E134" s="16" t="s">
        <v>129</v>
      </c>
      <c r="F134" s="11" t="s">
        <v>1234</v>
      </c>
      <c r="G134" s="28" t="s">
        <v>1235</v>
      </c>
      <c r="H134" s="6" t="s">
        <v>3942</v>
      </c>
      <c r="I134" s="49" t="s">
        <v>5075</v>
      </c>
      <c r="J134" s="73" t="s">
        <v>2921</v>
      </c>
      <c r="K134" s="13" t="s">
        <v>3729</v>
      </c>
      <c r="L134" s="60" t="s">
        <v>3289</v>
      </c>
      <c r="M134" s="60" t="s">
        <v>3289</v>
      </c>
      <c r="N134" s="60" t="s">
        <v>3291</v>
      </c>
      <c r="O134" s="60"/>
      <c r="P134" s="60" t="s">
        <v>5493</v>
      </c>
      <c r="Q134" s="20">
        <v>4</v>
      </c>
    </row>
    <row r="135" spans="1:17" ht="96" x14ac:dyDescent="0.2">
      <c r="A135" s="71">
        <v>134</v>
      </c>
      <c r="B135" s="107" t="str">
        <f>HYPERLINK("https://www.ncbi.nlm.nih.gov/gene/6352", "6352")</f>
        <v>6352</v>
      </c>
      <c r="C135" s="109" t="str">
        <f>HYPERLINK("https://www.uniprot.org/uniprot/P13501", "P13501")</f>
        <v>P13501</v>
      </c>
      <c r="D135" s="43" t="s">
        <v>130</v>
      </c>
      <c r="E135" s="16" t="s">
        <v>130</v>
      </c>
      <c r="F135" s="11" t="s">
        <v>1236</v>
      </c>
      <c r="G135" s="28" t="s">
        <v>1237</v>
      </c>
      <c r="H135" s="6" t="s">
        <v>1238</v>
      </c>
      <c r="I135" s="49" t="s">
        <v>2842</v>
      </c>
      <c r="J135" s="73">
        <v>26983899</v>
      </c>
      <c r="K135" s="5" t="s">
        <v>3730</v>
      </c>
      <c r="L135" s="60" t="s">
        <v>3289</v>
      </c>
      <c r="M135" s="60" t="s">
        <v>3289</v>
      </c>
      <c r="N135" s="60" t="s">
        <v>3289</v>
      </c>
      <c r="O135" s="60"/>
      <c r="P135" s="60" t="s">
        <v>5499</v>
      </c>
      <c r="Q135" s="20">
        <v>5</v>
      </c>
    </row>
    <row r="136" spans="1:17" ht="80" x14ac:dyDescent="0.2">
      <c r="A136" s="71">
        <v>135</v>
      </c>
      <c r="B136" s="107" t="str">
        <f>HYPERLINK("https://www.ncbi.nlm.nih.gov/gene/3491", "3491")</f>
        <v>3491</v>
      </c>
      <c r="C136" s="109" t="str">
        <f>HYPERLINK("https://www.uniprot.org/uniprot/O00622", "O00622")</f>
        <v>O00622</v>
      </c>
      <c r="D136" s="43" t="s">
        <v>200</v>
      </c>
      <c r="E136" s="34" t="s">
        <v>922</v>
      </c>
      <c r="F136" s="11"/>
      <c r="G136" s="28" t="s">
        <v>1389</v>
      </c>
      <c r="H136" s="28" t="s">
        <v>3943</v>
      </c>
      <c r="I136" s="31" t="s">
        <v>2830</v>
      </c>
      <c r="J136" s="73" t="s">
        <v>2963</v>
      </c>
      <c r="K136" s="23" t="s">
        <v>4261</v>
      </c>
      <c r="L136" s="60" t="s">
        <v>3289</v>
      </c>
      <c r="M136" s="60" t="s">
        <v>3289</v>
      </c>
      <c r="N136" s="60" t="s">
        <v>3291</v>
      </c>
      <c r="O136" s="60"/>
      <c r="P136" s="60" t="s">
        <v>5493</v>
      </c>
      <c r="Q136" s="20">
        <v>4</v>
      </c>
    </row>
    <row r="137" spans="1:17" ht="128" x14ac:dyDescent="0.2">
      <c r="A137" s="71">
        <v>136</v>
      </c>
      <c r="B137" s="107" t="str">
        <f>HYPERLINK("https://www.ncbi.nlm.nih.gov/gene/1490", "1490")</f>
        <v>1490</v>
      </c>
      <c r="C137" s="109" t="str">
        <f>HYPERLINK("https://www.uniprot.org/uniprot/P29279", "P29279")</f>
        <v>P29279</v>
      </c>
      <c r="D137" s="43" t="s">
        <v>131</v>
      </c>
      <c r="E137" s="16" t="s">
        <v>131</v>
      </c>
      <c r="F137" s="11" t="s">
        <v>1239</v>
      </c>
      <c r="G137" s="28" t="s">
        <v>1240</v>
      </c>
      <c r="H137" s="6" t="s">
        <v>1241</v>
      </c>
      <c r="I137" s="49" t="s">
        <v>2830</v>
      </c>
      <c r="J137" s="73">
        <v>24637722</v>
      </c>
      <c r="K137" s="13" t="s">
        <v>3731</v>
      </c>
      <c r="L137" s="60" t="s">
        <v>3291</v>
      </c>
      <c r="M137" s="60" t="s">
        <v>3289</v>
      </c>
      <c r="N137" s="60" t="s">
        <v>3289</v>
      </c>
      <c r="O137" s="60"/>
      <c r="P137" s="60" t="s">
        <v>5495</v>
      </c>
      <c r="Q137" s="20">
        <v>2</v>
      </c>
    </row>
    <row r="138" spans="1:17" ht="160" x14ac:dyDescent="0.2">
      <c r="A138" s="71">
        <v>137</v>
      </c>
      <c r="B138" s="107" t="str">
        <f>HYPERLINK("https://www.ncbi.nlm.nih.gov/gene/890", "890")</f>
        <v>890</v>
      </c>
      <c r="C138" s="113" t="str">
        <f>HYPERLINK("https://www.uniprot.org/uniprot/P20248", "P20248")</f>
        <v>P20248</v>
      </c>
      <c r="D138" s="43" t="s">
        <v>132</v>
      </c>
      <c r="E138" s="16" t="s">
        <v>132</v>
      </c>
      <c r="F138" s="11" t="s">
        <v>1242</v>
      </c>
      <c r="G138" s="31" t="s">
        <v>1243</v>
      </c>
      <c r="H138" s="49" t="s">
        <v>1244</v>
      </c>
      <c r="I138" s="49" t="s">
        <v>5126</v>
      </c>
      <c r="J138" s="73" t="s">
        <v>2922</v>
      </c>
      <c r="K138" s="13" t="s">
        <v>3732</v>
      </c>
      <c r="L138" s="60" t="s">
        <v>3289</v>
      </c>
      <c r="M138" s="60" t="s">
        <v>3289</v>
      </c>
      <c r="N138" s="60" t="s">
        <v>3291</v>
      </c>
      <c r="O138" s="60"/>
      <c r="P138" s="60" t="s">
        <v>5494</v>
      </c>
      <c r="Q138" s="64">
        <v>5</v>
      </c>
    </row>
    <row r="139" spans="1:17" ht="80" x14ac:dyDescent="0.2">
      <c r="A139" s="71">
        <v>138</v>
      </c>
      <c r="B139" s="107" t="str">
        <f>HYPERLINK("https://www.ncbi.nlm.nih.gov/gene/595", "595")</f>
        <v>595</v>
      </c>
      <c r="C139" s="109" t="str">
        <f>HYPERLINK("https://www.uniprot.org/uniprot/P24385", "P24385")</f>
        <v>P24385</v>
      </c>
      <c r="D139" s="43" t="s">
        <v>133</v>
      </c>
      <c r="E139" s="16" t="s">
        <v>133</v>
      </c>
      <c r="F139" s="11" t="s">
        <v>1245</v>
      </c>
      <c r="G139" s="28" t="s">
        <v>1246</v>
      </c>
      <c r="H139" s="6" t="s">
        <v>1247</v>
      </c>
      <c r="I139" s="49" t="s">
        <v>2846</v>
      </c>
      <c r="J139" s="73">
        <v>20395447</v>
      </c>
      <c r="K139" s="13" t="s">
        <v>3733</v>
      </c>
      <c r="L139" s="60" t="s">
        <v>3289</v>
      </c>
      <c r="M139" s="60" t="s">
        <v>3289</v>
      </c>
      <c r="N139" s="60" t="s">
        <v>3291</v>
      </c>
      <c r="O139" s="60" t="s">
        <v>5509</v>
      </c>
      <c r="P139" s="60" t="s">
        <v>5492</v>
      </c>
      <c r="Q139" s="20">
        <v>4</v>
      </c>
    </row>
    <row r="140" spans="1:17" ht="144" x14ac:dyDescent="0.2">
      <c r="A140" s="71">
        <v>139</v>
      </c>
      <c r="B140" s="107" t="str">
        <f>HYPERLINK("https://www.ncbi.nlm.nih.gov/gene/898", "898")</f>
        <v>898</v>
      </c>
      <c r="C140" s="109" t="str">
        <f>HYPERLINK("https://www.uniprot.org/uniprot/P24864", "P24864")</f>
        <v>P24864</v>
      </c>
      <c r="D140" s="43" t="s">
        <v>134</v>
      </c>
      <c r="E140" s="16" t="s">
        <v>134</v>
      </c>
      <c r="F140" s="74" t="s">
        <v>1248</v>
      </c>
      <c r="G140" s="28" t="s">
        <v>1249</v>
      </c>
      <c r="H140" s="28" t="s">
        <v>3944</v>
      </c>
      <c r="I140" s="31" t="s">
        <v>2846</v>
      </c>
      <c r="J140" s="73" t="s">
        <v>2923</v>
      </c>
      <c r="K140" s="23" t="s">
        <v>4262</v>
      </c>
      <c r="L140" s="60" t="s">
        <v>3289</v>
      </c>
      <c r="M140" s="60" t="s">
        <v>3289</v>
      </c>
      <c r="N140" s="60" t="s">
        <v>3289</v>
      </c>
      <c r="O140" s="60"/>
      <c r="P140" s="60" t="s">
        <v>5493</v>
      </c>
      <c r="Q140" s="20">
        <v>4</v>
      </c>
    </row>
    <row r="141" spans="1:17" ht="96" x14ac:dyDescent="0.2">
      <c r="A141" s="71">
        <v>140</v>
      </c>
      <c r="B141" s="107" t="str">
        <f>HYPERLINK("https://www.ncbi.nlm.nih.gov/gene/10983", "10983")</f>
        <v>10983</v>
      </c>
      <c r="C141" s="109" t="str">
        <f>HYPERLINK("https://www.uniprot.org/uniprot/Q14094", "Q14094")</f>
        <v>Q14094</v>
      </c>
      <c r="D141" s="43" t="s">
        <v>3404</v>
      </c>
      <c r="E141" s="16" t="s">
        <v>3404</v>
      </c>
      <c r="F141" s="74"/>
      <c r="G141" s="28" t="s">
        <v>3405</v>
      </c>
      <c r="H141" s="28" t="s">
        <v>3945</v>
      </c>
      <c r="I141" s="31" t="s">
        <v>5127</v>
      </c>
      <c r="J141" s="73">
        <v>26698249</v>
      </c>
      <c r="K141" s="23" t="s">
        <v>4263</v>
      </c>
      <c r="L141" s="60" t="s">
        <v>3289</v>
      </c>
      <c r="M141" s="60" t="s">
        <v>3289</v>
      </c>
      <c r="N141" s="60" t="s">
        <v>3289</v>
      </c>
      <c r="O141" s="60"/>
      <c r="P141" s="60" t="s">
        <v>5493</v>
      </c>
      <c r="Q141" s="20">
        <v>4</v>
      </c>
    </row>
    <row r="142" spans="1:17" ht="128" x14ac:dyDescent="0.2">
      <c r="A142" s="71">
        <v>141</v>
      </c>
      <c r="B142" s="107" t="str">
        <f>HYPERLINK("https://www.ncbi.nlm.nih.gov/gene/10803", "10803")</f>
        <v>10803</v>
      </c>
      <c r="C142" s="109" t="str">
        <f>HYPERLINK("https://www.uniprot.org/uniprot/P51686", "P51686")</f>
        <v>P51686</v>
      </c>
      <c r="D142" s="43" t="s">
        <v>135</v>
      </c>
      <c r="E142" s="16" t="s">
        <v>135</v>
      </c>
      <c r="F142" s="11" t="s">
        <v>1250</v>
      </c>
      <c r="G142" s="28" t="s">
        <v>1251</v>
      </c>
      <c r="H142" s="6" t="s">
        <v>1252</v>
      </c>
      <c r="I142" s="49" t="s">
        <v>5075</v>
      </c>
      <c r="J142" s="73" t="s">
        <v>2924</v>
      </c>
      <c r="K142" s="13" t="s">
        <v>3734</v>
      </c>
      <c r="L142" s="60" t="s">
        <v>3289</v>
      </c>
      <c r="M142" s="60" t="s">
        <v>3289</v>
      </c>
      <c r="N142" s="60" t="s">
        <v>3291</v>
      </c>
      <c r="O142" s="60"/>
      <c r="P142" s="60" t="s">
        <v>5493</v>
      </c>
      <c r="Q142" s="20">
        <v>4</v>
      </c>
    </row>
    <row r="143" spans="1:17" ht="128" x14ac:dyDescent="0.2">
      <c r="A143" s="71">
        <v>142</v>
      </c>
      <c r="B143" s="115" t="str">
        <f>HYPERLINK("https://www.ncbi.nlm.nih.gov/gene/100133941", "100133941")</f>
        <v>100133941</v>
      </c>
      <c r="C143" s="109" t="str">
        <f>HYPERLINK("https://www.uniprot.org/uniprot/P25063", "P25063")</f>
        <v>P25063</v>
      </c>
      <c r="D143" s="43" t="s">
        <v>136</v>
      </c>
      <c r="E143" s="16" t="s">
        <v>136</v>
      </c>
      <c r="F143" s="74" t="s">
        <v>1253</v>
      </c>
      <c r="G143" s="28" t="s">
        <v>1254</v>
      </c>
      <c r="H143" s="28" t="s">
        <v>1255</v>
      </c>
      <c r="I143" s="97" t="s">
        <v>5128</v>
      </c>
      <c r="J143" s="73" t="s">
        <v>2925</v>
      </c>
      <c r="K143" s="23" t="s">
        <v>4264</v>
      </c>
      <c r="L143" s="60" t="s">
        <v>3289</v>
      </c>
      <c r="M143" s="60" t="s">
        <v>3289</v>
      </c>
      <c r="N143" s="60" t="s">
        <v>3291</v>
      </c>
      <c r="O143" s="60"/>
      <c r="P143" s="60" t="s">
        <v>5499</v>
      </c>
      <c r="Q143" s="20">
        <v>5</v>
      </c>
    </row>
    <row r="144" spans="1:17" ht="112" x14ac:dyDescent="0.2">
      <c r="A144" s="71">
        <v>143</v>
      </c>
      <c r="B144" s="107" t="str">
        <f>HYPERLINK("https://www.ncbi.nlm.nih.gov/gene/29126", "29126")</f>
        <v>29126</v>
      </c>
      <c r="C144" s="114" t="str">
        <f>HYPERLINK("https://www.uniprot.org/uniprot/Q9NZQ7", "Q9NZQ7")</f>
        <v>Q9NZQ7</v>
      </c>
      <c r="D144" s="43" t="s">
        <v>137</v>
      </c>
      <c r="E144" s="16" t="s">
        <v>137</v>
      </c>
      <c r="F144" s="74" t="s">
        <v>1256</v>
      </c>
      <c r="G144" s="28" t="s">
        <v>1257</v>
      </c>
      <c r="H144" s="28" t="s">
        <v>3414</v>
      </c>
      <c r="I144" s="31" t="s">
        <v>5129</v>
      </c>
      <c r="J144" s="73" t="s">
        <v>2926</v>
      </c>
      <c r="K144" s="23" t="s">
        <v>4265</v>
      </c>
      <c r="L144" s="60" t="s">
        <v>3289</v>
      </c>
      <c r="M144" s="60" t="s">
        <v>3289</v>
      </c>
      <c r="N144" s="60" t="s">
        <v>3291</v>
      </c>
      <c r="O144" s="60"/>
      <c r="P144" s="60" t="s">
        <v>5492</v>
      </c>
      <c r="Q144" s="20">
        <v>4</v>
      </c>
    </row>
    <row r="145" spans="1:17" ht="96" x14ac:dyDescent="0.2">
      <c r="A145" s="71">
        <v>144</v>
      </c>
      <c r="B145" s="107" t="str">
        <f>HYPERLINK("https://www.ncbi.nlm.nih.gov/gene/958", "958")</f>
        <v>958</v>
      </c>
      <c r="C145" s="109" t="str">
        <f>HYPERLINK("https://www.uniprot.org/uniprot/P25942", "P25942")</f>
        <v>P25942</v>
      </c>
      <c r="D145" s="43" t="s">
        <v>138</v>
      </c>
      <c r="E145" s="35" t="s">
        <v>138</v>
      </c>
      <c r="F145" s="79" t="s">
        <v>1258</v>
      </c>
      <c r="G145" s="30" t="s">
        <v>1259</v>
      </c>
      <c r="H145" s="30" t="s">
        <v>3946</v>
      </c>
      <c r="I145" s="47" t="s">
        <v>5130</v>
      </c>
      <c r="J145" s="73" t="s">
        <v>2927</v>
      </c>
      <c r="K145" s="23" t="s">
        <v>4266</v>
      </c>
      <c r="L145" s="60" t="s">
        <v>3292</v>
      </c>
      <c r="M145" s="60" t="s">
        <v>3292</v>
      </c>
      <c r="N145" s="60" t="s">
        <v>3291</v>
      </c>
      <c r="O145" s="60"/>
      <c r="P145" s="60" t="s">
        <v>5493</v>
      </c>
      <c r="Q145" s="20">
        <v>4</v>
      </c>
    </row>
    <row r="146" spans="1:17" ht="48" x14ac:dyDescent="0.2">
      <c r="A146" s="71">
        <v>145</v>
      </c>
      <c r="B146" s="107" t="str">
        <f>HYPERLINK("https://www.ncbi.nlm.nih.gov/gene/959", "959")</f>
        <v>959</v>
      </c>
      <c r="C146" s="109" t="str">
        <f>HYPERLINK("https://www.uniprot.org/uniprot/P29965", "P29965")</f>
        <v>P29965</v>
      </c>
      <c r="D146" s="43" t="s">
        <v>139</v>
      </c>
      <c r="E146" s="35" t="s">
        <v>139</v>
      </c>
      <c r="F146" s="79" t="s">
        <v>1260</v>
      </c>
      <c r="G146" s="30" t="s">
        <v>1261</v>
      </c>
      <c r="H146" s="30" t="s">
        <v>1262</v>
      </c>
      <c r="I146" s="47" t="s">
        <v>2842</v>
      </c>
      <c r="J146" s="73" t="s">
        <v>2927</v>
      </c>
      <c r="K146" s="23" t="s">
        <v>2928</v>
      </c>
      <c r="L146" s="60" t="s">
        <v>3291</v>
      </c>
      <c r="M146" s="60" t="s">
        <v>3292</v>
      </c>
      <c r="N146" s="60" t="s">
        <v>3291</v>
      </c>
      <c r="O146" s="60"/>
      <c r="P146" s="60" t="s">
        <v>5493</v>
      </c>
      <c r="Q146" s="20">
        <v>4</v>
      </c>
    </row>
    <row r="147" spans="1:17" ht="192" x14ac:dyDescent="0.2">
      <c r="A147" s="71">
        <v>146</v>
      </c>
      <c r="B147" s="107" t="str">
        <f>HYPERLINK("https://www.ncbi.nlm.nih.gov/gene/960", "960")</f>
        <v>960</v>
      </c>
      <c r="C147" s="109" t="str">
        <f>HYPERLINK("https://www.uniprot.org/uniprot/P16070", "P16070")</f>
        <v>P16070</v>
      </c>
      <c r="D147" s="43" t="s">
        <v>140</v>
      </c>
      <c r="E147" s="16" t="s">
        <v>140</v>
      </c>
      <c r="F147" s="74" t="s">
        <v>1263</v>
      </c>
      <c r="G147" s="28" t="s">
        <v>1264</v>
      </c>
      <c r="H147" s="28" t="s">
        <v>1265</v>
      </c>
      <c r="I147" s="31" t="s">
        <v>5131</v>
      </c>
      <c r="J147" s="73" t="s">
        <v>3888</v>
      </c>
      <c r="K147" s="23" t="s">
        <v>4267</v>
      </c>
      <c r="L147" s="60" t="s">
        <v>3289</v>
      </c>
      <c r="M147" s="60" t="s">
        <v>3289</v>
      </c>
      <c r="N147" s="60" t="s">
        <v>3291</v>
      </c>
      <c r="O147" s="60"/>
      <c r="P147" s="60" t="s">
        <v>5499</v>
      </c>
      <c r="Q147" s="20">
        <v>5</v>
      </c>
    </row>
    <row r="148" spans="1:17" ht="176" x14ac:dyDescent="0.2">
      <c r="A148" s="71">
        <v>147</v>
      </c>
      <c r="B148" s="107" t="str">
        <f>HYPERLINK("https://www.ncbi.nlm.nih.gov/gene/1604", "1604")</f>
        <v>1604</v>
      </c>
      <c r="C148" s="109" t="str">
        <f>HYPERLINK("https://www.uniprot.org/uniprot/P08174", "P08174")</f>
        <v>P08174</v>
      </c>
      <c r="D148" s="43" t="s">
        <v>141</v>
      </c>
      <c r="E148" s="16" t="s">
        <v>141</v>
      </c>
      <c r="F148" s="54" t="s">
        <v>1266</v>
      </c>
      <c r="G148" s="28" t="s">
        <v>1267</v>
      </c>
      <c r="H148" s="28" t="s">
        <v>1268</v>
      </c>
      <c r="I148" s="31" t="s">
        <v>5132</v>
      </c>
      <c r="J148" s="73">
        <v>28838952</v>
      </c>
      <c r="K148" s="23" t="s">
        <v>3614</v>
      </c>
      <c r="L148" s="60" t="s">
        <v>3289</v>
      </c>
      <c r="M148" s="60" t="s">
        <v>3289</v>
      </c>
      <c r="N148" s="60" t="s">
        <v>3291</v>
      </c>
      <c r="O148" s="60"/>
      <c r="P148" s="60" t="s">
        <v>5495</v>
      </c>
      <c r="Q148" s="20">
        <v>2</v>
      </c>
    </row>
    <row r="149" spans="1:17" ht="144" x14ac:dyDescent="0.2">
      <c r="A149" s="71">
        <v>148</v>
      </c>
      <c r="B149" s="107" t="str">
        <f>HYPERLINK("https://www.ncbi.nlm.nih.gov/gene/925", "925")</f>
        <v>925</v>
      </c>
      <c r="C149" s="109" t="str">
        <f>HYPERLINK("https://www.uniprot.org/uniprot/P01732", "P01732")</f>
        <v>P01732</v>
      </c>
      <c r="D149" s="43" t="s">
        <v>142</v>
      </c>
      <c r="E149" s="35" t="s">
        <v>142</v>
      </c>
      <c r="F149" s="10" t="s">
        <v>452</v>
      </c>
      <c r="G149" s="30" t="s">
        <v>1269</v>
      </c>
      <c r="H149" s="30" t="s">
        <v>1270</v>
      </c>
      <c r="I149" s="47" t="s">
        <v>5133</v>
      </c>
      <c r="J149" s="73">
        <v>27133165</v>
      </c>
      <c r="K149" s="23" t="s">
        <v>4268</v>
      </c>
      <c r="L149" s="60" t="s">
        <v>3292</v>
      </c>
      <c r="M149" s="60" t="s">
        <v>3292</v>
      </c>
      <c r="N149" s="60"/>
      <c r="O149" s="60"/>
      <c r="P149" s="60" t="s">
        <v>5493</v>
      </c>
      <c r="Q149" s="20">
        <v>4</v>
      </c>
    </row>
    <row r="150" spans="1:17" ht="48" x14ac:dyDescent="0.2">
      <c r="A150" s="71">
        <v>149</v>
      </c>
      <c r="B150" s="107" t="str">
        <f>HYPERLINK("https://www.ncbi.nlm.nih.gov/gene/926", "926")</f>
        <v>926</v>
      </c>
      <c r="C150" s="109" t="str">
        <f>HYPERLINK("https://www.uniprot.org/uniprot/P10966", "P10966")</f>
        <v>P10966</v>
      </c>
      <c r="D150" s="43" t="s">
        <v>143</v>
      </c>
      <c r="E150" s="35" t="s">
        <v>143</v>
      </c>
      <c r="F150" s="30" t="s">
        <v>1271</v>
      </c>
      <c r="G150" s="30" t="s">
        <v>1272</v>
      </c>
      <c r="H150" s="50" t="s">
        <v>1273</v>
      </c>
      <c r="I150" s="98" t="s">
        <v>5133</v>
      </c>
      <c r="J150" s="73">
        <v>27133165</v>
      </c>
      <c r="K150" s="23" t="s">
        <v>1273</v>
      </c>
      <c r="L150" s="60" t="s">
        <v>3292</v>
      </c>
      <c r="M150" s="60" t="s">
        <v>3292</v>
      </c>
      <c r="N150" s="60"/>
      <c r="O150" s="60"/>
      <c r="P150" s="60" t="s">
        <v>5493</v>
      </c>
      <c r="Q150" s="20">
        <v>4</v>
      </c>
    </row>
    <row r="151" spans="1:17" ht="80" x14ac:dyDescent="0.2">
      <c r="A151" s="71">
        <v>150</v>
      </c>
      <c r="B151" s="107" t="str">
        <f>HYPERLINK("https://www.ncbi.nlm.nih.gov/gene/11140", "11140")</f>
        <v>11140</v>
      </c>
      <c r="C151" s="109" t="str">
        <f>HYPERLINK("https://www.uniprot.org/uniprot/Q16543", "Q16543")</f>
        <v>Q16543</v>
      </c>
      <c r="D151" s="43" t="s">
        <v>144</v>
      </c>
      <c r="E151" s="16" t="s">
        <v>921</v>
      </c>
      <c r="F151" s="74" t="s">
        <v>1274</v>
      </c>
      <c r="G151" s="28" t="s">
        <v>1275</v>
      </c>
      <c r="H151" s="28" t="s">
        <v>3947</v>
      </c>
      <c r="I151" s="31" t="s">
        <v>2855</v>
      </c>
      <c r="J151" s="73" t="s">
        <v>2929</v>
      </c>
      <c r="K151" s="23" t="s">
        <v>4269</v>
      </c>
      <c r="L151" s="60" t="s">
        <v>3291</v>
      </c>
      <c r="M151" s="60" t="s">
        <v>3289</v>
      </c>
      <c r="N151" s="60" t="s">
        <v>3291</v>
      </c>
      <c r="O151" s="60"/>
      <c r="P151" s="60" t="s">
        <v>3323</v>
      </c>
      <c r="Q151" s="20">
        <v>1</v>
      </c>
    </row>
    <row r="152" spans="1:17" ht="96" x14ac:dyDescent="0.2">
      <c r="A152" s="71">
        <v>151</v>
      </c>
      <c r="B152" s="107" t="str">
        <f>HYPERLINK("https://www.ncbi.nlm.nih.gov/gene/998", "998")</f>
        <v>998</v>
      </c>
      <c r="C152" s="109" t="str">
        <f>HYPERLINK("https://www.uniprot.org/uniprot/P60953", "P60953")</f>
        <v>P60953</v>
      </c>
      <c r="D152" s="43" t="s">
        <v>145</v>
      </c>
      <c r="E152" s="16" t="s">
        <v>145</v>
      </c>
      <c r="F152" s="74"/>
      <c r="G152" s="28" t="s">
        <v>4967</v>
      </c>
      <c r="H152" s="28" t="s">
        <v>1276</v>
      </c>
      <c r="I152" s="31" t="s">
        <v>2830</v>
      </c>
      <c r="J152" s="73" t="s">
        <v>2930</v>
      </c>
      <c r="K152" s="23" t="s">
        <v>4270</v>
      </c>
      <c r="L152" s="60" t="s">
        <v>3289</v>
      </c>
      <c r="M152" s="60" t="s">
        <v>3289</v>
      </c>
      <c r="N152" s="60" t="s">
        <v>3291</v>
      </c>
      <c r="O152" s="60"/>
      <c r="P152" s="60" t="s">
        <v>3323</v>
      </c>
      <c r="Q152" s="20">
        <v>1</v>
      </c>
    </row>
    <row r="153" spans="1:17" ht="128" x14ac:dyDescent="0.2">
      <c r="A153" s="71">
        <v>152</v>
      </c>
      <c r="B153" s="107" t="str">
        <f>HYPERLINK("https://www.ncbi.nlm.nih.gov/gene/8317", "8317")</f>
        <v>8317</v>
      </c>
      <c r="C153" s="109" t="str">
        <f>HYPERLINK("http://www.uniprot.org/uniprot/O00311", "O00311")</f>
        <v>O00311</v>
      </c>
      <c r="D153" s="43" t="s">
        <v>146</v>
      </c>
      <c r="E153" s="16" t="s">
        <v>146</v>
      </c>
      <c r="F153" s="74" t="s">
        <v>1277</v>
      </c>
      <c r="G153" s="28" t="s">
        <v>1278</v>
      </c>
      <c r="H153" s="28" t="s">
        <v>1279</v>
      </c>
      <c r="I153" s="31" t="s">
        <v>5101</v>
      </c>
      <c r="J153" s="73" t="s">
        <v>3508</v>
      </c>
      <c r="K153" s="23" t="s">
        <v>4271</v>
      </c>
      <c r="L153" s="60" t="s">
        <v>3289</v>
      </c>
      <c r="M153" s="60" t="s">
        <v>3289</v>
      </c>
      <c r="N153" s="60" t="s">
        <v>3291</v>
      </c>
      <c r="O153" s="60"/>
      <c r="P153" s="60" t="s">
        <v>3323</v>
      </c>
      <c r="Q153" s="20">
        <v>1</v>
      </c>
    </row>
    <row r="154" spans="1:17" ht="96" x14ac:dyDescent="0.2">
      <c r="A154" s="71">
        <v>153</v>
      </c>
      <c r="B154" s="107" t="str">
        <f>HYPERLINK("https://www.ncbi.nlm.nih.gov/gene/64866", "64866")</f>
        <v>64866</v>
      </c>
      <c r="C154" s="109" t="str">
        <f>HYPERLINK("https://www.uniprot.org/uniprot/Q9H5V8", "Q9H5V8")</f>
        <v>Q9H5V8</v>
      </c>
      <c r="D154" s="43" t="s">
        <v>147</v>
      </c>
      <c r="E154" s="35" t="s">
        <v>147</v>
      </c>
      <c r="F154" s="79" t="s">
        <v>1280</v>
      </c>
      <c r="G154" s="30" t="s">
        <v>1281</v>
      </c>
      <c r="H154" s="30" t="s">
        <v>3948</v>
      </c>
      <c r="I154" s="47" t="s">
        <v>2835</v>
      </c>
      <c r="J154" s="73">
        <v>25893298</v>
      </c>
      <c r="K154" s="23" t="s">
        <v>4272</v>
      </c>
      <c r="L154" s="60" t="s">
        <v>3289</v>
      </c>
      <c r="M154" s="60" t="s">
        <v>3289</v>
      </c>
      <c r="N154" s="60" t="s">
        <v>3291</v>
      </c>
      <c r="O154" s="60"/>
      <c r="P154" s="60" t="s">
        <v>5494</v>
      </c>
      <c r="Q154" s="20">
        <v>5</v>
      </c>
    </row>
    <row r="155" spans="1:17" ht="80" x14ac:dyDescent="0.2">
      <c r="A155" s="71">
        <v>154</v>
      </c>
      <c r="B155" s="107" t="str">
        <f>HYPERLINK("https://www.ncbi.nlm.nih.gov/gene/999", "999")</f>
        <v>999</v>
      </c>
      <c r="C155" s="109" t="str">
        <f>HYPERLINK("https://www.uniprot.org/uniprot/P12830", "P12830")</f>
        <v>P12830</v>
      </c>
      <c r="D155" s="43" t="s">
        <v>148</v>
      </c>
      <c r="E155" s="16" t="s">
        <v>148</v>
      </c>
      <c r="F155" s="11" t="s">
        <v>1282</v>
      </c>
      <c r="G155" s="28" t="s">
        <v>4968</v>
      </c>
      <c r="H155" s="6" t="s">
        <v>3949</v>
      </c>
      <c r="I155" s="49" t="s">
        <v>5134</v>
      </c>
      <c r="J155" s="73" t="s">
        <v>2931</v>
      </c>
      <c r="K155" s="13" t="s">
        <v>3735</v>
      </c>
      <c r="L155" s="60" t="s">
        <v>3292</v>
      </c>
      <c r="M155" s="60" t="s">
        <v>3292</v>
      </c>
      <c r="N155" s="60" t="s">
        <v>3292</v>
      </c>
      <c r="O155" s="60"/>
      <c r="P155" s="60" t="s">
        <v>5493</v>
      </c>
      <c r="Q155" s="20">
        <v>4</v>
      </c>
    </row>
    <row r="156" spans="1:17" ht="112" x14ac:dyDescent="0.2">
      <c r="A156" s="71">
        <v>155</v>
      </c>
      <c r="B156" s="107" t="str">
        <f>HYPERLINK("https://www.ncbi.nlm.nih.gov/gene/1000", "1000")</f>
        <v>1000</v>
      </c>
      <c r="C156" s="109" t="str">
        <f>HYPERLINK("https://www.uniprot.org/uniprot/P19022", "P19022")</f>
        <v>P19022</v>
      </c>
      <c r="D156" s="43" t="s">
        <v>149</v>
      </c>
      <c r="E156" s="16" t="s">
        <v>149</v>
      </c>
      <c r="F156" s="74" t="s">
        <v>1283</v>
      </c>
      <c r="G156" s="28" t="s">
        <v>4969</v>
      </c>
      <c r="H156" s="30" t="s">
        <v>1284</v>
      </c>
      <c r="I156" s="47" t="s">
        <v>5135</v>
      </c>
      <c r="J156" s="73" t="s">
        <v>2932</v>
      </c>
      <c r="K156" s="23" t="s">
        <v>4273</v>
      </c>
      <c r="L156" s="60" t="s">
        <v>3289</v>
      </c>
      <c r="M156" s="60" t="s">
        <v>3289</v>
      </c>
      <c r="N156" s="60" t="s">
        <v>3300</v>
      </c>
      <c r="O156" s="60"/>
      <c r="P156" s="60" t="s">
        <v>5493</v>
      </c>
      <c r="Q156" s="20">
        <v>4</v>
      </c>
    </row>
    <row r="157" spans="1:17" ht="80" x14ac:dyDescent="0.2">
      <c r="A157" s="71">
        <v>156</v>
      </c>
      <c r="B157" s="107" t="str">
        <f>HYPERLINK("https://www.ncbi.nlm.nih.gov/gene/51755", "51755")</f>
        <v>51755</v>
      </c>
      <c r="C157" s="113" t="str">
        <f>HYPERLINK("https://www.uniprot.org/uniprot/Q9NYV4", "Q9NYV4")</f>
        <v>Q9NYV4</v>
      </c>
      <c r="D157" s="43" t="s">
        <v>150</v>
      </c>
      <c r="E157" s="34" t="s">
        <v>150</v>
      </c>
      <c r="F157" s="30" t="s">
        <v>1285</v>
      </c>
      <c r="G157" s="28" t="s">
        <v>4970</v>
      </c>
      <c r="H157" s="28" t="s">
        <v>3950</v>
      </c>
      <c r="I157" s="31" t="s">
        <v>3332</v>
      </c>
      <c r="J157" s="73">
        <v>24554720</v>
      </c>
      <c r="K157" s="30" t="s">
        <v>4274</v>
      </c>
      <c r="L157" s="60" t="s">
        <v>3291</v>
      </c>
      <c r="M157" s="60" t="s">
        <v>3289</v>
      </c>
      <c r="N157" s="60" t="s">
        <v>3291</v>
      </c>
      <c r="O157" s="60"/>
      <c r="P157" s="60" t="s">
        <v>3323</v>
      </c>
      <c r="Q157" s="20">
        <v>1</v>
      </c>
    </row>
    <row r="158" spans="1:17" ht="96" x14ac:dyDescent="0.2">
      <c r="A158" s="71">
        <v>157</v>
      </c>
      <c r="B158" s="107" t="str">
        <f>HYPERLINK("https://www.ncbi.nlm.nih.gov/gene/1017", "1017")</f>
        <v>1017</v>
      </c>
      <c r="C158" s="109" t="str">
        <f>HYPERLINK("https://www.uniprot.org/uniprot/P24941", "P24941")</f>
        <v>P24941</v>
      </c>
      <c r="D158" s="43" t="s">
        <v>151</v>
      </c>
      <c r="E158" s="35" t="s">
        <v>151</v>
      </c>
      <c r="F158" s="79" t="s">
        <v>1286</v>
      </c>
      <c r="G158" s="30" t="s">
        <v>1287</v>
      </c>
      <c r="H158" s="30" t="s">
        <v>1288</v>
      </c>
      <c r="I158" s="47" t="s">
        <v>5126</v>
      </c>
      <c r="J158" s="73" t="s">
        <v>2933</v>
      </c>
      <c r="K158" s="23" t="s">
        <v>4275</v>
      </c>
      <c r="L158" s="60" t="s">
        <v>3289</v>
      </c>
      <c r="M158" s="60" t="s">
        <v>3289</v>
      </c>
      <c r="N158" s="60" t="s">
        <v>3291</v>
      </c>
      <c r="O158" s="60"/>
      <c r="P158" s="60" t="s">
        <v>5493</v>
      </c>
      <c r="Q158" s="20">
        <v>4</v>
      </c>
    </row>
    <row r="159" spans="1:17" ht="128" x14ac:dyDescent="0.2">
      <c r="A159" s="71">
        <v>158</v>
      </c>
      <c r="B159" s="107" t="str">
        <f>HYPERLINK("https://www.ncbi.nlm.nih.gov/gene/1019", "1019")</f>
        <v>1019</v>
      </c>
      <c r="C159" s="109" t="str">
        <f>HYPERLINK("https://www.uniprot.org/uniprot/P11802", "P11802")</f>
        <v>P11802</v>
      </c>
      <c r="D159" s="43" t="s">
        <v>152</v>
      </c>
      <c r="E159" s="16" t="s">
        <v>152</v>
      </c>
      <c r="F159" s="11"/>
      <c r="G159" s="28" t="s">
        <v>1289</v>
      </c>
      <c r="H159" s="6" t="s">
        <v>3951</v>
      </c>
      <c r="I159" s="49" t="s">
        <v>2846</v>
      </c>
      <c r="J159" s="73" t="s">
        <v>2934</v>
      </c>
      <c r="K159" s="5" t="s">
        <v>3736</v>
      </c>
      <c r="L159" s="60" t="s">
        <v>3289</v>
      </c>
      <c r="M159" s="60" t="s">
        <v>3289</v>
      </c>
      <c r="N159" s="60" t="s">
        <v>3291</v>
      </c>
      <c r="O159" s="60" t="s">
        <v>5509</v>
      </c>
      <c r="P159" s="60" t="s">
        <v>5494</v>
      </c>
      <c r="Q159" s="20">
        <v>5</v>
      </c>
    </row>
    <row r="160" spans="1:17" ht="112" x14ac:dyDescent="0.2">
      <c r="A160" s="71">
        <v>159</v>
      </c>
      <c r="B160" s="107" t="str">
        <f>HYPERLINK("https://www.ncbi.nlm.nih.gov/gene/1020", "1020")</f>
        <v>1020</v>
      </c>
      <c r="C160" s="109" t="str">
        <f>HYPERLINK("https://www.uniprot.org/uniprot/Q00535", "Q00535")</f>
        <v>Q00535</v>
      </c>
      <c r="D160" s="43" t="s">
        <v>153</v>
      </c>
      <c r="E160" s="84" t="s">
        <v>153</v>
      </c>
      <c r="F160" s="85" t="s">
        <v>1290</v>
      </c>
      <c r="G160" s="59" t="s">
        <v>4971</v>
      </c>
      <c r="H160" s="48" t="s">
        <v>3952</v>
      </c>
      <c r="I160" s="99" t="s">
        <v>5136</v>
      </c>
      <c r="J160" s="73" t="s">
        <v>2935</v>
      </c>
      <c r="K160" s="48" t="s">
        <v>3737</v>
      </c>
      <c r="L160" s="104" t="s">
        <v>3289</v>
      </c>
      <c r="M160" s="104" t="s">
        <v>3289</v>
      </c>
      <c r="N160" s="104" t="s">
        <v>3291</v>
      </c>
      <c r="O160" s="104"/>
      <c r="P160" s="104" t="s">
        <v>3323</v>
      </c>
      <c r="Q160" s="4">
        <v>1</v>
      </c>
    </row>
    <row r="161" spans="1:17" ht="80" x14ac:dyDescent="0.2">
      <c r="A161" s="71">
        <v>160</v>
      </c>
      <c r="B161" s="107" t="str">
        <f>HYPERLINK("https://www.ncbi.nlm.nih.gov/gene/1022", "1022")</f>
        <v>1022</v>
      </c>
      <c r="C161" s="109" t="str">
        <f>HYPERLINK("https://www.uniprot.org/uniprot/P50613", "P50613")</f>
        <v>P50613</v>
      </c>
      <c r="D161" s="43" t="s">
        <v>154</v>
      </c>
      <c r="E161" s="35" t="s">
        <v>154</v>
      </c>
      <c r="F161" s="79" t="s">
        <v>1291</v>
      </c>
      <c r="G161" s="30" t="s">
        <v>1292</v>
      </c>
      <c r="H161" s="30" t="s">
        <v>1293</v>
      </c>
      <c r="I161" s="47" t="s">
        <v>5137</v>
      </c>
      <c r="J161" s="73" t="s">
        <v>2936</v>
      </c>
      <c r="K161" s="30" t="s">
        <v>4276</v>
      </c>
      <c r="L161" s="60" t="s">
        <v>3289</v>
      </c>
      <c r="M161" s="60" t="s">
        <v>3289</v>
      </c>
      <c r="N161" s="60" t="s">
        <v>3291</v>
      </c>
      <c r="O161" s="60"/>
      <c r="P161" s="60" t="s">
        <v>5493</v>
      </c>
      <c r="Q161" s="20">
        <v>4</v>
      </c>
    </row>
    <row r="162" spans="1:17" ht="128" x14ac:dyDescent="0.2">
      <c r="A162" s="71">
        <v>161</v>
      </c>
      <c r="B162" s="107" t="str">
        <f>HYPERLINK("https://www.ncbi.nlm.nih.gov/gene/1026", "1026")</f>
        <v>1026</v>
      </c>
      <c r="C162" s="109" t="str">
        <f>HYPERLINK("https://www.uniprot.org/uniprot/P38936", "P38936")</f>
        <v>P38936</v>
      </c>
      <c r="D162" s="43" t="s">
        <v>155</v>
      </c>
      <c r="E162" s="35" t="s">
        <v>155</v>
      </c>
      <c r="F162" s="79" t="s">
        <v>1294</v>
      </c>
      <c r="G162" s="30" t="s">
        <v>1295</v>
      </c>
      <c r="H162" s="30" t="s">
        <v>3953</v>
      </c>
      <c r="I162" s="47" t="s">
        <v>5124</v>
      </c>
      <c r="J162" s="73" t="s">
        <v>3598</v>
      </c>
      <c r="K162" s="30" t="s">
        <v>4277</v>
      </c>
      <c r="L162" s="60" t="s">
        <v>3301</v>
      </c>
      <c r="M162" s="60" t="s">
        <v>5513</v>
      </c>
      <c r="N162" s="60" t="s">
        <v>3301</v>
      </c>
      <c r="O162" s="60"/>
      <c r="P162" s="60" t="s">
        <v>5493</v>
      </c>
      <c r="Q162" s="20">
        <v>4</v>
      </c>
    </row>
    <row r="163" spans="1:17" ht="144" x14ac:dyDescent="0.2">
      <c r="A163" s="71">
        <v>162</v>
      </c>
      <c r="B163" s="107" t="str">
        <f>HYPERLINK("https://www.ncbi.nlm.nih.gov/gene/1027", "1027")</f>
        <v>1027</v>
      </c>
      <c r="C163" s="109" t="str">
        <f>HYPERLINK("https://www.uniprot.org/uniprot/P46527", "P46527")</f>
        <v>P46527</v>
      </c>
      <c r="D163" s="43" t="s">
        <v>156</v>
      </c>
      <c r="E163" s="35" t="s">
        <v>156</v>
      </c>
      <c r="F163" s="79" t="s">
        <v>1296</v>
      </c>
      <c r="G163" s="30" t="s">
        <v>1297</v>
      </c>
      <c r="H163" s="30" t="s">
        <v>1298</v>
      </c>
      <c r="I163" s="47" t="s">
        <v>2846</v>
      </c>
      <c r="J163" s="73" t="s">
        <v>2937</v>
      </c>
      <c r="K163" s="23" t="s">
        <v>4278</v>
      </c>
      <c r="L163" s="60" t="s">
        <v>3292</v>
      </c>
      <c r="M163" s="60" t="s">
        <v>3292</v>
      </c>
      <c r="N163" s="60" t="s">
        <v>3292</v>
      </c>
      <c r="O163" s="60"/>
      <c r="P163" s="60" t="s">
        <v>5493</v>
      </c>
      <c r="Q163" s="20">
        <v>4</v>
      </c>
    </row>
    <row r="164" spans="1:17" ht="64" x14ac:dyDescent="0.2">
      <c r="A164" s="71">
        <v>163</v>
      </c>
      <c r="B164" s="107" t="str">
        <f>HYPERLINK("https://www.ncbi.nlm.nih.gov/gene/1028", "1028")</f>
        <v>1028</v>
      </c>
      <c r="C164" s="109" t="str">
        <f>HYPERLINK("https://www.uniprot.org/uniprot/P49918", "P49918")</f>
        <v>P49918</v>
      </c>
      <c r="D164" s="43" t="s">
        <v>157</v>
      </c>
      <c r="E164" s="16" t="s">
        <v>157</v>
      </c>
      <c r="F164" s="11" t="s">
        <v>1299</v>
      </c>
      <c r="G164" s="28" t="s">
        <v>1300</v>
      </c>
      <c r="H164" s="6" t="s">
        <v>3954</v>
      </c>
      <c r="I164" s="49" t="s">
        <v>2846</v>
      </c>
      <c r="J164" s="73" t="s">
        <v>2938</v>
      </c>
      <c r="K164" s="16" t="s">
        <v>3738</v>
      </c>
      <c r="L164" s="60" t="s">
        <v>3290</v>
      </c>
      <c r="M164" s="60" t="s">
        <v>3292</v>
      </c>
      <c r="N164" s="60" t="s">
        <v>3292</v>
      </c>
      <c r="O164" s="60"/>
      <c r="P164" s="60" t="s">
        <v>5492</v>
      </c>
      <c r="Q164" s="20">
        <v>4</v>
      </c>
    </row>
    <row r="165" spans="1:17" ht="96" x14ac:dyDescent="0.2">
      <c r="A165" s="71">
        <v>164</v>
      </c>
      <c r="B165" s="107" t="str">
        <f>HYPERLINK("https://www.ncbi.nlm.nih.gov/gene/1029", "1029")</f>
        <v>1029</v>
      </c>
      <c r="C165" s="109" t="str">
        <f>HYPERLINK("https://www.uniprot.org/uniprot/P42771", "P42771")</f>
        <v>P42771</v>
      </c>
      <c r="D165" s="43" t="s">
        <v>158</v>
      </c>
      <c r="E165" s="16" t="s">
        <v>158</v>
      </c>
      <c r="F165" s="11" t="s">
        <v>1301</v>
      </c>
      <c r="G165" s="28" t="s">
        <v>1302</v>
      </c>
      <c r="H165" s="6" t="s">
        <v>3955</v>
      </c>
      <c r="I165" s="49" t="s">
        <v>5124</v>
      </c>
      <c r="J165" s="73" t="s">
        <v>3587</v>
      </c>
      <c r="K165" s="16" t="s">
        <v>3739</v>
      </c>
      <c r="L165" s="60" t="s">
        <v>3290</v>
      </c>
      <c r="M165" s="60" t="s">
        <v>3290</v>
      </c>
      <c r="N165" s="60" t="s">
        <v>3291</v>
      </c>
      <c r="O165" s="60"/>
      <c r="P165" s="60" t="s">
        <v>3323</v>
      </c>
      <c r="Q165" s="20">
        <v>1</v>
      </c>
    </row>
    <row r="166" spans="1:17" ht="64" x14ac:dyDescent="0.2">
      <c r="A166" s="71">
        <v>165</v>
      </c>
      <c r="B166" s="107" t="str">
        <f>HYPERLINK("https://www.ncbi.nlm.nih.gov/gene/1031", "1031")</f>
        <v>1031</v>
      </c>
      <c r="C166" s="109" t="str">
        <f>HYPERLINK("https://www.uniprot.org/uniprot/P42773", "P42773")</f>
        <v>P42773</v>
      </c>
      <c r="D166" s="43" t="s">
        <v>159</v>
      </c>
      <c r="E166" s="16" t="s">
        <v>159</v>
      </c>
      <c r="F166" s="80" t="s">
        <v>1303</v>
      </c>
      <c r="G166" s="28" t="s">
        <v>1304</v>
      </c>
      <c r="H166" s="6" t="s">
        <v>3956</v>
      </c>
      <c r="I166" s="49" t="s">
        <v>2846</v>
      </c>
      <c r="J166" s="73">
        <v>21494915</v>
      </c>
      <c r="K166" s="13" t="s">
        <v>3740</v>
      </c>
      <c r="L166" s="60" t="s">
        <v>3291</v>
      </c>
      <c r="M166" s="60" t="s">
        <v>3289</v>
      </c>
      <c r="N166" s="60" t="s">
        <v>3291</v>
      </c>
      <c r="O166" s="60"/>
      <c r="P166" s="60" t="s">
        <v>3323</v>
      </c>
      <c r="Q166" s="20">
        <v>1</v>
      </c>
    </row>
    <row r="167" spans="1:17" ht="144" x14ac:dyDescent="0.2">
      <c r="A167" s="71">
        <v>166</v>
      </c>
      <c r="B167" s="107" t="str">
        <f>HYPERLINK("https://www.ncbi.nlm.nih.gov/gene/1051", "1051")</f>
        <v>1051</v>
      </c>
      <c r="C167" s="109" t="str">
        <f>HYPERLINK("https://www.uniprot.org/uniprot/P17676", "P17676")</f>
        <v>P17676</v>
      </c>
      <c r="D167" s="43" t="s">
        <v>160</v>
      </c>
      <c r="E167" s="16" t="s">
        <v>160</v>
      </c>
      <c r="F167" s="11" t="s">
        <v>1305</v>
      </c>
      <c r="G167" s="28" t="s">
        <v>1306</v>
      </c>
      <c r="H167" s="6" t="s">
        <v>3415</v>
      </c>
      <c r="I167" s="49" t="s">
        <v>5138</v>
      </c>
      <c r="J167" s="73" t="s">
        <v>2939</v>
      </c>
      <c r="K167" s="13" t="s">
        <v>3569</v>
      </c>
      <c r="L167" s="60" t="s">
        <v>3290</v>
      </c>
      <c r="M167" s="60" t="s">
        <v>3290</v>
      </c>
      <c r="N167" s="60" t="s">
        <v>3289</v>
      </c>
      <c r="O167" s="60"/>
      <c r="P167" s="60" t="s">
        <v>3323</v>
      </c>
      <c r="Q167" s="20">
        <v>1</v>
      </c>
    </row>
    <row r="168" spans="1:17" ht="80" x14ac:dyDescent="0.2">
      <c r="A168" s="71">
        <v>167</v>
      </c>
      <c r="B168" s="107" t="str">
        <f>HYPERLINK("https://www.ncbi.nlm.nih.gov/gene/8837", "8837")</f>
        <v>8837</v>
      </c>
      <c r="C168" s="109" t="str">
        <f>HYPERLINK("https://www.uniprot.org/uniprot/O15519", "O15519")</f>
        <v>O15519</v>
      </c>
      <c r="D168" s="43" t="s">
        <v>161</v>
      </c>
      <c r="E168" s="16" t="s">
        <v>161</v>
      </c>
      <c r="F168" s="11" t="s">
        <v>1307</v>
      </c>
      <c r="G168" s="28" t="s">
        <v>1308</v>
      </c>
      <c r="H168" s="6" t="s">
        <v>1309</v>
      </c>
      <c r="I168" s="49" t="s">
        <v>2828</v>
      </c>
      <c r="J168" s="73" t="s">
        <v>2940</v>
      </c>
      <c r="K168" s="13" t="s">
        <v>3741</v>
      </c>
      <c r="L168" s="60" t="s">
        <v>3302</v>
      </c>
      <c r="M168" s="60" t="s">
        <v>3289</v>
      </c>
      <c r="N168" s="60" t="s">
        <v>5523</v>
      </c>
      <c r="O168" s="60"/>
      <c r="P168" s="60" t="s">
        <v>3323</v>
      </c>
      <c r="Q168" s="20">
        <v>1</v>
      </c>
    </row>
    <row r="169" spans="1:17" ht="80" x14ac:dyDescent="0.2">
      <c r="A169" s="71">
        <v>168</v>
      </c>
      <c r="B169" s="107" t="str">
        <f>HYPERLINK("https://www.ncbi.nlm.nih.gov/gene/1108", "1108")</f>
        <v>1108</v>
      </c>
      <c r="C169" s="109" t="str">
        <f>HYPERLINK("https://www.uniprot.org/uniprot/Q14839", "Q14839")</f>
        <v>Q14839</v>
      </c>
      <c r="D169" s="43" t="s">
        <v>162</v>
      </c>
      <c r="E169" s="16" t="s">
        <v>162</v>
      </c>
      <c r="F169" s="74"/>
      <c r="G169" s="28" t="s">
        <v>1310</v>
      </c>
      <c r="H169" s="28" t="s">
        <v>3957</v>
      </c>
      <c r="I169" s="31" t="s">
        <v>3333</v>
      </c>
      <c r="J169" s="73" t="s">
        <v>2941</v>
      </c>
      <c r="K169" s="23" t="s">
        <v>4279</v>
      </c>
      <c r="L169" s="60" t="s">
        <v>3292</v>
      </c>
      <c r="M169" s="60" t="s">
        <v>3292</v>
      </c>
      <c r="N169" s="60" t="s">
        <v>3291</v>
      </c>
      <c r="O169" s="60"/>
      <c r="P169" s="60" t="s">
        <v>5493</v>
      </c>
      <c r="Q169" s="20">
        <v>4</v>
      </c>
    </row>
    <row r="170" spans="1:17" ht="96" x14ac:dyDescent="0.2">
      <c r="A170" s="71">
        <v>169</v>
      </c>
      <c r="B170" s="107" t="str">
        <f>HYPERLINK("https://www.ncbi.nlm.nih.gov/gene/1111", "1111")</f>
        <v>1111</v>
      </c>
      <c r="C170" s="109" t="str">
        <f>HYPERLINK("https://www.uniprot.org/uniprot/O14757", "O14757")</f>
        <v>O14757</v>
      </c>
      <c r="D170" s="43" t="s">
        <v>163</v>
      </c>
      <c r="E170" s="16" t="s">
        <v>163</v>
      </c>
      <c r="F170" s="11" t="s">
        <v>3520</v>
      </c>
      <c r="G170" s="28" t="s">
        <v>3521</v>
      </c>
      <c r="H170" s="6" t="s">
        <v>3958</v>
      </c>
      <c r="I170" s="49" t="s">
        <v>5101</v>
      </c>
      <c r="J170" s="73" t="s">
        <v>2942</v>
      </c>
      <c r="K170" s="13" t="s">
        <v>3854</v>
      </c>
      <c r="L170" s="60" t="s">
        <v>3289</v>
      </c>
      <c r="M170" s="60" t="s">
        <v>3289</v>
      </c>
      <c r="N170" s="60" t="s">
        <v>3294</v>
      </c>
      <c r="O170" s="60"/>
      <c r="P170" s="60" t="s">
        <v>5493</v>
      </c>
      <c r="Q170" s="20">
        <v>5</v>
      </c>
    </row>
    <row r="171" spans="1:17" ht="192" x14ac:dyDescent="0.2">
      <c r="A171" s="71">
        <v>170</v>
      </c>
      <c r="B171" s="107" t="str">
        <f>HYPERLINK("https://www.ncbi.nlm.nih.gov/gene/11200", "11200")</f>
        <v>11200</v>
      </c>
      <c r="C171" s="109" t="str">
        <f>HYPERLINK("https://www.uniprot.org/uniprot/O96017", "O96017")</f>
        <v>O96017</v>
      </c>
      <c r="D171" s="43" t="s">
        <v>164</v>
      </c>
      <c r="E171" s="16" t="s">
        <v>164</v>
      </c>
      <c r="F171" s="11" t="s">
        <v>3522</v>
      </c>
      <c r="G171" s="28" t="s">
        <v>3523</v>
      </c>
      <c r="H171" s="6" t="s">
        <v>3959</v>
      </c>
      <c r="I171" s="49" t="s">
        <v>5101</v>
      </c>
      <c r="J171" s="73" t="s">
        <v>3606</v>
      </c>
      <c r="K171" s="13" t="s">
        <v>3742</v>
      </c>
      <c r="L171" s="60" t="s">
        <v>3303</v>
      </c>
      <c r="M171" s="60" t="s">
        <v>3290</v>
      </c>
      <c r="N171" s="60" t="s">
        <v>3294</v>
      </c>
      <c r="O171" s="60"/>
      <c r="P171" s="60" t="s">
        <v>5493</v>
      </c>
      <c r="Q171" s="20">
        <v>4</v>
      </c>
    </row>
    <row r="172" spans="1:17" ht="48" x14ac:dyDescent="0.2">
      <c r="A172" s="71">
        <v>171</v>
      </c>
      <c r="B172" s="107" t="str">
        <f>HYPERLINK("https://www.ncbi.nlm.nih.gov/gene/25978", "25978")</f>
        <v>25978</v>
      </c>
      <c r="C172" s="109" t="str">
        <f>HYPERLINK("https://www.uniprot.org/uniprot/Q9UQN3", "Q9UQN3")</f>
        <v>Q9UQN3</v>
      </c>
      <c r="D172" s="43" t="s">
        <v>165</v>
      </c>
      <c r="E172" s="35" t="s">
        <v>165</v>
      </c>
      <c r="F172" s="79" t="s">
        <v>1311</v>
      </c>
      <c r="G172" s="30" t="s">
        <v>1312</v>
      </c>
      <c r="H172" s="30" t="s">
        <v>1313</v>
      </c>
      <c r="I172" s="47" t="s">
        <v>3843</v>
      </c>
      <c r="J172" s="73">
        <v>27322682</v>
      </c>
      <c r="K172" s="23" t="s">
        <v>4280</v>
      </c>
      <c r="L172" s="60" t="s">
        <v>3292</v>
      </c>
      <c r="M172" s="60" t="s">
        <v>3292</v>
      </c>
      <c r="N172" s="60" t="s">
        <v>3291</v>
      </c>
      <c r="O172" s="60"/>
      <c r="P172" s="60" t="s">
        <v>3323</v>
      </c>
      <c r="Q172" s="20">
        <v>1</v>
      </c>
    </row>
    <row r="173" spans="1:17" ht="80" x14ac:dyDescent="0.2">
      <c r="A173" s="71">
        <v>172</v>
      </c>
      <c r="B173" s="107" t="str">
        <f>HYPERLINK("https://www.ncbi.nlm.nih.gov/gene/1147", "1147")</f>
        <v>1147</v>
      </c>
      <c r="C173" s="109" t="str">
        <f>HYPERLINK("https://www.uniprot.org/uniprot/O15111", "O15111")</f>
        <v>O15111</v>
      </c>
      <c r="D173" s="43" t="s">
        <v>166</v>
      </c>
      <c r="E173" s="16" t="s">
        <v>166</v>
      </c>
      <c r="F173" s="11" t="s">
        <v>1314</v>
      </c>
      <c r="G173" s="28" t="s">
        <v>1315</v>
      </c>
      <c r="H173" s="6" t="s">
        <v>1316</v>
      </c>
      <c r="I173" s="49" t="s">
        <v>5139</v>
      </c>
      <c r="J173" s="73" t="s">
        <v>2943</v>
      </c>
      <c r="K173" s="13" t="s">
        <v>3743</v>
      </c>
      <c r="L173" s="60" t="s">
        <v>3289</v>
      </c>
      <c r="M173" s="60" t="s">
        <v>3289</v>
      </c>
      <c r="N173" s="60" t="s">
        <v>3291</v>
      </c>
      <c r="O173" s="60"/>
      <c r="P173" s="60" t="s">
        <v>5494</v>
      </c>
      <c r="Q173" s="20">
        <v>5</v>
      </c>
    </row>
    <row r="174" spans="1:17" ht="144" x14ac:dyDescent="0.2">
      <c r="A174" s="71">
        <v>173</v>
      </c>
      <c r="B174" s="107" t="str">
        <f>HYPERLINK("https://www.ncbi.nlm.nih.gov/gene/57650", "57650")</f>
        <v>57650</v>
      </c>
      <c r="C174" s="109" t="str">
        <f>HYPERLINK("https://www.uniprot.org/uniprot/Q8TCG1", "Q8TCG1")</f>
        <v>Q8TCG1</v>
      </c>
      <c r="D174" s="43" t="s">
        <v>167</v>
      </c>
      <c r="E174" s="16" t="s">
        <v>167</v>
      </c>
      <c r="F174" s="11" t="s">
        <v>1317</v>
      </c>
      <c r="G174" s="28" t="s">
        <v>1318</v>
      </c>
      <c r="H174" s="6" t="s">
        <v>3960</v>
      </c>
      <c r="I174" s="49" t="s">
        <v>5140</v>
      </c>
      <c r="J174" s="73" t="s">
        <v>2944</v>
      </c>
      <c r="K174" s="13" t="s">
        <v>3744</v>
      </c>
      <c r="L174" s="60" t="s">
        <v>3289</v>
      </c>
      <c r="M174" s="60" t="s">
        <v>3289</v>
      </c>
      <c r="N174" s="60" t="s">
        <v>3304</v>
      </c>
      <c r="O174" s="60"/>
      <c r="P174" s="60" t="s">
        <v>5494</v>
      </c>
      <c r="Q174" s="20">
        <v>5</v>
      </c>
    </row>
    <row r="175" spans="1:17" ht="112" x14ac:dyDescent="0.2">
      <c r="A175" s="71">
        <v>174</v>
      </c>
      <c r="B175" s="107" t="str">
        <f>HYPERLINK("https://www.ncbi.nlm.nih.gov/gene/9076", "9076")</f>
        <v>9076</v>
      </c>
      <c r="C175" s="109" t="str">
        <f>HYPERLINK("https://www.uniprot.org/uniprot/O95832", "O95832")</f>
        <v>O95832</v>
      </c>
      <c r="D175" s="43" t="s">
        <v>168</v>
      </c>
      <c r="E175" s="16" t="s">
        <v>168</v>
      </c>
      <c r="F175" s="11" t="s">
        <v>1319</v>
      </c>
      <c r="G175" s="28" t="s">
        <v>1320</v>
      </c>
      <c r="H175" s="6" t="s">
        <v>1321</v>
      </c>
      <c r="I175" s="49" t="s">
        <v>5141</v>
      </c>
      <c r="J175" s="73" t="s">
        <v>2945</v>
      </c>
      <c r="K175" s="13" t="s">
        <v>3570</v>
      </c>
      <c r="L175" s="60" t="s">
        <v>3290</v>
      </c>
      <c r="M175" s="60" t="s">
        <v>3290</v>
      </c>
      <c r="N175" s="60" t="s">
        <v>3291</v>
      </c>
      <c r="O175" s="60"/>
      <c r="P175" s="60" t="s">
        <v>3323</v>
      </c>
      <c r="Q175" s="20">
        <v>1</v>
      </c>
    </row>
    <row r="176" spans="1:17" ht="144" x14ac:dyDescent="0.2">
      <c r="A176" s="71">
        <v>175</v>
      </c>
      <c r="B176" s="107" t="str">
        <f>HYPERLINK("https://www.ncbi.nlm.nih.gov/gene/1365", "1365")</f>
        <v>1365</v>
      </c>
      <c r="C176" s="109" t="str">
        <f>HYPERLINK("https://www.uniprot.org/uniprot/O15551", "O15551")</f>
        <v>O15551</v>
      </c>
      <c r="D176" s="43" t="s">
        <v>169</v>
      </c>
      <c r="E176" s="35" t="s">
        <v>169</v>
      </c>
      <c r="F176" s="79" t="s">
        <v>1322</v>
      </c>
      <c r="G176" s="30" t="s">
        <v>1323</v>
      </c>
      <c r="H176" s="30" t="s">
        <v>3961</v>
      </c>
      <c r="I176" s="47" t="s">
        <v>5142</v>
      </c>
      <c r="J176" s="73" t="s">
        <v>2946</v>
      </c>
      <c r="K176" s="23" t="s">
        <v>4281</v>
      </c>
      <c r="L176" s="60" t="s">
        <v>3290</v>
      </c>
      <c r="M176" s="60" t="s">
        <v>3290</v>
      </c>
      <c r="N176" s="60" t="s">
        <v>3291</v>
      </c>
      <c r="O176" s="60"/>
      <c r="P176" s="60" t="s">
        <v>5495</v>
      </c>
      <c r="Q176" s="20">
        <v>2</v>
      </c>
    </row>
    <row r="177" spans="1:17" ht="80" x14ac:dyDescent="0.2">
      <c r="A177" s="71">
        <v>176</v>
      </c>
      <c r="B177" s="107" t="str">
        <f>HYPERLINK("https://www.ncbi.nlm.nih.gov/gene/1364", "1364")</f>
        <v>1364</v>
      </c>
      <c r="C177" s="109" t="str">
        <f>HYPERLINK("https://www.uniprot.org/uniprot/O14493", "O14493")</f>
        <v>O14493</v>
      </c>
      <c r="D177" s="43" t="s">
        <v>170</v>
      </c>
      <c r="E177" s="35" t="s">
        <v>170</v>
      </c>
      <c r="F177" s="79" t="s">
        <v>1324</v>
      </c>
      <c r="G177" s="30" t="s">
        <v>1325</v>
      </c>
      <c r="H177" s="30" t="s">
        <v>3962</v>
      </c>
      <c r="I177" s="47" t="s">
        <v>5142</v>
      </c>
      <c r="J177" s="73" t="s">
        <v>2947</v>
      </c>
      <c r="K177" s="23" t="s">
        <v>4282</v>
      </c>
      <c r="L177" s="60" t="s">
        <v>3289</v>
      </c>
      <c r="M177" s="60" t="s">
        <v>3290</v>
      </c>
      <c r="N177" s="60" t="s">
        <v>3292</v>
      </c>
      <c r="O177" s="60"/>
      <c r="P177" s="60" t="s">
        <v>5494</v>
      </c>
      <c r="Q177" s="20">
        <v>5</v>
      </c>
    </row>
    <row r="178" spans="1:17" ht="112" x14ac:dyDescent="0.2">
      <c r="A178" s="71">
        <v>177</v>
      </c>
      <c r="B178" s="107" t="str">
        <f>HYPERLINK("https://www.ncbi.nlm.nih.gov/gene/1366", "1366")</f>
        <v>1366</v>
      </c>
      <c r="C178" s="109" t="str">
        <f>HYPERLINK("https://www.uniprot.org/uniprot/O95471", "O95471")</f>
        <v>O95471</v>
      </c>
      <c r="D178" s="43" t="s">
        <v>171</v>
      </c>
      <c r="E178" s="35" t="s">
        <v>171</v>
      </c>
      <c r="F178" s="79" t="s">
        <v>1326</v>
      </c>
      <c r="G178" s="30" t="s">
        <v>1327</v>
      </c>
      <c r="H178" s="30" t="s">
        <v>1328</v>
      </c>
      <c r="I178" s="47" t="s">
        <v>5143</v>
      </c>
      <c r="J178" s="73">
        <v>21134740</v>
      </c>
      <c r="K178" s="23" t="s">
        <v>4283</v>
      </c>
      <c r="L178" s="60" t="s">
        <v>3289</v>
      </c>
      <c r="M178" s="60" t="s">
        <v>3289</v>
      </c>
      <c r="N178" s="60" t="s">
        <v>3291</v>
      </c>
      <c r="O178" s="60"/>
      <c r="P178" s="60" t="s">
        <v>5492</v>
      </c>
      <c r="Q178" s="20">
        <v>4</v>
      </c>
    </row>
    <row r="179" spans="1:17" ht="128" x14ac:dyDescent="0.2">
      <c r="A179" s="71">
        <v>178</v>
      </c>
      <c r="B179" s="107" t="str">
        <f>HYPERLINK("https://www.ncbi.nlm.nih.gov/gene/1192", "1192")</f>
        <v>1192</v>
      </c>
      <c r="C179" s="109" t="str">
        <f>HYPERLINK("https://www.uniprot.org/uniprot/O00299", "O00299")</f>
        <v>O00299</v>
      </c>
      <c r="D179" s="43" t="s">
        <v>172</v>
      </c>
      <c r="E179" s="35" t="s">
        <v>172</v>
      </c>
      <c r="F179" s="79" t="s">
        <v>1329</v>
      </c>
      <c r="G179" s="30" t="s">
        <v>1330</v>
      </c>
      <c r="H179" s="30" t="s">
        <v>3963</v>
      </c>
      <c r="I179" s="47" t="s">
        <v>5144</v>
      </c>
      <c r="J179" s="73" t="s">
        <v>2948</v>
      </c>
      <c r="K179" s="23" t="s">
        <v>4284</v>
      </c>
      <c r="L179" s="60" t="s">
        <v>3289</v>
      </c>
      <c r="M179" s="60" t="s">
        <v>3289</v>
      </c>
      <c r="N179" s="60" t="s">
        <v>3291</v>
      </c>
      <c r="O179" s="60"/>
      <c r="P179" s="60" t="s">
        <v>5494</v>
      </c>
      <c r="Q179" s="20">
        <v>5</v>
      </c>
    </row>
    <row r="180" spans="1:17" ht="48" x14ac:dyDescent="0.2">
      <c r="A180" s="71">
        <v>179</v>
      </c>
      <c r="B180" s="107" t="str">
        <f>HYPERLINK("https://www.ncbi.nlm.nih.gov/gene/1201", "1201")</f>
        <v>1201</v>
      </c>
      <c r="C180" s="109" t="str">
        <f>HYPERLINK("https://www.uniprot.org/uniprot/Q13286", "Q13286")</f>
        <v>Q13286</v>
      </c>
      <c r="D180" s="43" t="s">
        <v>173</v>
      </c>
      <c r="E180" s="35" t="s">
        <v>173</v>
      </c>
      <c r="F180" s="79" t="s">
        <v>1331</v>
      </c>
      <c r="G180" s="30" t="s">
        <v>1332</v>
      </c>
      <c r="H180" s="30" t="s">
        <v>1333</v>
      </c>
      <c r="I180" s="47" t="s">
        <v>5145</v>
      </c>
      <c r="J180" s="73">
        <v>26299671</v>
      </c>
      <c r="K180" s="23" t="s">
        <v>4285</v>
      </c>
      <c r="L180" s="60" t="s">
        <v>3300</v>
      </c>
      <c r="M180" s="60" t="s">
        <v>3289</v>
      </c>
      <c r="N180" s="60" t="s">
        <v>3291</v>
      </c>
      <c r="O180" s="60"/>
      <c r="P180" s="60" t="s">
        <v>3323</v>
      </c>
      <c r="Q180" s="20">
        <v>1</v>
      </c>
    </row>
    <row r="181" spans="1:17" ht="64" x14ac:dyDescent="0.2">
      <c r="A181" s="71">
        <v>180</v>
      </c>
      <c r="B181" s="107" t="str">
        <f>HYPERLINK("https://www.ncbi.nlm.nih.gov/gene/9575", "9575")</f>
        <v>9575</v>
      </c>
      <c r="C181" s="109" t="str">
        <f>HYPERLINK("https://www.uniprot.org/uniprot/O15516", "O15516")</f>
        <v>O15516</v>
      </c>
      <c r="D181" s="43" t="s">
        <v>174</v>
      </c>
      <c r="E181" s="16" t="s">
        <v>174</v>
      </c>
      <c r="F181" s="11" t="s">
        <v>1334</v>
      </c>
      <c r="G181" s="28" t="s">
        <v>1335</v>
      </c>
      <c r="H181" s="6" t="s">
        <v>1336</v>
      </c>
      <c r="I181" s="49" t="s">
        <v>3378</v>
      </c>
      <c r="J181" s="73" t="s">
        <v>2949</v>
      </c>
      <c r="K181" s="13" t="s">
        <v>3745</v>
      </c>
      <c r="L181" s="60" t="s">
        <v>3289</v>
      </c>
      <c r="M181" s="60" t="s">
        <v>3289</v>
      </c>
      <c r="N181" s="60" t="s">
        <v>3291</v>
      </c>
      <c r="O181" s="60"/>
      <c r="P181" s="60" t="s">
        <v>5493</v>
      </c>
      <c r="Q181" s="20">
        <v>4</v>
      </c>
    </row>
    <row r="182" spans="1:17" ht="80" x14ac:dyDescent="0.2">
      <c r="A182" s="71">
        <v>181</v>
      </c>
      <c r="B182" s="107" t="str">
        <f>HYPERLINK("https://www.ncbi.nlm.nih.gov/gene/81037", "81037")</f>
        <v>81037</v>
      </c>
      <c r="C182" s="109" t="str">
        <f>HYPERLINK("https://www.uniprot.org/uniprot/Q96KA5", "Q96KA5")</f>
        <v>Q96KA5</v>
      </c>
      <c r="D182" s="43" t="s">
        <v>175</v>
      </c>
      <c r="E182" s="16" t="s">
        <v>175</v>
      </c>
      <c r="F182" s="11" t="s">
        <v>1337</v>
      </c>
      <c r="G182" s="28" t="s">
        <v>1338</v>
      </c>
      <c r="H182" s="6" t="s">
        <v>3964</v>
      </c>
      <c r="I182" s="49" t="s">
        <v>5146</v>
      </c>
      <c r="J182" s="73">
        <v>22675468</v>
      </c>
      <c r="K182" s="13" t="s">
        <v>3746</v>
      </c>
      <c r="L182" s="60" t="s">
        <v>3289</v>
      </c>
      <c r="M182" s="60" t="s">
        <v>3289</v>
      </c>
      <c r="N182" s="60" t="s">
        <v>3291</v>
      </c>
      <c r="O182" s="60"/>
      <c r="P182" s="60" t="s">
        <v>5492</v>
      </c>
      <c r="Q182" s="20">
        <v>4</v>
      </c>
    </row>
    <row r="183" spans="1:17" ht="112" x14ac:dyDescent="0.2">
      <c r="A183" s="71">
        <v>182</v>
      </c>
      <c r="B183" s="107" t="str">
        <f>HYPERLINK("https://www.ncbi.nlm.nih.gov/gene/1191", "1191")</f>
        <v>1191</v>
      </c>
      <c r="C183" s="109" t="str">
        <f>HYPERLINK("https://www.uniprot.org/uniprot/P10909", "P10909")</f>
        <v>P10909</v>
      </c>
      <c r="D183" s="43" t="s">
        <v>176</v>
      </c>
      <c r="E183" s="16" t="s">
        <v>176</v>
      </c>
      <c r="F183" s="80" t="s">
        <v>1339</v>
      </c>
      <c r="G183" s="28" t="s">
        <v>1340</v>
      </c>
      <c r="H183" s="6" t="s">
        <v>3965</v>
      </c>
      <c r="I183" s="49" t="s">
        <v>5147</v>
      </c>
      <c r="J183" s="73" t="s">
        <v>2950</v>
      </c>
      <c r="K183" s="13" t="s">
        <v>3747</v>
      </c>
      <c r="L183" s="60" t="s">
        <v>3289</v>
      </c>
      <c r="M183" s="60" t="s">
        <v>3289</v>
      </c>
      <c r="N183" s="60" t="s">
        <v>3289</v>
      </c>
      <c r="O183" s="60"/>
      <c r="P183" s="60" t="s">
        <v>5494</v>
      </c>
      <c r="Q183" s="20">
        <v>5</v>
      </c>
    </row>
    <row r="184" spans="1:17" ht="128" x14ac:dyDescent="0.2">
      <c r="A184" s="71">
        <v>183</v>
      </c>
      <c r="B184" s="107" t="str">
        <f>HYPERLINK("https://www.ncbi.nlm.nih.gov/gene/1301", "1301")</f>
        <v>1301</v>
      </c>
      <c r="C184" s="109" t="str">
        <f>HYPERLINK("https://www.uniprot.org/uniprot/P12107", "P12107")</f>
        <v>P12107</v>
      </c>
      <c r="D184" s="43" t="s">
        <v>178</v>
      </c>
      <c r="E184" s="34" t="s">
        <v>178</v>
      </c>
      <c r="F184" s="86" t="s">
        <v>1343</v>
      </c>
      <c r="G184" s="28" t="s">
        <v>1344</v>
      </c>
      <c r="H184" s="28" t="s">
        <v>3966</v>
      </c>
      <c r="I184" s="31" t="s">
        <v>5148</v>
      </c>
      <c r="J184" s="73" t="s">
        <v>2951</v>
      </c>
      <c r="K184" s="23" t="s">
        <v>4286</v>
      </c>
      <c r="L184" s="60" t="s">
        <v>3289</v>
      </c>
      <c r="M184" s="60" t="s">
        <v>3289</v>
      </c>
      <c r="N184" s="60" t="s">
        <v>3289</v>
      </c>
      <c r="O184" s="60" t="s">
        <v>5509</v>
      </c>
      <c r="P184" s="60" t="s">
        <v>5493</v>
      </c>
      <c r="Q184" s="20">
        <v>4</v>
      </c>
    </row>
    <row r="185" spans="1:17" ht="176" x14ac:dyDescent="0.2">
      <c r="A185" s="71">
        <v>184</v>
      </c>
      <c r="B185" s="107" t="str">
        <f>HYPERLINK("https://www.ncbi.nlm.nih.gov/gene/1277", "1277")</f>
        <v>1277</v>
      </c>
      <c r="C185" s="109" t="str">
        <f>HYPERLINK("https://www.uniprot.org/uniprot/P02452", "P02452")</f>
        <v>P02452</v>
      </c>
      <c r="D185" s="43" t="s">
        <v>177</v>
      </c>
      <c r="E185" s="87" t="s">
        <v>177</v>
      </c>
      <c r="F185" s="80"/>
      <c r="G185" s="28" t="s">
        <v>1341</v>
      </c>
      <c r="H185" s="6" t="s">
        <v>1342</v>
      </c>
      <c r="I185" s="49" t="s">
        <v>2830</v>
      </c>
      <c r="J185" s="73" t="s">
        <v>3646</v>
      </c>
      <c r="K185" s="13" t="s">
        <v>3891</v>
      </c>
      <c r="L185" s="60" t="s">
        <v>3290</v>
      </c>
      <c r="M185" s="60" t="s">
        <v>3290</v>
      </c>
      <c r="N185" s="60" t="s">
        <v>3291</v>
      </c>
      <c r="O185" s="60" t="s">
        <v>5509</v>
      </c>
      <c r="P185" s="60" t="s">
        <v>5493</v>
      </c>
      <c r="Q185" s="20">
        <v>4</v>
      </c>
    </row>
    <row r="186" spans="1:17" ht="64" x14ac:dyDescent="0.2">
      <c r="A186" s="71">
        <v>185</v>
      </c>
      <c r="B186" s="107" t="str">
        <f>HYPERLINK("https://www.ncbi.nlm.nih.gov/gene/1281", "1281")</f>
        <v>1281</v>
      </c>
      <c r="C186" s="109" t="str">
        <f>HYPERLINK("https://www.uniprot.org/uniprot/P02461", "P02461")</f>
        <v>P02461</v>
      </c>
      <c r="D186" s="43" t="s">
        <v>179</v>
      </c>
      <c r="E186" s="34" t="s">
        <v>179</v>
      </c>
      <c r="F186" s="88"/>
      <c r="G186" s="28" t="s">
        <v>1345</v>
      </c>
      <c r="H186" s="28" t="s">
        <v>3967</v>
      </c>
      <c r="I186" s="31" t="s">
        <v>5131</v>
      </c>
      <c r="J186" s="73" t="s">
        <v>2952</v>
      </c>
      <c r="K186" s="23" t="s">
        <v>4287</v>
      </c>
      <c r="L186" s="60" t="s">
        <v>3289</v>
      </c>
      <c r="M186" s="60" t="s">
        <v>3289</v>
      </c>
      <c r="N186" s="60" t="s">
        <v>3291</v>
      </c>
      <c r="O186" s="60" t="s">
        <v>5509</v>
      </c>
      <c r="P186" s="60" t="s">
        <v>5493</v>
      </c>
      <c r="Q186" s="20">
        <v>4</v>
      </c>
    </row>
    <row r="187" spans="1:17" ht="80" x14ac:dyDescent="0.2">
      <c r="A187" s="71">
        <v>186</v>
      </c>
      <c r="B187" s="107" t="str">
        <f>HYPERLINK("https://www.ncbi.nlm.nih.gov/gene/1293", "1293")</f>
        <v>1293</v>
      </c>
      <c r="C187" s="109" t="str">
        <f>HYPERLINK("https://www.uniprot.org/uniprot/P12111", "P12111")</f>
        <v>P12111</v>
      </c>
      <c r="D187" s="43" t="s">
        <v>180</v>
      </c>
      <c r="E187" s="34" t="s">
        <v>180</v>
      </c>
      <c r="F187" s="79"/>
      <c r="G187" s="28" t="s">
        <v>1346</v>
      </c>
      <c r="H187" s="28" t="s">
        <v>3968</v>
      </c>
      <c r="I187" s="31" t="s">
        <v>2830</v>
      </c>
      <c r="J187" s="73">
        <v>12726863</v>
      </c>
      <c r="K187" s="23" t="s">
        <v>4288</v>
      </c>
      <c r="L187" s="60" t="s">
        <v>3289</v>
      </c>
      <c r="M187" s="60" t="s">
        <v>3289</v>
      </c>
      <c r="N187" s="60" t="s">
        <v>3291</v>
      </c>
      <c r="O187" s="60" t="s">
        <v>5509</v>
      </c>
      <c r="P187" s="60" t="s">
        <v>5492</v>
      </c>
      <c r="Q187" s="20">
        <v>4</v>
      </c>
    </row>
    <row r="188" spans="1:17" ht="64" x14ac:dyDescent="0.2">
      <c r="A188" s="71">
        <v>187</v>
      </c>
      <c r="B188" s="107" t="str">
        <f>HYPERLINK("https://www.ncbi.nlm.nih.gov/gene/10063", "10063")</f>
        <v>10063</v>
      </c>
      <c r="C188" s="109" t="str">
        <f>HYPERLINK("https://www.uniprot.org/uniprot/Q14061", "Q14061")</f>
        <v>Q14061</v>
      </c>
      <c r="D188" s="43" t="s">
        <v>181</v>
      </c>
      <c r="E188" s="34" t="s">
        <v>181</v>
      </c>
      <c r="F188" s="79"/>
      <c r="G188" s="28" t="s">
        <v>1347</v>
      </c>
      <c r="H188" s="28" t="s">
        <v>1348</v>
      </c>
      <c r="I188" s="31" t="s">
        <v>3340</v>
      </c>
      <c r="J188" s="73">
        <v>24473407</v>
      </c>
      <c r="K188" s="23" t="s">
        <v>4289</v>
      </c>
      <c r="L188" s="60" t="s">
        <v>3291</v>
      </c>
      <c r="M188" s="60" t="s">
        <v>3289</v>
      </c>
      <c r="N188" s="60" t="s">
        <v>3291</v>
      </c>
      <c r="O188" s="60"/>
      <c r="P188" s="60" t="s">
        <v>3323</v>
      </c>
      <c r="Q188" s="20">
        <v>1</v>
      </c>
    </row>
    <row r="189" spans="1:17" ht="96" x14ac:dyDescent="0.2">
      <c r="A189" s="71">
        <v>188</v>
      </c>
      <c r="B189" s="107" t="str">
        <f>HYPERLINK("https://www.ncbi.nlm.nih.gov/gene/1347", "1347")</f>
        <v>1347</v>
      </c>
      <c r="C189" s="109" t="str">
        <f>HYPERLINK("https://www.uniprot.org/uniprot/P14406", "P14406")</f>
        <v>P14406</v>
      </c>
      <c r="D189" s="43" t="s">
        <v>182</v>
      </c>
      <c r="E189" s="34" t="s">
        <v>182</v>
      </c>
      <c r="F189" s="79" t="s">
        <v>1349</v>
      </c>
      <c r="G189" s="28" t="s">
        <v>1350</v>
      </c>
      <c r="H189" s="28" t="s">
        <v>1351</v>
      </c>
      <c r="I189" s="31" t="s">
        <v>3340</v>
      </c>
      <c r="J189" s="73">
        <v>23592244</v>
      </c>
      <c r="K189" s="23" t="s">
        <v>4290</v>
      </c>
      <c r="L189" s="60" t="s">
        <v>3289</v>
      </c>
      <c r="M189" s="60" t="s">
        <v>3289</v>
      </c>
      <c r="N189" s="60" t="s">
        <v>3291</v>
      </c>
      <c r="O189" s="60"/>
      <c r="P189" s="60" t="s">
        <v>5492</v>
      </c>
      <c r="Q189" s="20">
        <v>4</v>
      </c>
    </row>
    <row r="190" spans="1:17" ht="96" x14ac:dyDescent="0.2">
      <c r="A190" s="71">
        <v>189</v>
      </c>
      <c r="B190" s="107" t="str">
        <f>HYPERLINK("https://www.ncbi.nlm.nih.gov/gene/1376", "1376")</f>
        <v>1376</v>
      </c>
      <c r="C190" s="109" t="str">
        <f>HYPERLINK("https://www.uniprot.org/uniprot/P23786", "P23786")</f>
        <v>P23786</v>
      </c>
      <c r="D190" s="43" t="s">
        <v>183</v>
      </c>
      <c r="E190" s="34" t="s">
        <v>183</v>
      </c>
      <c r="F190" s="10" t="s">
        <v>1352</v>
      </c>
      <c r="G190" s="28" t="s">
        <v>1353</v>
      </c>
      <c r="H190" s="28" t="s">
        <v>1354</v>
      </c>
      <c r="I190" s="31" t="s">
        <v>5149</v>
      </c>
      <c r="J190" s="73" t="s">
        <v>3381</v>
      </c>
      <c r="K190" s="23" t="s">
        <v>4291</v>
      </c>
      <c r="L190" s="60" t="s">
        <v>3292</v>
      </c>
      <c r="M190" s="60" t="s">
        <v>3292</v>
      </c>
      <c r="N190" s="60" t="s">
        <v>3291</v>
      </c>
      <c r="O190" s="60"/>
      <c r="P190" s="60" t="s">
        <v>3323</v>
      </c>
      <c r="Q190" s="20">
        <v>1</v>
      </c>
    </row>
    <row r="191" spans="1:17" ht="80" x14ac:dyDescent="0.2">
      <c r="A191" s="71">
        <v>190</v>
      </c>
      <c r="B191" s="107" t="str">
        <f>HYPERLINK("https://www.ncbi.nlm.nih.gov/gene/1385", "1385")</f>
        <v>1385</v>
      </c>
      <c r="C191" s="109" t="str">
        <f>HYPERLINK("https://www.uniprot.org/uniprot/P16220", "P16220")</f>
        <v>P16220</v>
      </c>
      <c r="D191" s="43" t="s">
        <v>184</v>
      </c>
      <c r="E191" s="35" t="s">
        <v>184</v>
      </c>
      <c r="F191" s="79" t="s">
        <v>1355</v>
      </c>
      <c r="G191" s="30" t="s">
        <v>1356</v>
      </c>
      <c r="H191" s="30" t="s">
        <v>3969</v>
      </c>
      <c r="I191" s="47" t="s">
        <v>5150</v>
      </c>
      <c r="J191" s="73" t="s">
        <v>2953</v>
      </c>
      <c r="K191" s="23" t="s">
        <v>4292</v>
      </c>
      <c r="L191" s="60" t="s">
        <v>3291</v>
      </c>
      <c r="M191" s="60" t="s">
        <v>3292</v>
      </c>
      <c r="N191" s="60" t="s">
        <v>3294</v>
      </c>
      <c r="O191" s="60"/>
      <c r="P191" s="60" t="s">
        <v>3323</v>
      </c>
      <c r="Q191" s="20">
        <v>1</v>
      </c>
    </row>
    <row r="192" spans="1:17" ht="112" x14ac:dyDescent="0.2">
      <c r="A192" s="71">
        <v>191</v>
      </c>
      <c r="B192" s="107" t="str">
        <f>HYPERLINK("https://www.ncbi.nlm.nih.gov/gene/1410", "1410")</f>
        <v>1410</v>
      </c>
      <c r="C192" s="109" t="str">
        <f>HYPERLINK("https://www.uniprot.org/uniprot/P02511", "P02511")</f>
        <v>P02511</v>
      </c>
      <c r="D192" s="43" t="s">
        <v>185</v>
      </c>
      <c r="E192" s="35" t="s">
        <v>185</v>
      </c>
      <c r="F192" s="79" t="s">
        <v>1357</v>
      </c>
      <c r="G192" s="30" t="s">
        <v>1358</v>
      </c>
      <c r="H192" s="30" t="s">
        <v>3341</v>
      </c>
      <c r="I192" s="47" t="s">
        <v>5151</v>
      </c>
      <c r="J192" s="73" t="s">
        <v>2954</v>
      </c>
      <c r="K192" s="23" t="s">
        <v>4293</v>
      </c>
      <c r="L192" s="60" t="s">
        <v>3289</v>
      </c>
      <c r="M192" s="60" t="s">
        <v>3289</v>
      </c>
      <c r="N192" s="60" t="s">
        <v>3289</v>
      </c>
      <c r="O192" s="60"/>
      <c r="P192" s="60" t="s">
        <v>5493</v>
      </c>
      <c r="Q192" s="20">
        <v>4</v>
      </c>
    </row>
    <row r="193" spans="1:17" ht="96" x14ac:dyDescent="0.2">
      <c r="A193" s="71">
        <v>192</v>
      </c>
      <c r="B193" s="107" t="str">
        <f>HYPERLINK("https://www.ncbi.nlm.nih.gov/gene/1435", "1435")</f>
        <v>1435</v>
      </c>
      <c r="C193" s="109" t="str">
        <f>HYPERLINK("https://www.uniprot.org/uniprot/P09603", "P09603")</f>
        <v>P09603</v>
      </c>
      <c r="D193" s="43" t="s">
        <v>186</v>
      </c>
      <c r="E193" s="35" t="s">
        <v>186</v>
      </c>
      <c r="F193" s="79"/>
      <c r="G193" s="30" t="s">
        <v>1359</v>
      </c>
      <c r="H193" s="30" t="s">
        <v>3970</v>
      </c>
      <c r="I193" s="47" t="s">
        <v>5152</v>
      </c>
      <c r="J193" s="73" t="s">
        <v>2955</v>
      </c>
      <c r="K193" s="23" t="s">
        <v>4294</v>
      </c>
      <c r="L193" s="60" t="s">
        <v>3289</v>
      </c>
      <c r="M193" s="60" t="s">
        <v>3289</v>
      </c>
      <c r="N193" s="60" t="s">
        <v>3291</v>
      </c>
      <c r="O193" s="60"/>
      <c r="P193" s="60" t="s">
        <v>5499</v>
      </c>
      <c r="Q193" s="20">
        <v>5</v>
      </c>
    </row>
    <row r="194" spans="1:17" ht="48" x14ac:dyDescent="0.2">
      <c r="A194" s="71">
        <v>193</v>
      </c>
      <c r="B194" s="107" t="str">
        <f>HYPERLINK("https://www.ncbi.nlm.nih.gov/gene/1436", "1436")</f>
        <v>1436</v>
      </c>
      <c r="C194" s="109" t="str">
        <f>HYPERLINK("https://www.uniprot.org/uniprot/P07333", "P07333")</f>
        <v>P07333</v>
      </c>
      <c r="D194" s="43" t="s">
        <v>187</v>
      </c>
      <c r="E194" s="35" t="s">
        <v>187</v>
      </c>
      <c r="F194" s="79" t="s">
        <v>1360</v>
      </c>
      <c r="G194" s="30" t="s">
        <v>1361</v>
      </c>
      <c r="H194" s="30" t="s">
        <v>1362</v>
      </c>
      <c r="I194" s="47" t="s">
        <v>5152</v>
      </c>
      <c r="J194" s="73" t="s">
        <v>2955</v>
      </c>
      <c r="K194" s="23" t="s">
        <v>2956</v>
      </c>
      <c r="L194" s="60" t="s">
        <v>3289</v>
      </c>
      <c r="M194" s="60" t="s">
        <v>3289</v>
      </c>
      <c r="N194" s="60" t="s">
        <v>3291</v>
      </c>
      <c r="O194" s="60" t="s">
        <v>5509</v>
      </c>
      <c r="P194" s="60" t="s">
        <v>5499</v>
      </c>
      <c r="Q194" s="20">
        <v>5</v>
      </c>
    </row>
    <row r="195" spans="1:17" ht="96" x14ac:dyDescent="0.2">
      <c r="A195" s="71">
        <v>194</v>
      </c>
      <c r="B195" s="107" t="str">
        <f>HYPERLINK("https://www.ncbi.nlm.nih.gov/gene/1495", "1495")</f>
        <v>1495</v>
      </c>
      <c r="C195" s="109" t="str">
        <f>HYPERLINK("https://www.uniprot.org/uniprot/P35221", "P35221")</f>
        <v>P35221</v>
      </c>
      <c r="D195" s="43" t="s">
        <v>188</v>
      </c>
      <c r="E195" s="16" t="s">
        <v>188</v>
      </c>
      <c r="F195" s="11"/>
      <c r="G195" s="28" t="s">
        <v>1363</v>
      </c>
      <c r="H195" s="70" t="s">
        <v>3971</v>
      </c>
      <c r="I195" s="100" t="s">
        <v>2829</v>
      </c>
      <c r="J195" s="73" t="s">
        <v>2957</v>
      </c>
      <c r="K195" s="13" t="s">
        <v>3748</v>
      </c>
      <c r="L195" s="60" t="s">
        <v>3292</v>
      </c>
      <c r="M195" s="60" t="s">
        <v>3289</v>
      </c>
      <c r="N195" s="60" t="s">
        <v>3292</v>
      </c>
      <c r="O195" s="60"/>
      <c r="P195" s="60" t="s">
        <v>5492</v>
      </c>
      <c r="Q195" s="20">
        <v>4</v>
      </c>
    </row>
    <row r="196" spans="1:17" ht="80" x14ac:dyDescent="0.2">
      <c r="A196" s="71">
        <v>195</v>
      </c>
      <c r="B196" s="107" t="str">
        <f>HYPERLINK("https://www.ncbi.nlm.nih.gov/gene/1499", "1499")</f>
        <v>1499</v>
      </c>
      <c r="C196" s="109" t="str">
        <f>HYPERLINK("https://www.uniprot.org/uniprot/P35222", "P35222")</f>
        <v>P35222</v>
      </c>
      <c r="D196" s="43" t="s">
        <v>189</v>
      </c>
      <c r="E196" s="16" t="s">
        <v>189</v>
      </c>
      <c r="F196" s="11" t="s">
        <v>1364</v>
      </c>
      <c r="G196" s="28" t="s">
        <v>1365</v>
      </c>
      <c r="H196" s="6" t="s">
        <v>1366</v>
      </c>
      <c r="I196" s="49" t="s">
        <v>5153</v>
      </c>
      <c r="J196" s="73" t="s">
        <v>2958</v>
      </c>
      <c r="K196" s="13" t="s">
        <v>3573</v>
      </c>
      <c r="L196" s="60" t="s">
        <v>3289</v>
      </c>
      <c r="M196" s="60" t="s">
        <v>3289</v>
      </c>
      <c r="N196" s="60" t="s">
        <v>3292</v>
      </c>
      <c r="O196" s="60"/>
      <c r="P196" s="60" t="s">
        <v>5493</v>
      </c>
      <c r="Q196" s="20">
        <v>4</v>
      </c>
    </row>
    <row r="197" spans="1:17" ht="96" x14ac:dyDescent="0.2">
      <c r="A197" s="71">
        <v>196</v>
      </c>
      <c r="B197" s="107" t="str">
        <f>HYPERLINK("https://www.ncbi.nlm.nih.gov/gene/79004", "79004")</f>
        <v>79004</v>
      </c>
      <c r="C197" s="109" t="str">
        <f>HYPERLINK("https://www.uniprot.org/uniprot/Q9H467", "Q9H467")</f>
        <v>Q9H467</v>
      </c>
      <c r="D197" s="43" t="s">
        <v>190</v>
      </c>
      <c r="E197" s="16" t="s">
        <v>190</v>
      </c>
      <c r="F197" s="11" t="s">
        <v>1367</v>
      </c>
      <c r="G197" s="28" t="s">
        <v>1368</v>
      </c>
      <c r="H197" s="6" t="s">
        <v>3972</v>
      </c>
      <c r="I197" s="49" t="s">
        <v>5154</v>
      </c>
      <c r="J197" s="73">
        <v>31205536</v>
      </c>
      <c r="K197" s="13" t="s">
        <v>3749</v>
      </c>
      <c r="L197" s="60" t="s">
        <v>3289</v>
      </c>
      <c r="M197" s="60" t="s">
        <v>3289</v>
      </c>
      <c r="N197" s="60" t="s">
        <v>3291</v>
      </c>
      <c r="O197" s="60"/>
      <c r="P197" s="60" t="s">
        <v>5493</v>
      </c>
      <c r="Q197" s="20">
        <v>4</v>
      </c>
    </row>
    <row r="198" spans="1:17" ht="80" x14ac:dyDescent="0.2">
      <c r="A198" s="71">
        <v>197</v>
      </c>
      <c r="B198" s="107" t="str">
        <f>HYPERLINK("https://www.ncbi.nlm.nih.gov/gene/8452", "8452")</f>
        <v>8452</v>
      </c>
      <c r="C198" s="109" t="str">
        <f>HYPERLINK("https://www.uniprot.org/uniprot/Q13618", "Q13618")</f>
        <v>Q13618</v>
      </c>
      <c r="D198" s="43" t="s">
        <v>191</v>
      </c>
      <c r="E198" s="16" t="s">
        <v>191</v>
      </c>
      <c r="F198" s="11" t="s">
        <v>1369</v>
      </c>
      <c r="G198" s="28" t="s">
        <v>1370</v>
      </c>
      <c r="H198" s="6" t="s">
        <v>1371</v>
      </c>
      <c r="I198" s="49" t="s">
        <v>5155</v>
      </c>
      <c r="J198" s="73" t="s">
        <v>2959</v>
      </c>
      <c r="K198" s="16" t="s">
        <v>3750</v>
      </c>
      <c r="L198" s="60" t="s">
        <v>3291</v>
      </c>
      <c r="M198" s="60" t="s">
        <v>3289</v>
      </c>
      <c r="N198" s="60" t="s">
        <v>3291</v>
      </c>
      <c r="O198" s="60"/>
      <c r="P198" s="60" t="s">
        <v>5493</v>
      </c>
      <c r="Q198" s="20">
        <v>4</v>
      </c>
    </row>
    <row r="199" spans="1:17" ht="144" x14ac:dyDescent="0.2">
      <c r="A199" s="71">
        <v>198</v>
      </c>
      <c r="B199" s="107" t="str">
        <f>HYPERLINK("https://www.ncbi.nlm.nih.gov/gene/8451", "8451")</f>
        <v>8451</v>
      </c>
      <c r="C199" s="109" t="str">
        <f>HYPERLINK("https://www.uniprot.org/uniprot/Q13619", "Q13619")</f>
        <v>Q13619</v>
      </c>
      <c r="D199" s="43" t="s">
        <v>192</v>
      </c>
      <c r="E199" s="16" t="s">
        <v>192</v>
      </c>
      <c r="F199" s="74"/>
      <c r="G199" s="28" t="s">
        <v>1372</v>
      </c>
      <c r="H199" s="28" t="s">
        <v>1373</v>
      </c>
      <c r="I199" s="31" t="s">
        <v>3334</v>
      </c>
      <c r="J199" s="73" t="s">
        <v>2960</v>
      </c>
      <c r="K199" s="23" t="s">
        <v>4295</v>
      </c>
      <c r="L199" s="60" t="s">
        <v>3289</v>
      </c>
      <c r="M199" s="60" t="s">
        <v>3289</v>
      </c>
      <c r="N199" s="60" t="s">
        <v>3291</v>
      </c>
      <c r="O199" s="60"/>
      <c r="P199" s="60" t="s">
        <v>5494</v>
      </c>
      <c r="Q199" s="20">
        <v>5</v>
      </c>
    </row>
    <row r="200" spans="1:17" ht="80" x14ac:dyDescent="0.2">
      <c r="A200" s="71">
        <v>199</v>
      </c>
      <c r="B200" s="107" t="str">
        <f>HYPERLINK("https://www.ncbi.nlm.nih.gov/gene/50624", "50624")</f>
        <v>50624</v>
      </c>
      <c r="C200" s="109" t="str">
        <f>HYPERLINK("https://www.uniprot.org/uniprot/Q86UP6", "Q86UP6")</f>
        <v>Q86UP6</v>
      </c>
      <c r="D200" s="43" t="s">
        <v>193</v>
      </c>
      <c r="E200" s="16" t="s">
        <v>193</v>
      </c>
      <c r="F200" s="74" t="s">
        <v>1374</v>
      </c>
      <c r="G200" s="28" t="s">
        <v>1375</v>
      </c>
      <c r="H200" s="28" t="s">
        <v>3973</v>
      </c>
      <c r="I200" s="31" t="s">
        <v>2849</v>
      </c>
      <c r="J200" s="73">
        <v>16862170</v>
      </c>
      <c r="K200" s="23" t="s">
        <v>4296</v>
      </c>
      <c r="L200" s="60" t="s">
        <v>3289</v>
      </c>
      <c r="M200" s="60" t="s">
        <v>3289</v>
      </c>
      <c r="N200" s="60" t="s">
        <v>3292</v>
      </c>
      <c r="O200" s="60"/>
      <c r="P200" s="60" t="s">
        <v>5493</v>
      </c>
      <c r="Q200" s="20">
        <v>4</v>
      </c>
    </row>
    <row r="201" spans="1:17" ht="96" x14ac:dyDescent="0.2">
      <c r="A201" s="71">
        <v>200</v>
      </c>
      <c r="B201" s="107" t="str">
        <f>HYPERLINK("https://www.ncbi.nlm.nih.gov/gene/3627", "3627")</f>
        <v>3627</v>
      </c>
      <c r="C201" s="109" t="str">
        <f>HYPERLINK("https://www.uniprot.org/uniprot/P02778", "P02778")</f>
        <v>P02778</v>
      </c>
      <c r="D201" s="43" t="s">
        <v>194</v>
      </c>
      <c r="E201" s="16" t="s">
        <v>194</v>
      </c>
      <c r="F201" s="74" t="s">
        <v>1376</v>
      </c>
      <c r="G201" s="28" t="s">
        <v>1377</v>
      </c>
      <c r="H201" s="28" t="s">
        <v>1378</v>
      </c>
      <c r="I201" s="31" t="s">
        <v>2842</v>
      </c>
      <c r="J201" s="73">
        <v>26336986</v>
      </c>
      <c r="K201" s="23" t="s">
        <v>4297</v>
      </c>
      <c r="L201" s="60" t="s">
        <v>3289</v>
      </c>
      <c r="M201" s="60" t="s">
        <v>3289</v>
      </c>
      <c r="N201" s="60" t="s">
        <v>3291</v>
      </c>
      <c r="O201" s="60"/>
      <c r="P201" s="60" t="s">
        <v>5499</v>
      </c>
      <c r="Q201" s="20">
        <v>5</v>
      </c>
    </row>
    <row r="202" spans="1:17" ht="48" x14ac:dyDescent="0.2">
      <c r="A202" s="71">
        <v>201</v>
      </c>
      <c r="B202" s="107" t="str">
        <f>HYPERLINK("https://www.ncbi.nlm.nih.gov/gene/6387", "6387")</f>
        <v>6387</v>
      </c>
      <c r="C202" s="109" t="str">
        <f>HYPERLINK("https://www.uniprot.org/uniprot/P48061", "P48061")</f>
        <v>P48061</v>
      </c>
      <c r="D202" s="43" t="s">
        <v>195</v>
      </c>
      <c r="E202" s="16" t="s">
        <v>195</v>
      </c>
      <c r="F202" s="74" t="s">
        <v>1379</v>
      </c>
      <c r="G202" s="28" t="s">
        <v>1380</v>
      </c>
      <c r="H202" s="28" t="s">
        <v>1381</v>
      </c>
      <c r="I202" s="31" t="s">
        <v>5156</v>
      </c>
      <c r="J202" s="73">
        <v>28721072</v>
      </c>
      <c r="K202" s="23" t="s">
        <v>4298</v>
      </c>
      <c r="L202" s="60" t="s">
        <v>3289</v>
      </c>
      <c r="M202" s="60" t="s">
        <v>3289</v>
      </c>
      <c r="N202" s="60" t="s">
        <v>3291</v>
      </c>
      <c r="O202" s="60"/>
      <c r="P202" s="60" t="s">
        <v>5493</v>
      </c>
      <c r="Q202" s="20">
        <v>4</v>
      </c>
    </row>
    <row r="203" spans="1:17" ht="80" x14ac:dyDescent="0.2">
      <c r="A203" s="71">
        <v>202</v>
      </c>
      <c r="B203" s="107" t="str">
        <f>HYPERLINK("https://www.ncbi.nlm.nih.gov/gene/3576", "3576")</f>
        <v>3576</v>
      </c>
      <c r="C203" s="109" t="str">
        <f>HYPERLINK("https://www.uniprot.org/uniprot/P10145", "P10145")</f>
        <v>P10145</v>
      </c>
      <c r="D203" s="43" t="s">
        <v>196</v>
      </c>
      <c r="E203" s="35" t="s">
        <v>196</v>
      </c>
      <c r="F203" s="79" t="s">
        <v>1382</v>
      </c>
      <c r="G203" s="30" t="s">
        <v>1383</v>
      </c>
      <c r="H203" s="30" t="s">
        <v>3974</v>
      </c>
      <c r="I203" s="47" t="s">
        <v>2842</v>
      </c>
      <c r="J203" s="73" t="s">
        <v>3895</v>
      </c>
      <c r="K203" s="23" t="s">
        <v>4299</v>
      </c>
      <c r="L203" s="60" t="s">
        <v>5529</v>
      </c>
      <c r="M203" s="60" t="s">
        <v>3289</v>
      </c>
      <c r="N203" s="60" t="s">
        <v>3289</v>
      </c>
      <c r="O203" s="60"/>
      <c r="P203" s="60" t="s">
        <v>5493</v>
      </c>
      <c r="Q203" s="20">
        <v>4</v>
      </c>
    </row>
    <row r="204" spans="1:17" ht="80" x14ac:dyDescent="0.2">
      <c r="A204" s="71">
        <v>203</v>
      </c>
      <c r="B204" s="107" t="str">
        <f>HYPERLINK("https://www.ncbi.nlm.nih.gov/gene/7852", "7852")</f>
        <v>7852</v>
      </c>
      <c r="C204" s="109" t="str">
        <f>HYPERLINK("https://www.uniprot.org/uniprot/P61073", "P61073")</f>
        <v>P61073</v>
      </c>
      <c r="D204" s="43" t="s">
        <v>197</v>
      </c>
      <c r="E204" s="16" t="s">
        <v>197</v>
      </c>
      <c r="F204" s="74"/>
      <c r="G204" s="28" t="s">
        <v>1384</v>
      </c>
      <c r="H204" s="28" t="s">
        <v>1385</v>
      </c>
      <c r="I204" s="31" t="s">
        <v>5157</v>
      </c>
      <c r="J204" s="73">
        <v>27922681</v>
      </c>
      <c r="K204" s="23" t="s">
        <v>4300</v>
      </c>
      <c r="L204" s="60" t="s">
        <v>3289</v>
      </c>
      <c r="M204" s="60" t="s">
        <v>3289</v>
      </c>
      <c r="N204" s="60" t="s">
        <v>3292</v>
      </c>
      <c r="O204" s="60" t="s">
        <v>5509</v>
      </c>
      <c r="P204" s="60" t="s">
        <v>5492</v>
      </c>
      <c r="Q204" s="20">
        <v>4</v>
      </c>
    </row>
    <row r="205" spans="1:17" ht="112" x14ac:dyDescent="0.2">
      <c r="A205" s="71">
        <v>204</v>
      </c>
      <c r="B205" s="107" t="str">
        <f>HYPERLINK("https://www.ncbi.nlm.nih.gov/gene/1545", "1545")</f>
        <v>1545</v>
      </c>
      <c r="C205" s="109" t="str">
        <f>HYPERLINK("https://www.uniprot.org/uniprot/Q16678", "Q16678")</f>
        <v>Q16678</v>
      </c>
      <c r="D205" s="43" t="s">
        <v>198</v>
      </c>
      <c r="E205" s="16" t="s">
        <v>198</v>
      </c>
      <c r="F205" s="74"/>
      <c r="G205" s="28" t="s">
        <v>1386</v>
      </c>
      <c r="H205" s="28" t="s">
        <v>3416</v>
      </c>
      <c r="I205" s="31" t="s">
        <v>2836</v>
      </c>
      <c r="J205" s="73" t="s">
        <v>2961</v>
      </c>
      <c r="K205" s="23" t="s">
        <v>4301</v>
      </c>
      <c r="L205" s="60" t="s">
        <v>3289</v>
      </c>
      <c r="M205" s="60" t="s">
        <v>3289</v>
      </c>
      <c r="N205" s="60" t="s">
        <v>3291</v>
      </c>
      <c r="O205" s="60"/>
      <c r="P205" s="60" t="s">
        <v>5492</v>
      </c>
      <c r="Q205" s="20">
        <v>4</v>
      </c>
    </row>
    <row r="206" spans="1:17" ht="112" x14ac:dyDescent="0.2">
      <c r="A206" s="71">
        <v>205</v>
      </c>
      <c r="B206" s="107" t="str">
        <f>HYPERLINK("https://www.ncbi.nlm.nih.gov/gene/1571", "1571")</f>
        <v>1571</v>
      </c>
      <c r="C206" s="109" t="str">
        <f>HYPERLINK("https://www.uniprot.org/uniprot/P05181", "P05181")</f>
        <v>P05181</v>
      </c>
      <c r="D206" s="43" t="s">
        <v>199</v>
      </c>
      <c r="E206" s="16" t="s">
        <v>199</v>
      </c>
      <c r="F206" s="74" t="s">
        <v>1387</v>
      </c>
      <c r="G206" s="28" t="s">
        <v>1388</v>
      </c>
      <c r="H206" s="28" t="s">
        <v>3377</v>
      </c>
      <c r="I206" s="31" t="s">
        <v>5158</v>
      </c>
      <c r="J206" s="73" t="s">
        <v>2962</v>
      </c>
      <c r="K206" s="23" t="s">
        <v>4302</v>
      </c>
      <c r="L206" s="60" t="s">
        <v>3292</v>
      </c>
      <c r="M206" s="60" t="s">
        <v>3292</v>
      </c>
      <c r="N206" s="60" t="s">
        <v>3289</v>
      </c>
      <c r="O206" s="60"/>
      <c r="P206" s="60" t="s">
        <v>5494</v>
      </c>
      <c r="Q206" s="20">
        <v>5</v>
      </c>
    </row>
    <row r="207" spans="1:17" ht="96" x14ac:dyDescent="0.2">
      <c r="A207" s="71">
        <v>206</v>
      </c>
      <c r="B207" s="107" t="str">
        <f>HYPERLINK("https://www.ncbi.nlm.nih.gov/gene/51339", "51339")</f>
        <v>51339</v>
      </c>
      <c r="C207" s="109" t="str">
        <f>HYPERLINK("https://www.uniprot.org/uniprot/Q9NYF0", "Q9NYF0")</f>
        <v>Q9NYF0</v>
      </c>
      <c r="D207" s="43" t="s">
        <v>201</v>
      </c>
      <c r="E207" s="35" t="s">
        <v>201</v>
      </c>
      <c r="F207" s="79" t="s">
        <v>1390</v>
      </c>
      <c r="G207" s="30" t="s">
        <v>1391</v>
      </c>
      <c r="H207" s="30" t="s">
        <v>1392</v>
      </c>
      <c r="I207" s="47" t="s">
        <v>5159</v>
      </c>
      <c r="J207" s="73">
        <v>28839145</v>
      </c>
      <c r="K207" s="23" t="s">
        <v>4303</v>
      </c>
      <c r="L207" s="60" t="s">
        <v>3292</v>
      </c>
      <c r="M207" s="60" t="s">
        <v>3292</v>
      </c>
      <c r="N207" s="60" t="s">
        <v>3291</v>
      </c>
      <c r="O207" s="60"/>
      <c r="P207" s="60" t="s">
        <v>5499</v>
      </c>
      <c r="Q207" s="20">
        <v>2</v>
      </c>
    </row>
    <row r="208" spans="1:17" ht="64" x14ac:dyDescent="0.2">
      <c r="A208" s="71">
        <v>207</v>
      </c>
      <c r="B208" s="107" t="str">
        <f>HYPERLINK("https://www.ncbi.nlm.nih.gov/gene/1612", "1612")</f>
        <v>1612</v>
      </c>
      <c r="C208" s="109" t="str">
        <f>HYPERLINK("https://www.uniprot.org/uniprot/P53355", "P53355")</f>
        <v>P53355</v>
      </c>
      <c r="D208" s="43" t="s">
        <v>204</v>
      </c>
      <c r="E208" s="35" t="s">
        <v>204</v>
      </c>
      <c r="F208" s="79" t="s">
        <v>1398</v>
      </c>
      <c r="G208" s="30" t="s">
        <v>1399</v>
      </c>
      <c r="H208" s="30" t="s">
        <v>4894</v>
      </c>
      <c r="I208" s="47" t="s">
        <v>5106</v>
      </c>
      <c r="J208" s="73">
        <v>20048748</v>
      </c>
      <c r="K208" s="23" t="s">
        <v>4304</v>
      </c>
      <c r="L208" s="60" t="s">
        <v>3291</v>
      </c>
      <c r="M208" s="60" t="s">
        <v>3292</v>
      </c>
      <c r="N208" s="60" t="s">
        <v>3289</v>
      </c>
      <c r="O208" s="60"/>
      <c r="P208" s="60" t="s">
        <v>3323</v>
      </c>
      <c r="Q208" s="20">
        <v>1</v>
      </c>
    </row>
    <row r="209" spans="1:17" ht="80" x14ac:dyDescent="0.2">
      <c r="A209" s="71">
        <v>208</v>
      </c>
      <c r="B209" s="107" t="str">
        <f>HYPERLINK("https://www.ncbi.nlm.nih.gov/gene/1613", "1613")</f>
        <v>1613</v>
      </c>
      <c r="C209" s="109" t="str">
        <f>HYPERLINK("https://www.uniprot.org/uniprot/O43293", "O43293")</f>
        <v>O43293</v>
      </c>
      <c r="D209" s="43" t="s">
        <v>202</v>
      </c>
      <c r="E209" s="35" t="s">
        <v>202</v>
      </c>
      <c r="F209" s="79" t="s">
        <v>1393</v>
      </c>
      <c r="G209" s="30" t="s">
        <v>1394</v>
      </c>
      <c r="H209" s="30" t="s">
        <v>1395</v>
      </c>
      <c r="I209" s="47" t="s">
        <v>2828</v>
      </c>
      <c r="J209" s="73">
        <v>21775533</v>
      </c>
      <c r="K209" s="23" t="s">
        <v>4305</v>
      </c>
      <c r="L209" s="60" t="s">
        <v>3292</v>
      </c>
      <c r="M209" s="60" t="s">
        <v>3292</v>
      </c>
      <c r="N209" s="60" t="s">
        <v>3291</v>
      </c>
      <c r="O209" s="60"/>
      <c r="P209" s="60" t="s">
        <v>5492</v>
      </c>
      <c r="Q209" s="20">
        <v>4</v>
      </c>
    </row>
    <row r="210" spans="1:17" ht="128" x14ac:dyDescent="0.2">
      <c r="A210" s="71">
        <v>209</v>
      </c>
      <c r="B210" s="107" t="str">
        <f>HYPERLINK("https://www.ncbi.nlm.nih.gov/gene/1616", "1616")</f>
        <v>1616</v>
      </c>
      <c r="C210" s="113" t="str">
        <f>HYPERLINK("https://www.uniprot.org/uniprot/Q9UER7", "Q9UER7")</f>
        <v>Q9UER7</v>
      </c>
      <c r="D210" s="43" t="s">
        <v>203</v>
      </c>
      <c r="E210" s="35" t="s">
        <v>203</v>
      </c>
      <c r="F210" s="79" t="s">
        <v>1396</v>
      </c>
      <c r="G210" s="30" t="s">
        <v>1397</v>
      </c>
      <c r="H210" s="30" t="s">
        <v>4306</v>
      </c>
      <c r="I210" s="47" t="s">
        <v>5160</v>
      </c>
      <c r="J210" s="73">
        <v>29906705</v>
      </c>
      <c r="K210" s="23" t="s">
        <v>4307</v>
      </c>
      <c r="L210" s="60" t="s">
        <v>3289</v>
      </c>
      <c r="M210" s="60" t="s">
        <v>3289</v>
      </c>
      <c r="N210" s="60" t="s">
        <v>5524</v>
      </c>
      <c r="O210" s="60"/>
      <c r="P210" s="60" t="s">
        <v>5494</v>
      </c>
      <c r="Q210" s="20">
        <v>5</v>
      </c>
    </row>
    <row r="211" spans="1:17" ht="64" x14ac:dyDescent="0.2">
      <c r="A211" s="71">
        <v>210</v>
      </c>
      <c r="B211" s="107" t="str">
        <f>HYPERLINK("https://www.ncbi.nlm.nih.gov/gene/9937", "9937")</f>
        <v>9937</v>
      </c>
      <c r="C211" s="109" t="str">
        <f>HYPERLINK("https://www.uniprot.org/uniprot/Q6PJP8", "Q6PJP8")</f>
        <v>Q6PJP8</v>
      </c>
      <c r="D211" s="43" t="s">
        <v>205</v>
      </c>
      <c r="E211" s="16" t="s">
        <v>205</v>
      </c>
      <c r="F211" s="79" t="s">
        <v>1400</v>
      </c>
      <c r="G211" s="28" t="s">
        <v>1401</v>
      </c>
      <c r="H211" s="28" t="s">
        <v>1402</v>
      </c>
      <c r="I211" s="31" t="s">
        <v>3332</v>
      </c>
      <c r="J211" s="73" t="s">
        <v>2964</v>
      </c>
      <c r="K211" s="23" t="s">
        <v>4308</v>
      </c>
      <c r="L211" s="60" t="s">
        <v>3289</v>
      </c>
      <c r="M211" s="60" t="s">
        <v>3289</v>
      </c>
      <c r="N211" s="60" t="s">
        <v>3291</v>
      </c>
      <c r="O211" s="60"/>
      <c r="P211" s="60" t="s">
        <v>3323</v>
      </c>
      <c r="Q211" s="20">
        <v>1</v>
      </c>
    </row>
    <row r="212" spans="1:17" ht="64" x14ac:dyDescent="0.2">
      <c r="A212" s="71">
        <v>211</v>
      </c>
      <c r="B212" s="107" t="str">
        <f>HYPERLINK("https://www.ncbi.nlm.nih.gov/gene/64858", "64858")</f>
        <v>64858</v>
      </c>
      <c r="C212" s="109" t="str">
        <f>HYPERLINK("https://www.uniprot.org/uniprot/Q9H816", "Q9H816")</f>
        <v>Q9H816</v>
      </c>
      <c r="D212" s="43" t="s">
        <v>206</v>
      </c>
      <c r="E212" s="16" t="s">
        <v>206</v>
      </c>
      <c r="F212" s="74" t="s">
        <v>1403</v>
      </c>
      <c r="G212" s="28" t="s">
        <v>1404</v>
      </c>
      <c r="H212" s="28" t="s">
        <v>3975</v>
      </c>
      <c r="I212" s="31" t="s">
        <v>5161</v>
      </c>
      <c r="J212" s="73">
        <v>28430596</v>
      </c>
      <c r="K212" s="23" t="s">
        <v>4309</v>
      </c>
      <c r="L212" s="60" t="s">
        <v>3291</v>
      </c>
      <c r="M212" s="60" t="s">
        <v>3289</v>
      </c>
      <c r="N212" s="60" t="s">
        <v>3291</v>
      </c>
      <c r="O212" s="60"/>
      <c r="P212" s="60" t="s">
        <v>3323</v>
      </c>
      <c r="Q212" s="20">
        <v>1</v>
      </c>
    </row>
    <row r="213" spans="1:17" ht="80" x14ac:dyDescent="0.2">
      <c r="A213" s="71">
        <v>212</v>
      </c>
      <c r="B213" s="107" t="str">
        <f>HYPERLINK("https://www.ncbi.nlm.nih.gov/gene/64421", "64421")</f>
        <v>64421</v>
      </c>
      <c r="C213" s="109" t="str">
        <f>HYPERLINK("https://www.uniprot.org/uniprot/Q96SD1", "Q96SD1")</f>
        <v>Q96SD1</v>
      </c>
      <c r="D213" s="43" t="s">
        <v>207</v>
      </c>
      <c r="E213" s="16" t="s">
        <v>207</v>
      </c>
      <c r="F213" s="74" t="s">
        <v>1405</v>
      </c>
      <c r="G213" s="28" t="s">
        <v>1406</v>
      </c>
      <c r="H213" s="28" t="s">
        <v>3976</v>
      </c>
      <c r="I213" s="31" t="s">
        <v>3335</v>
      </c>
      <c r="J213" s="73">
        <v>21785230</v>
      </c>
      <c r="K213" s="23" t="s">
        <v>4310</v>
      </c>
      <c r="L213" s="60" t="s">
        <v>3291</v>
      </c>
      <c r="M213" s="60" t="s">
        <v>3289</v>
      </c>
      <c r="N213" s="60" t="s">
        <v>3291</v>
      </c>
      <c r="O213" s="60"/>
      <c r="P213" s="60" t="s">
        <v>3323</v>
      </c>
      <c r="Q213" s="20">
        <v>1</v>
      </c>
    </row>
    <row r="214" spans="1:17" ht="48" x14ac:dyDescent="0.2">
      <c r="A214" s="71">
        <v>213</v>
      </c>
      <c r="B214" s="107" t="str">
        <f>HYPERLINK("https://www.ncbi.nlm.nih.gov/gene/1642", "1642")</f>
        <v>1642</v>
      </c>
      <c r="C214" s="109" t="str">
        <f>HYPERLINK("https://www.uniprot.org/uniprot/Q16531", "Q16531")</f>
        <v>Q16531</v>
      </c>
      <c r="D214" s="43" t="s">
        <v>208</v>
      </c>
      <c r="E214" s="77" t="s">
        <v>208</v>
      </c>
      <c r="F214" s="78" t="s">
        <v>1407</v>
      </c>
      <c r="G214" s="28" t="s">
        <v>1408</v>
      </c>
      <c r="H214" s="28" t="s">
        <v>1409</v>
      </c>
      <c r="I214" s="31" t="s">
        <v>5162</v>
      </c>
      <c r="J214" s="73">
        <v>24249678</v>
      </c>
      <c r="K214" s="15" t="s">
        <v>3751</v>
      </c>
      <c r="L214" s="60" t="s">
        <v>3292</v>
      </c>
      <c r="M214" s="60" t="s">
        <v>3292</v>
      </c>
      <c r="N214" s="60" t="s">
        <v>3289</v>
      </c>
      <c r="O214" s="60"/>
      <c r="P214" s="60" t="s">
        <v>3323</v>
      </c>
      <c r="Q214" s="20">
        <v>1</v>
      </c>
    </row>
    <row r="215" spans="1:17" ht="128" x14ac:dyDescent="0.2">
      <c r="A215" s="71">
        <v>214</v>
      </c>
      <c r="B215" s="107" t="str">
        <f>HYPERLINK("https://www.ncbi.nlm.nih.gov/gene/1643", "1643")</f>
        <v>1643</v>
      </c>
      <c r="C215" s="109" t="str">
        <f>HYPERLINK("https://www.uniprot.org/uniprot/Q92466", "Q92466")</f>
        <v>Q92466</v>
      </c>
      <c r="D215" s="43" t="s">
        <v>209</v>
      </c>
      <c r="E215" s="77" t="s">
        <v>209</v>
      </c>
      <c r="F215" s="78"/>
      <c r="G215" s="28" t="s">
        <v>1410</v>
      </c>
      <c r="H215" s="28" t="s">
        <v>4311</v>
      </c>
      <c r="I215" s="31" t="s">
        <v>5163</v>
      </c>
      <c r="J215" s="73" t="s">
        <v>2965</v>
      </c>
      <c r="K215" s="15" t="s">
        <v>3576</v>
      </c>
      <c r="L215" s="60" t="s">
        <v>3292</v>
      </c>
      <c r="M215" s="60" t="s">
        <v>3292</v>
      </c>
      <c r="N215" s="60" t="s">
        <v>3289</v>
      </c>
      <c r="O215" s="60"/>
      <c r="P215" s="60" t="s">
        <v>5494</v>
      </c>
      <c r="Q215" s="20">
        <v>5</v>
      </c>
    </row>
    <row r="216" spans="1:17" ht="64" x14ac:dyDescent="0.2">
      <c r="A216" s="71">
        <v>215</v>
      </c>
      <c r="B216" s="107" t="str">
        <f>HYPERLINK("https://www.ncbi.nlm.nih.gov/gene/220042", "220042")</f>
        <v>220042</v>
      </c>
      <c r="C216" s="109" t="str">
        <f>HYPERLINK("https://www.uniprot.org/uniprot/Q8IXT1", "Q8IXT1")</f>
        <v>Q8IXT1</v>
      </c>
      <c r="D216" s="43" t="s">
        <v>210</v>
      </c>
      <c r="E216" s="77" t="s">
        <v>210</v>
      </c>
      <c r="F216" s="78" t="s">
        <v>1411</v>
      </c>
      <c r="G216" s="28" t="s">
        <v>1412</v>
      </c>
      <c r="H216" s="28" t="s">
        <v>1413</v>
      </c>
      <c r="I216" s="31" t="s">
        <v>5164</v>
      </c>
      <c r="J216" s="73">
        <v>26493727</v>
      </c>
      <c r="K216" s="18" t="s">
        <v>3752</v>
      </c>
      <c r="L216" s="60" t="s">
        <v>3291</v>
      </c>
      <c r="M216" s="60" t="s">
        <v>3289</v>
      </c>
      <c r="N216" s="60" t="s">
        <v>3291</v>
      </c>
      <c r="O216" s="60"/>
      <c r="P216" s="60" t="s">
        <v>3323</v>
      </c>
      <c r="Q216" s="20">
        <v>1</v>
      </c>
    </row>
    <row r="217" spans="1:17" ht="112" x14ac:dyDescent="0.2">
      <c r="A217" s="71">
        <v>216</v>
      </c>
      <c r="B217" s="107" t="str">
        <f>HYPERLINK("https://www.ncbi.nlm.nih.gov/gene/1649", "1649")</f>
        <v>1649</v>
      </c>
      <c r="C217" s="109" t="str">
        <f>HYPERLINK("https://www.uniprot.org/uniprot/P35638", "P35638")</f>
        <v>P35638</v>
      </c>
      <c r="D217" s="43" t="s">
        <v>211</v>
      </c>
      <c r="E217" s="77" t="s">
        <v>211</v>
      </c>
      <c r="F217" s="78" t="s">
        <v>1414</v>
      </c>
      <c r="G217" s="28" t="s">
        <v>1415</v>
      </c>
      <c r="H217" s="28" t="s">
        <v>3977</v>
      </c>
      <c r="I217" s="31" t="s">
        <v>5120</v>
      </c>
      <c r="J217" s="73">
        <v>29702190</v>
      </c>
      <c r="K217" s="55" t="s">
        <v>3753</v>
      </c>
      <c r="L217" s="60" t="s">
        <v>3292</v>
      </c>
      <c r="M217" s="60" t="s">
        <v>3292</v>
      </c>
      <c r="N217" s="60" t="s">
        <v>3289</v>
      </c>
      <c r="O217" s="60"/>
      <c r="P217" s="60" t="s">
        <v>3323</v>
      </c>
      <c r="Q217" s="20">
        <v>5</v>
      </c>
    </row>
    <row r="218" spans="1:17" ht="128" x14ac:dyDescent="0.2">
      <c r="A218" s="71">
        <v>217</v>
      </c>
      <c r="B218" s="107" t="str">
        <f>HYPERLINK("https://www.ncbi.nlm.nih.gov/gene/780", "780")</f>
        <v>780</v>
      </c>
      <c r="C218" s="109" t="str">
        <f>HYPERLINK("https://www.uniprot.org/uniprot/Q08345", "Q08345")</f>
        <v>Q08345</v>
      </c>
      <c r="D218" s="43" t="s">
        <v>212</v>
      </c>
      <c r="E218" s="35" t="s">
        <v>212</v>
      </c>
      <c r="F218" s="79" t="s">
        <v>1416</v>
      </c>
      <c r="G218" s="30" t="s">
        <v>1417</v>
      </c>
      <c r="H218" s="30" t="s">
        <v>4312</v>
      </c>
      <c r="I218" s="47" t="s">
        <v>5131</v>
      </c>
      <c r="J218" s="73">
        <v>28743276</v>
      </c>
      <c r="K218" s="23" t="s">
        <v>4313</v>
      </c>
      <c r="L218" s="60" t="s">
        <v>3289</v>
      </c>
      <c r="M218" s="60" t="s">
        <v>3289</v>
      </c>
      <c r="N218" s="60" t="s">
        <v>3291</v>
      </c>
      <c r="O218" s="60"/>
      <c r="P218" s="60" t="s">
        <v>5493</v>
      </c>
      <c r="Q218" s="20">
        <v>4</v>
      </c>
    </row>
    <row r="219" spans="1:17" ht="112" x14ac:dyDescent="0.2">
      <c r="A219" s="71">
        <v>218</v>
      </c>
      <c r="B219" s="107" t="str">
        <f>HYPERLINK("https://www.ncbi.nlm.nih.gov/gene/79139", "79139")</f>
        <v>79139</v>
      </c>
      <c r="C219" s="111" t="str">
        <f>HYPERLINK("https://www.uniprot.org/uniprot/Q9BUN8", "Q9BUN8")</f>
        <v>Q9BUN8</v>
      </c>
      <c r="D219" s="43" t="s">
        <v>213</v>
      </c>
      <c r="E219" s="35" t="s">
        <v>213</v>
      </c>
      <c r="F219" s="79" t="s">
        <v>1418</v>
      </c>
      <c r="G219" s="30" t="s">
        <v>1419</v>
      </c>
      <c r="H219" s="30" t="s">
        <v>1420</v>
      </c>
      <c r="I219" s="47" t="s">
        <v>5165</v>
      </c>
      <c r="J219" s="73">
        <v>28178653</v>
      </c>
      <c r="K219" s="23" t="s">
        <v>4314</v>
      </c>
      <c r="L219" s="60" t="s">
        <v>3289</v>
      </c>
      <c r="M219" s="60" t="s">
        <v>3289</v>
      </c>
      <c r="N219" s="60" t="s">
        <v>3291</v>
      </c>
      <c r="O219" s="60"/>
      <c r="P219" s="60" t="s">
        <v>5493</v>
      </c>
      <c r="Q219" s="20">
        <v>4</v>
      </c>
    </row>
    <row r="220" spans="1:17" ht="64" x14ac:dyDescent="0.2">
      <c r="A220" s="71">
        <v>219</v>
      </c>
      <c r="B220" s="107" t="str">
        <f>HYPERLINK("https://www.ncbi.nlm.nih.gov/gene/1719", "1719")</f>
        <v>1719</v>
      </c>
      <c r="C220" s="109" t="str">
        <f>HYPERLINK("https://www.uniprot.org/uniprot/P00374", "P00374")</f>
        <v>P00374</v>
      </c>
      <c r="D220" s="43" t="s">
        <v>214</v>
      </c>
      <c r="E220" s="35" t="s">
        <v>214</v>
      </c>
      <c r="F220" s="79"/>
      <c r="G220" s="30" t="s">
        <v>1421</v>
      </c>
      <c r="H220" s="30" t="s">
        <v>1422</v>
      </c>
      <c r="I220" s="47" t="s">
        <v>5166</v>
      </c>
      <c r="J220" s="73" t="s">
        <v>2966</v>
      </c>
      <c r="K220" s="23" t="s">
        <v>4315</v>
      </c>
      <c r="L220" s="60" t="s">
        <v>3289</v>
      </c>
      <c r="M220" s="60" t="s">
        <v>3289</v>
      </c>
      <c r="N220" s="60" t="s">
        <v>3291</v>
      </c>
      <c r="O220" s="60" t="s">
        <v>5509</v>
      </c>
      <c r="P220" s="60" t="s">
        <v>3323</v>
      </c>
      <c r="Q220" s="20">
        <v>1</v>
      </c>
    </row>
    <row r="221" spans="1:17" ht="160" x14ac:dyDescent="0.2">
      <c r="A221" s="71">
        <v>220</v>
      </c>
      <c r="B221" s="107" t="str">
        <f>HYPERLINK("https://www.ncbi.nlm.nih.gov/gene/81624", "81624")</f>
        <v>81624</v>
      </c>
      <c r="C221" s="109" t="str">
        <f>HYPERLINK("https://www.uniprot.org/uniprot/Q9NSV4", "Q9NSV4")</f>
        <v>Q9NSV4</v>
      </c>
      <c r="D221" s="43" t="s">
        <v>215</v>
      </c>
      <c r="E221" s="35" t="s">
        <v>215</v>
      </c>
      <c r="F221" s="79" t="s">
        <v>1423</v>
      </c>
      <c r="G221" s="30" t="s">
        <v>1424</v>
      </c>
      <c r="H221" s="30" t="s">
        <v>1425</v>
      </c>
      <c r="I221" s="47" t="s">
        <v>2830</v>
      </c>
      <c r="J221" s="73" t="s">
        <v>2967</v>
      </c>
      <c r="K221" s="23" t="s">
        <v>4316</v>
      </c>
      <c r="L221" s="60" t="s">
        <v>3289</v>
      </c>
      <c r="M221" s="60" t="s">
        <v>3289</v>
      </c>
      <c r="N221" s="60" t="s">
        <v>3291</v>
      </c>
      <c r="O221" s="60"/>
      <c r="P221" s="60" t="s">
        <v>5507</v>
      </c>
      <c r="Q221" s="20">
        <v>4</v>
      </c>
    </row>
    <row r="222" spans="1:17" ht="80" x14ac:dyDescent="0.2">
      <c r="A222" s="71">
        <v>221</v>
      </c>
      <c r="B222" s="107" t="str">
        <f>HYPERLINK("https://www.ncbi.nlm.nih.gov/gene/23405", "23405")</f>
        <v>23405</v>
      </c>
      <c r="C222" s="109" t="str">
        <f>HYPERLINK("https://www.uniprot.org/uniprot/Q9UPY3", "Q9UPY3")</f>
        <v>Q9UPY3</v>
      </c>
      <c r="D222" s="43" t="s">
        <v>216</v>
      </c>
      <c r="E222" s="35" t="s">
        <v>216</v>
      </c>
      <c r="F222" s="79" t="s">
        <v>1426</v>
      </c>
      <c r="G222" s="30" t="s">
        <v>1427</v>
      </c>
      <c r="H222" s="30" t="s">
        <v>1428</v>
      </c>
      <c r="I222" s="47" t="s">
        <v>5167</v>
      </c>
      <c r="J222" s="73" t="s">
        <v>2968</v>
      </c>
      <c r="K222" s="30" t="s">
        <v>4317</v>
      </c>
      <c r="L222" s="60" t="s">
        <v>3292</v>
      </c>
      <c r="M222" s="60" t="s">
        <v>3292</v>
      </c>
      <c r="N222" s="60" t="s">
        <v>3291</v>
      </c>
      <c r="O222" s="60"/>
      <c r="P222" s="60" t="s">
        <v>5493</v>
      </c>
      <c r="Q222" s="20">
        <v>4</v>
      </c>
    </row>
    <row r="223" spans="1:17" ht="96" x14ac:dyDescent="0.2">
      <c r="A223" s="71">
        <v>222</v>
      </c>
      <c r="B223" s="107" t="str">
        <f>HYPERLINK("https://www.ncbi.nlm.nih.gov/gene/9077", "9077")</f>
        <v>9077</v>
      </c>
      <c r="C223" s="109" t="str">
        <f>HYPERLINK("https://www.uniprot.org/uniprot/O95661", "O95661")</f>
        <v>O95661</v>
      </c>
      <c r="D223" s="43" t="s">
        <v>217</v>
      </c>
      <c r="E223" s="35" t="s">
        <v>217</v>
      </c>
      <c r="F223" s="79" t="s">
        <v>1429</v>
      </c>
      <c r="G223" s="30" t="s">
        <v>1430</v>
      </c>
      <c r="H223" s="30" t="s">
        <v>3978</v>
      </c>
      <c r="I223" s="47" t="s">
        <v>5104</v>
      </c>
      <c r="J223" s="73">
        <v>26247722</v>
      </c>
      <c r="K223" s="23" t="s">
        <v>4318</v>
      </c>
      <c r="L223" s="60" t="s">
        <v>3292</v>
      </c>
      <c r="M223" s="60" t="s">
        <v>3292</v>
      </c>
      <c r="N223" s="60" t="s">
        <v>3292</v>
      </c>
      <c r="O223" s="60"/>
      <c r="P223" s="60" t="s">
        <v>5499</v>
      </c>
      <c r="Q223" s="20">
        <v>5</v>
      </c>
    </row>
    <row r="224" spans="1:17" ht="128" x14ac:dyDescent="0.2">
      <c r="A224" s="71">
        <v>223</v>
      </c>
      <c r="B224" s="107" t="str">
        <f>HYPERLINK("https://www.ncbi.nlm.nih.gov/gene/22943", "22943")</f>
        <v>22943</v>
      </c>
      <c r="C224" s="109" t="str">
        <f>HYPERLINK("https://www.uniprot.org/uniprot/O94907", "O94907")</f>
        <v>O94907</v>
      </c>
      <c r="D224" s="43" t="s">
        <v>218</v>
      </c>
      <c r="E224" s="35" t="s">
        <v>218</v>
      </c>
      <c r="F224" s="79" t="s">
        <v>1431</v>
      </c>
      <c r="G224" s="30" t="s">
        <v>1432</v>
      </c>
      <c r="H224" s="30" t="s">
        <v>4319</v>
      </c>
      <c r="I224" s="47" t="s">
        <v>2831</v>
      </c>
      <c r="J224" s="73" t="s">
        <v>2969</v>
      </c>
      <c r="K224" s="23" t="s">
        <v>4320</v>
      </c>
      <c r="L224" s="60" t="s">
        <v>3289</v>
      </c>
      <c r="M224" s="60" t="s">
        <v>3289</v>
      </c>
      <c r="N224" s="60" t="s">
        <v>3289</v>
      </c>
      <c r="O224" s="60"/>
      <c r="P224" s="60" t="s">
        <v>5493</v>
      </c>
      <c r="Q224" s="20">
        <v>4</v>
      </c>
    </row>
    <row r="225" spans="1:17" ht="128" x14ac:dyDescent="0.2">
      <c r="A225" s="71">
        <v>224</v>
      </c>
      <c r="B225" s="107" t="str">
        <f>HYPERLINK("https://www.ncbi.nlm.nih.gov/gene/27122", "27122")</f>
        <v>27122</v>
      </c>
      <c r="C225" s="110" t="str">
        <f>HYPERLINK("https://www.uniprot.org/uniprot/Q9UBP4", "Q9UBP4")</f>
        <v>Q9UBP4</v>
      </c>
      <c r="D225" s="43" t="s">
        <v>219</v>
      </c>
      <c r="E225" s="35" t="s">
        <v>219</v>
      </c>
      <c r="F225" s="79" t="s">
        <v>1433</v>
      </c>
      <c r="G225" s="30" t="s">
        <v>1434</v>
      </c>
      <c r="H225" s="30" t="s">
        <v>1435</v>
      </c>
      <c r="I225" s="47" t="s">
        <v>2831</v>
      </c>
      <c r="J225" s="73">
        <v>26093488</v>
      </c>
      <c r="K225" s="23" t="s">
        <v>4321</v>
      </c>
      <c r="L225" s="60" t="s">
        <v>3289</v>
      </c>
      <c r="M225" s="60" t="s">
        <v>3289</v>
      </c>
      <c r="N225" s="60" t="s">
        <v>3291</v>
      </c>
      <c r="O225" s="60"/>
      <c r="P225" s="60" t="s">
        <v>5494</v>
      </c>
      <c r="Q225" s="20">
        <v>5</v>
      </c>
    </row>
    <row r="226" spans="1:17" ht="192" x14ac:dyDescent="0.2">
      <c r="A226" s="71">
        <v>225</v>
      </c>
      <c r="B226" s="107" t="str">
        <f>HYPERLINK("https://www.ncbi.nlm.nih.gov/gene/1786", "1786")</f>
        <v>1786</v>
      </c>
      <c r="C226" s="109" t="str">
        <f>HYPERLINK("https://www.uniprot.org/uniprot/P26358", "P26358")</f>
        <v>P26358</v>
      </c>
      <c r="D226" s="43" t="s">
        <v>220</v>
      </c>
      <c r="E226" s="35" t="s">
        <v>220</v>
      </c>
      <c r="F226" s="30" t="s">
        <v>1436</v>
      </c>
      <c r="G226" s="30" t="s">
        <v>1437</v>
      </c>
      <c r="H226" s="30" t="s">
        <v>1438</v>
      </c>
      <c r="I226" s="47" t="s">
        <v>5168</v>
      </c>
      <c r="J226" s="73" t="s">
        <v>3882</v>
      </c>
      <c r="K226" s="30" t="s">
        <v>4322</v>
      </c>
      <c r="L226" s="60" t="s">
        <v>3289</v>
      </c>
      <c r="M226" s="60" t="s">
        <v>3289</v>
      </c>
      <c r="N226" s="60" t="s">
        <v>3289</v>
      </c>
      <c r="O226" s="60" t="s">
        <v>5509</v>
      </c>
      <c r="P226" s="60" t="s">
        <v>5495</v>
      </c>
      <c r="Q226" s="20">
        <v>2</v>
      </c>
    </row>
    <row r="227" spans="1:17" ht="112" x14ac:dyDescent="0.2">
      <c r="A227" s="71">
        <v>226</v>
      </c>
      <c r="B227" s="107" t="str">
        <f>HYPERLINK("https://www.ncbi.nlm.nih.gov/gene/9046", "9046")</f>
        <v>9046</v>
      </c>
      <c r="C227" s="109" t="str">
        <f>HYPERLINK("https://www.uniprot.org/uniprot/O60496", "O60496")</f>
        <v>O60496</v>
      </c>
      <c r="D227" s="43" t="s">
        <v>221</v>
      </c>
      <c r="E227" s="35" t="s">
        <v>221</v>
      </c>
      <c r="F227" s="79"/>
      <c r="G227" s="30" t="s">
        <v>1439</v>
      </c>
      <c r="H227" s="30" t="s">
        <v>3979</v>
      </c>
      <c r="I227" s="47" t="s">
        <v>5169</v>
      </c>
      <c r="J227" s="73">
        <v>23684582</v>
      </c>
      <c r="K227" s="23" t="s">
        <v>4323</v>
      </c>
      <c r="L227" s="60" t="s">
        <v>3292</v>
      </c>
      <c r="M227" s="60" t="s">
        <v>3292</v>
      </c>
      <c r="N227" s="60" t="s">
        <v>3291</v>
      </c>
      <c r="O227" s="60"/>
      <c r="P227" s="60" t="s">
        <v>5493</v>
      </c>
      <c r="Q227" s="20">
        <v>4</v>
      </c>
    </row>
    <row r="228" spans="1:17" ht="96" x14ac:dyDescent="0.2">
      <c r="A228" s="71">
        <v>227</v>
      </c>
      <c r="B228" s="107" t="str">
        <f>HYPERLINK("https://www.ncbi.nlm.nih.gov/gene/55332", "55332")</f>
        <v>55332</v>
      </c>
      <c r="C228" s="109" t="str">
        <f>HYPERLINK("https://www.uniprot.org/uniprot/Q8N682", "Q8N682")</f>
        <v>Q8N682</v>
      </c>
      <c r="D228" s="43" t="s">
        <v>222</v>
      </c>
      <c r="E228" s="35" t="s">
        <v>222</v>
      </c>
      <c r="F228" s="79" t="s">
        <v>1440</v>
      </c>
      <c r="G228" s="30" t="s">
        <v>1441</v>
      </c>
      <c r="H228" s="30" t="s">
        <v>1442</v>
      </c>
      <c r="I228" s="47" t="s">
        <v>5170</v>
      </c>
      <c r="J228" s="73" t="s">
        <v>3678</v>
      </c>
      <c r="K228" s="23" t="s">
        <v>4324</v>
      </c>
      <c r="L228" s="60" t="s">
        <v>3291</v>
      </c>
      <c r="M228" s="60" t="s">
        <v>3292</v>
      </c>
      <c r="N228" s="60" t="s">
        <v>3289</v>
      </c>
      <c r="O228" s="60"/>
      <c r="P228" s="60" t="s">
        <v>3323</v>
      </c>
      <c r="Q228" s="20">
        <v>1</v>
      </c>
    </row>
    <row r="229" spans="1:17" ht="96" x14ac:dyDescent="0.2">
      <c r="A229" s="71">
        <v>228</v>
      </c>
      <c r="B229" s="107" t="str">
        <f>HYPERLINK("https://www.ncbi.nlm.nih.gov/gene/1828", "1828")</f>
        <v>1828</v>
      </c>
      <c r="C229" s="109" t="str">
        <f>HYPERLINK("https://www.uniprot.org/uniprot/Q02413", "Q02413")</f>
        <v>Q02413</v>
      </c>
      <c r="D229" s="43" t="s">
        <v>223</v>
      </c>
      <c r="E229" s="34" t="s">
        <v>223</v>
      </c>
      <c r="F229" s="79" t="s">
        <v>1443</v>
      </c>
      <c r="G229" s="30" t="s">
        <v>1444</v>
      </c>
      <c r="H229" s="30" t="s">
        <v>1445</v>
      </c>
      <c r="I229" s="47" t="s">
        <v>2830</v>
      </c>
      <c r="J229" s="73">
        <v>22333708</v>
      </c>
      <c r="K229" s="23" t="s">
        <v>4325</v>
      </c>
      <c r="L229" s="60" t="s">
        <v>3289</v>
      </c>
      <c r="M229" s="60" t="s">
        <v>3289</v>
      </c>
      <c r="N229" s="60" t="s">
        <v>3291</v>
      </c>
      <c r="O229" s="60"/>
      <c r="P229" s="60" t="s">
        <v>5498</v>
      </c>
      <c r="Q229" s="63">
        <v>3</v>
      </c>
    </row>
    <row r="230" spans="1:17" ht="128" x14ac:dyDescent="0.2">
      <c r="A230" s="71">
        <v>229</v>
      </c>
      <c r="B230" s="107" t="str">
        <f>HYPERLINK("https://www.ncbi.nlm.nih.gov/gene/90527", "90527")</f>
        <v>90527</v>
      </c>
      <c r="C230" s="113" t="str">
        <f>HYPERLINK("https://www.uniprot.org/uniprot/Q1HG43", "Q1HG43")</f>
        <v>Q1HG43</v>
      </c>
      <c r="D230" s="43" t="s">
        <v>224</v>
      </c>
      <c r="E230" s="34" t="s">
        <v>224</v>
      </c>
      <c r="F230" s="79" t="s">
        <v>1446</v>
      </c>
      <c r="G230" s="30" t="s">
        <v>1447</v>
      </c>
      <c r="H230" s="30" t="s">
        <v>1448</v>
      </c>
      <c r="I230" s="47" t="s">
        <v>2836</v>
      </c>
      <c r="J230" s="73" t="s">
        <v>2970</v>
      </c>
      <c r="K230" s="23" t="s">
        <v>4326</v>
      </c>
      <c r="L230" s="60" t="s">
        <v>3289</v>
      </c>
      <c r="M230" s="60" t="s">
        <v>3289</v>
      </c>
      <c r="N230" s="60" t="s">
        <v>3291</v>
      </c>
      <c r="O230" s="60"/>
      <c r="P230" s="60" t="s">
        <v>5494</v>
      </c>
      <c r="Q230" s="63">
        <v>5</v>
      </c>
    </row>
    <row r="231" spans="1:17" ht="96" x14ac:dyDescent="0.2">
      <c r="A231" s="71">
        <v>230</v>
      </c>
      <c r="B231" s="107" t="str">
        <f>HYPERLINK("https://www.ncbi.nlm.nih.gov/gene/1843", "1843")</f>
        <v>1843</v>
      </c>
      <c r="C231" s="109" t="str">
        <f>HYPERLINK("https://www.uniprot.org/uniprot/P28562", "P28562")</f>
        <v>P28562</v>
      </c>
      <c r="D231" s="43" t="s">
        <v>225</v>
      </c>
      <c r="E231" s="37" t="s">
        <v>225</v>
      </c>
      <c r="F231" s="30" t="s">
        <v>1449</v>
      </c>
      <c r="G231" s="30" t="s">
        <v>1450</v>
      </c>
      <c r="H231" s="30" t="s">
        <v>1451</v>
      </c>
      <c r="I231" s="47" t="s">
        <v>5171</v>
      </c>
      <c r="J231" s="73" t="s">
        <v>2971</v>
      </c>
      <c r="K231" s="30" t="s">
        <v>4327</v>
      </c>
      <c r="L231" s="60" t="s">
        <v>3289</v>
      </c>
      <c r="M231" s="60" t="s">
        <v>3289</v>
      </c>
      <c r="N231" s="60" t="s">
        <v>3289</v>
      </c>
      <c r="O231" s="60"/>
      <c r="P231" s="60" t="s">
        <v>3323</v>
      </c>
      <c r="Q231" s="20">
        <v>1</v>
      </c>
    </row>
    <row r="232" spans="1:17" ht="128" x14ac:dyDescent="0.2">
      <c r="A232" s="71">
        <v>231</v>
      </c>
      <c r="B232" s="107" t="str">
        <f>HYPERLINK("https://www.ncbi.nlm.nih.gov/gene/1848", "1848")</f>
        <v>1848</v>
      </c>
      <c r="C232" s="109" t="str">
        <f>HYPERLINK("https://www.uniprot.org/uniprot/Q16828", "Q16828")</f>
        <v>Q16828</v>
      </c>
      <c r="D232" s="43" t="s">
        <v>226</v>
      </c>
      <c r="E232" s="77" t="s">
        <v>226</v>
      </c>
      <c r="F232" s="78" t="s">
        <v>1452</v>
      </c>
      <c r="G232" s="28" t="s">
        <v>4972</v>
      </c>
      <c r="H232" s="28" t="s">
        <v>1453</v>
      </c>
      <c r="I232" s="31" t="s">
        <v>2848</v>
      </c>
      <c r="J232" s="73">
        <v>18632752</v>
      </c>
      <c r="K232" s="15" t="s">
        <v>2972</v>
      </c>
      <c r="L232" s="60" t="s">
        <v>3292</v>
      </c>
      <c r="M232" s="60" t="s">
        <v>3292</v>
      </c>
      <c r="N232" s="60" t="s">
        <v>3291</v>
      </c>
      <c r="O232" s="60"/>
      <c r="P232" s="60" t="s">
        <v>5495</v>
      </c>
      <c r="Q232" s="20">
        <v>2</v>
      </c>
    </row>
    <row r="233" spans="1:17" ht="96" x14ac:dyDescent="0.2">
      <c r="A233" s="71">
        <v>232</v>
      </c>
      <c r="B233" s="107" t="str">
        <f>HYPERLINK("https://www.ncbi.nlm.nih.gov/gene/1856", "1856")</f>
        <v>1856</v>
      </c>
      <c r="C233" s="109" t="str">
        <f>HYPERLINK("https://www.uniprot.org/uniprot/O14641", "O14641")</f>
        <v>O14641</v>
      </c>
      <c r="D233" s="43" t="s">
        <v>227</v>
      </c>
      <c r="E233" s="77" t="s">
        <v>227</v>
      </c>
      <c r="F233" s="78"/>
      <c r="G233" s="28" t="s">
        <v>1454</v>
      </c>
      <c r="H233" s="28" t="s">
        <v>3417</v>
      </c>
      <c r="I233" s="31" t="s">
        <v>2831</v>
      </c>
      <c r="J233" s="73">
        <v>27432651</v>
      </c>
      <c r="K233" s="15" t="s">
        <v>3754</v>
      </c>
      <c r="L233" s="60" t="s">
        <v>3289</v>
      </c>
      <c r="M233" s="60" t="s">
        <v>3289</v>
      </c>
      <c r="N233" s="60" t="s">
        <v>3291</v>
      </c>
      <c r="O233" s="60"/>
      <c r="P233" s="60" t="s">
        <v>3323</v>
      </c>
      <c r="Q233" s="20">
        <v>1</v>
      </c>
    </row>
    <row r="234" spans="1:17" ht="64" x14ac:dyDescent="0.2">
      <c r="A234" s="71">
        <v>233</v>
      </c>
      <c r="B234" s="107" t="str">
        <f>HYPERLINK("https://www.ncbi.nlm.nih.gov/gene/1857", "1857")</f>
        <v>1857</v>
      </c>
      <c r="C234" s="109" t="str">
        <f>HYPERLINK("https://www.uniprot.org/uniprot/Q92997", "Q92997")</f>
        <v>Q92997</v>
      </c>
      <c r="D234" s="43" t="s">
        <v>228</v>
      </c>
      <c r="E234" s="34" t="s">
        <v>228</v>
      </c>
      <c r="F234" s="79"/>
      <c r="G234" s="30" t="s">
        <v>1455</v>
      </c>
      <c r="H234" s="30" t="s">
        <v>1456</v>
      </c>
      <c r="I234" s="47" t="s">
        <v>2831</v>
      </c>
      <c r="J234" s="73" t="s">
        <v>2973</v>
      </c>
      <c r="K234" s="23" t="s">
        <v>4328</v>
      </c>
      <c r="L234" s="60" t="s">
        <v>3289</v>
      </c>
      <c r="M234" s="60" t="s">
        <v>3289</v>
      </c>
      <c r="N234" s="60" t="s">
        <v>3291</v>
      </c>
      <c r="O234" s="60"/>
      <c r="P234" s="60" t="s">
        <v>5493</v>
      </c>
      <c r="Q234" s="63">
        <v>4</v>
      </c>
    </row>
    <row r="235" spans="1:17" ht="96" x14ac:dyDescent="0.2">
      <c r="A235" s="71">
        <v>234</v>
      </c>
      <c r="B235" s="107" t="str">
        <f>HYPERLINK("https://www.ncbi.nlm.nih.gov/gene/8655", "8655")</f>
        <v>8655</v>
      </c>
      <c r="C235" s="109" t="str">
        <f>HYPERLINK("https://www.uniprot.org/uniprot/P63167", "P63167")</f>
        <v>P63167</v>
      </c>
      <c r="D235" s="43" t="s">
        <v>229</v>
      </c>
      <c r="E235" s="77" t="s">
        <v>229</v>
      </c>
      <c r="F235" s="78" t="s">
        <v>1457</v>
      </c>
      <c r="G235" s="28" t="s">
        <v>4973</v>
      </c>
      <c r="H235" s="28" t="s">
        <v>1458</v>
      </c>
      <c r="I235" s="31" t="s">
        <v>3332</v>
      </c>
      <c r="J235" s="73" t="s">
        <v>2974</v>
      </c>
      <c r="K235" s="15" t="s">
        <v>3755</v>
      </c>
      <c r="L235" s="60" t="s">
        <v>3292</v>
      </c>
      <c r="M235" s="60" t="s">
        <v>3292</v>
      </c>
      <c r="N235" s="60" t="s">
        <v>3291</v>
      </c>
      <c r="O235" s="60"/>
      <c r="P235" s="60" t="s">
        <v>5493</v>
      </c>
      <c r="Q235" s="20">
        <v>4</v>
      </c>
    </row>
    <row r="236" spans="1:17" ht="64" x14ac:dyDescent="0.2">
      <c r="A236" s="71">
        <v>235</v>
      </c>
      <c r="B236" s="107" t="str">
        <f>HYPERLINK("https://www.ncbi.nlm.nih.gov/gene/8445", "8445")</f>
        <v>8445</v>
      </c>
      <c r="C236" s="109" t="str">
        <f>HYPERLINK("https://www.uniprot.org/uniprot/Q92630", "Q92630")</f>
        <v>Q92630</v>
      </c>
      <c r="D236" s="43" t="s">
        <v>230</v>
      </c>
      <c r="E236" s="35" t="s">
        <v>230</v>
      </c>
      <c r="F236" s="79"/>
      <c r="G236" s="30" t="s">
        <v>1459</v>
      </c>
      <c r="H236" s="30" t="s">
        <v>4329</v>
      </c>
      <c r="I236" s="47" t="s">
        <v>5172</v>
      </c>
      <c r="J236" s="73">
        <v>25712377</v>
      </c>
      <c r="K236" s="23" t="s">
        <v>3615</v>
      </c>
      <c r="L236" s="60" t="s">
        <v>3292</v>
      </c>
      <c r="M236" s="60" t="s">
        <v>3292</v>
      </c>
      <c r="N236" s="60" t="s">
        <v>3291</v>
      </c>
      <c r="O236" s="60"/>
      <c r="P236" s="60" t="s">
        <v>5494</v>
      </c>
      <c r="Q236" s="20">
        <v>5</v>
      </c>
    </row>
    <row r="237" spans="1:17" ht="176" x14ac:dyDescent="0.2">
      <c r="A237" s="71">
        <v>236</v>
      </c>
      <c r="B237" s="107" t="str">
        <f>HYPERLINK("https://www.ncbi.nlm.nih.gov/gene/1869", "1869")</f>
        <v>1869</v>
      </c>
      <c r="C237" s="109" t="str">
        <f>HYPERLINK("https://www.uniprot.org/uniprot/Q01094", "Q01094")</f>
        <v>Q01094</v>
      </c>
      <c r="D237" s="43" t="s">
        <v>231</v>
      </c>
      <c r="E237" s="16" t="s">
        <v>231</v>
      </c>
      <c r="F237" s="74" t="s">
        <v>1460</v>
      </c>
      <c r="G237" s="28" t="s">
        <v>1461</v>
      </c>
      <c r="H237" s="28" t="s">
        <v>3980</v>
      </c>
      <c r="I237" s="31" t="s">
        <v>5126</v>
      </c>
      <c r="J237" s="73" t="s">
        <v>2975</v>
      </c>
      <c r="K237" s="23" t="s">
        <v>4330</v>
      </c>
      <c r="L237" s="60" t="s">
        <v>3289</v>
      </c>
      <c r="M237" s="60" t="s">
        <v>3289</v>
      </c>
      <c r="N237" s="60" t="s">
        <v>3289</v>
      </c>
      <c r="O237" s="60"/>
      <c r="P237" s="60" t="s">
        <v>5493</v>
      </c>
      <c r="Q237" s="20">
        <v>4</v>
      </c>
    </row>
    <row r="238" spans="1:17" ht="80" x14ac:dyDescent="0.2">
      <c r="A238" s="71">
        <v>237</v>
      </c>
      <c r="B238" s="107" t="str">
        <f>HYPERLINK("https://www.ncbi.nlm.nih.gov/gene/1870", "1870")</f>
        <v>1870</v>
      </c>
      <c r="C238" s="109" t="str">
        <f>HYPERLINK("https://www.uniprot.org/uniprot/Q14209", "Q14209")</f>
        <v>Q14209</v>
      </c>
      <c r="D238" s="43" t="s">
        <v>232</v>
      </c>
      <c r="E238" s="35" t="s">
        <v>232</v>
      </c>
      <c r="F238" s="79" t="s">
        <v>1462</v>
      </c>
      <c r="G238" s="30" t="s">
        <v>1463</v>
      </c>
      <c r="H238" s="30" t="s">
        <v>3981</v>
      </c>
      <c r="I238" s="47" t="s">
        <v>2846</v>
      </c>
      <c r="J238" s="73" t="s">
        <v>2976</v>
      </c>
      <c r="K238" s="23" t="s">
        <v>4331</v>
      </c>
      <c r="L238" s="60" t="s">
        <v>3289</v>
      </c>
      <c r="M238" s="60" t="s">
        <v>3289</v>
      </c>
      <c r="N238" s="60" t="s">
        <v>3291</v>
      </c>
      <c r="O238" s="60"/>
      <c r="P238" s="60" t="s">
        <v>5493</v>
      </c>
      <c r="Q238" s="20">
        <v>4</v>
      </c>
    </row>
    <row r="239" spans="1:17" ht="80" x14ac:dyDescent="0.2">
      <c r="A239" s="71">
        <v>238</v>
      </c>
      <c r="B239" s="107" t="str">
        <f>HYPERLINK("https://www.ncbi.nlm.nih.gov/gene/1874", "1874")</f>
        <v>1874</v>
      </c>
      <c r="C239" s="109" t="str">
        <f>HYPERLINK("https://www.uniprot.org/uniprot/Q16254", "Q16254")</f>
        <v>Q16254</v>
      </c>
      <c r="D239" s="43" t="s">
        <v>233</v>
      </c>
      <c r="E239" s="35" t="s">
        <v>233</v>
      </c>
      <c r="F239" s="79"/>
      <c r="G239" s="30" t="s">
        <v>1464</v>
      </c>
      <c r="H239" s="30" t="s">
        <v>3580</v>
      </c>
      <c r="I239" s="47" t="s">
        <v>5173</v>
      </c>
      <c r="J239" s="73" t="s">
        <v>2977</v>
      </c>
      <c r="K239" s="23" t="s">
        <v>4332</v>
      </c>
      <c r="L239" s="60" t="s">
        <v>3292</v>
      </c>
      <c r="M239" s="60" t="s">
        <v>3292</v>
      </c>
      <c r="N239" s="60" t="s">
        <v>3292</v>
      </c>
      <c r="O239" s="60"/>
      <c r="P239" s="60" t="s">
        <v>5493</v>
      </c>
      <c r="Q239" s="20">
        <v>4</v>
      </c>
    </row>
    <row r="240" spans="1:17" ht="80" x14ac:dyDescent="0.2">
      <c r="A240" s="71">
        <v>239</v>
      </c>
      <c r="B240" s="107" t="str">
        <f>HYPERLINK("https://www.ncbi.nlm.nih.gov/gene/144455", "144455")</f>
        <v>144455</v>
      </c>
      <c r="C240" s="109" t="str">
        <f>HYPERLINK("https://www.uniprot.org/uniprot/Q96AV8", "Q96AV8")</f>
        <v>Q96AV8</v>
      </c>
      <c r="D240" s="43" t="s">
        <v>234</v>
      </c>
      <c r="E240" s="35" t="s">
        <v>234</v>
      </c>
      <c r="F240" s="79"/>
      <c r="G240" s="30" t="s">
        <v>1465</v>
      </c>
      <c r="H240" s="30" t="s">
        <v>4333</v>
      </c>
      <c r="I240" s="47" t="s">
        <v>5126</v>
      </c>
      <c r="J240" s="73" t="s">
        <v>2978</v>
      </c>
      <c r="K240" s="23" t="s">
        <v>4334</v>
      </c>
      <c r="L240" s="60" t="s">
        <v>3292</v>
      </c>
      <c r="M240" s="60" t="s">
        <v>3292</v>
      </c>
      <c r="N240" s="60" t="s">
        <v>3291</v>
      </c>
      <c r="O240" s="60"/>
      <c r="P240" s="60" t="s">
        <v>5493</v>
      </c>
      <c r="Q240" s="20">
        <v>4</v>
      </c>
    </row>
    <row r="241" spans="1:17" ht="112" x14ac:dyDescent="0.2">
      <c r="A241" s="71">
        <v>240</v>
      </c>
      <c r="B241" s="107" t="str">
        <f>HYPERLINK("https://www.ncbi.nlm.nih.gov/gene/1909", "1909")</f>
        <v>1909</v>
      </c>
      <c r="C241" s="111" t="str">
        <f>HYPERLINK("https://www.uniprot.org/uniprot/P25101", "P25101")</f>
        <v>P25101</v>
      </c>
      <c r="D241" s="43" t="s">
        <v>266</v>
      </c>
      <c r="E241" s="77" t="s">
        <v>266</v>
      </c>
      <c r="F241" s="78" t="s">
        <v>1541</v>
      </c>
      <c r="G241" s="28" t="s">
        <v>1542</v>
      </c>
      <c r="H241" s="28" t="s">
        <v>1543</v>
      </c>
      <c r="I241" s="31" t="s">
        <v>2827</v>
      </c>
      <c r="J241" s="73" t="s">
        <v>2993</v>
      </c>
      <c r="K241" s="15" t="s">
        <v>3756</v>
      </c>
      <c r="L241" s="60" t="s">
        <v>3289</v>
      </c>
      <c r="M241" s="60" t="s">
        <v>3289</v>
      </c>
      <c r="N241" s="60" t="s">
        <v>3291</v>
      </c>
      <c r="O241" s="60" t="s">
        <v>5509</v>
      </c>
      <c r="P241" s="60" t="s">
        <v>5494</v>
      </c>
      <c r="Q241" s="20">
        <v>5</v>
      </c>
    </row>
    <row r="242" spans="1:17" ht="48" x14ac:dyDescent="0.2">
      <c r="A242" s="71">
        <v>241</v>
      </c>
      <c r="B242" s="107" t="str">
        <f>HYPERLINK("https://www.ncbi.nlm.nih.gov/gene/1950", "1950")</f>
        <v>1950</v>
      </c>
      <c r="C242" s="109" t="str">
        <f>HYPERLINK("https://www.uniprot.org/uniprot/P01133", "P01133")</f>
        <v>P01133</v>
      </c>
      <c r="D242" s="43" t="s">
        <v>235</v>
      </c>
      <c r="E242" s="16" t="s">
        <v>235</v>
      </c>
      <c r="F242" s="74"/>
      <c r="G242" s="28" t="s">
        <v>1466</v>
      </c>
      <c r="H242" s="28" t="s">
        <v>1467</v>
      </c>
      <c r="I242" s="31" t="s">
        <v>5174</v>
      </c>
      <c r="J242" s="73">
        <v>11391854</v>
      </c>
      <c r="K242" s="23" t="s">
        <v>4335</v>
      </c>
      <c r="L242" s="60" t="s">
        <v>3291</v>
      </c>
      <c r="M242" s="60" t="s">
        <v>3289</v>
      </c>
      <c r="N242" s="60" t="s">
        <v>3291</v>
      </c>
      <c r="O242" s="60"/>
      <c r="P242" s="60" t="s">
        <v>3323</v>
      </c>
      <c r="Q242" s="20">
        <v>1</v>
      </c>
    </row>
    <row r="243" spans="1:17" ht="112" x14ac:dyDescent="0.2">
      <c r="A243" s="71">
        <v>242</v>
      </c>
      <c r="B243" s="107" t="str">
        <f>HYPERLINK("https://www.ncbi.nlm.nih.gov/gene/1956", "1956")</f>
        <v>1956</v>
      </c>
      <c r="C243" s="109" t="str">
        <f>HYPERLINK("https://www.uniprot.org/uniprot/P00533", "P00533")</f>
        <v>P00533</v>
      </c>
      <c r="D243" s="43" t="s">
        <v>238</v>
      </c>
      <c r="E243" s="87" t="s">
        <v>238</v>
      </c>
      <c r="F243" s="53" t="s">
        <v>1474</v>
      </c>
      <c r="G243" s="53" t="s">
        <v>1475</v>
      </c>
      <c r="H243" s="28" t="s">
        <v>3982</v>
      </c>
      <c r="I243" s="31" t="s">
        <v>2849</v>
      </c>
      <c r="J243" s="73" t="s">
        <v>2979</v>
      </c>
      <c r="K243" s="30" t="s">
        <v>4336</v>
      </c>
      <c r="L243" s="60" t="s">
        <v>3289</v>
      </c>
      <c r="M243" s="60" t="s">
        <v>3289</v>
      </c>
      <c r="N243" s="60" t="s">
        <v>3289</v>
      </c>
      <c r="O243" s="60" t="s">
        <v>5509</v>
      </c>
      <c r="P243" s="60" t="s">
        <v>5493</v>
      </c>
      <c r="Q243" s="20">
        <v>4</v>
      </c>
    </row>
    <row r="244" spans="1:17" ht="80" x14ac:dyDescent="0.2">
      <c r="A244" s="71">
        <v>243</v>
      </c>
      <c r="B244" s="107" t="str">
        <f>HYPERLINK("https://www.ncbi.nlm.nih.gov/gene/54583", "54583")</f>
        <v>54583</v>
      </c>
      <c r="C244" s="109" t="str">
        <f>HYPERLINK("https://www.uniprot.org/uniprot/Q9GZT9", "Q9GZT9")</f>
        <v>Q9GZT9</v>
      </c>
      <c r="D244" s="43" t="s">
        <v>236</v>
      </c>
      <c r="E244" s="16" t="s">
        <v>236</v>
      </c>
      <c r="F244" s="74" t="s">
        <v>1468</v>
      </c>
      <c r="G244" s="28" t="s">
        <v>1469</v>
      </c>
      <c r="H244" s="28" t="s">
        <v>1470</v>
      </c>
      <c r="I244" s="31" t="s">
        <v>2839</v>
      </c>
      <c r="J244" s="73">
        <v>31285371</v>
      </c>
      <c r="K244" s="23" t="s">
        <v>4337</v>
      </c>
      <c r="L244" s="60" t="s">
        <v>3294</v>
      </c>
      <c r="M244" s="60" t="s">
        <v>3292</v>
      </c>
      <c r="N244" s="60" t="s">
        <v>3294</v>
      </c>
      <c r="O244" s="60"/>
      <c r="P244" s="60" t="s">
        <v>3323</v>
      </c>
      <c r="Q244" s="20">
        <v>4</v>
      </c>
    </row>
    <row r="245" spans="1:17" ht="96" x14ac:dyDescent="0.2">
      <c r="A245" s="71">
        <v>244</v>
      </c>
      <c r="B245" s="107" t="str">
        <f>HYPERLINK("https://www.ncbi.nlm.nih.gov/gene/112399", "112399")</f>
        <v>112399</v>
      </c>
      <c r="C245" s="109" t="str">
        <f>HYPERLINK("https://www.uniprot.org/uniprot/Q9H6Z9", "Q9H6Z9")</f>
        <v>Q9H6Z9</v>
      </c>
      <c r="D245" s="43" t="s">
        <v>237</v>
      </c>
      <c r="E245" s="16" t="s">
        <v>237</v>
      </c>
      <c r="F245" s="74" t="s">
        <v>1471</v>
      </c>
      <c r="G245" s="28" t="s">
        <v>1472</v>
      </c>
      <c r="H245" s="28" t="s">
        <v>1473</v>
      </c>
      <c r="I245" s="31" t="s">
        <v>2839</v>
      </c>
      <c r="J245" s="73">
        <v>31375625</v>
      </c>
      <c r="K245" s="30" t="s">
        <v>4338</v>
      </c>
      <c r="L245" s="60" t="s">
        <v>3291</v>
      </c>
      <c r="M245" s="60" t="s">
        <v>3292</v>
      </c>
      <c r="N245" s="60" t="s">
        <v>3291</v>
      </c>
      <c r="O245" s="60"/>
      <c r="P245" s="60" t="s">
        <v>3323</v>
      </c>
      <c r="Q245" s="20">
        <v>1</v>
      </c>
    </row>
    <row r="246" spans="1:17" ht="112" x14ac:dyDescent="0.2">
      <c r="A246" s="71">
        <v>245</v>
      </c>
      <c r="B246" s="107" t="str">
        <f>HYPERLINK("https://www.ncbi.nlm.nih.gov/gene/1958", "1958")</f>
        <v>1958</v>
      </c>
      <c r="C246" s="109" t="str">
        <f>HYPERLINK("https://www.uniprot.org/uniprot/P18146", "P18146")</f>
        <v>P18146</v>
      </c>
      <c r="D246" s="43" t="s">
        <v>239</v>
      </c>
      <c r="E246" s="35" t="s">
        <v>239</v>
      </c>
      <c r="F246" s="79" t="s">
        <v>1476</v>
      </c>
      <c r="G246" s="30" t="s">
        <v>1477</v>
      </c>
      <c r="H246" s="30" t="s">
        <v>1478</v>
      </c>
      <c r="I246" s="47" t="s">
        <v>5175</v>
      </c>
      <c r="J246" s="73">
        <v>25650716</v>
      </c>
      <c r="K246" s="30" t="s">
        <v>4339</v>
      </c>
      <c r="L246" s="60" t="s">
        <v>3292</v>
      </c>
      <c r="M246" s="60" t="s">
        <v>3292</v>
      </c>
      <c r="N246" s="60" t="s">
        <v>3291</v>
      </c>
      <c r="O246" s="60"/>
      <c r="P246" s="60" t="s">
        <v>5499</v>
      </c>
      <c r="Q246" s="20">
        <v>5</v>
      </c>
    </row>
    <row r="247" spans="1:17" ht="80" x14ac:dyDescent="0.2">
      <c r="A247" s="71">
        <v>246</v>
      </c>
      <c r="B247" s="107" t="str">
        <f>HYPERLINK("https://www.ncbi.nlm.nih.gov/gene/10938", "10938")</f>
        <v>10938</v>
      </c>
      <c r="C247" s="109" t="str">
        <f>HYPERLINK("https://www.uniprot.org/uniprot/Q9H4M9", "Q9H4M9")</f>
        <v>Q9H4M9</v>
      </c>
      <c r="D247" s="43" t="s">
        <v>240</v>
      </c>
      <c r="E247" s="34" t="s">
        <v>240</v>
      </c>
      <c r="F247" s="79" t="s">
        <v>1479</v>
      </c>
      <c r="G247" s="30" t="s">
        <v>1480</v>
      </c>
      <c r="H247" s="30" t="s">
        <v>1481</v>
      </c>
      <c r="I247" s="47" t="s">
        <v>3843</v>
      </c>
      <c r="J247" s="73">
        <v>27411790</v>
      </c>
      <c r="K247" s="23" t="s">
        <v>4340</v>
      </c>
      <c r="L247" s="60" t="s">
        <v>3289</v>
      </c>
      <c r="M247" s="60" t="s">
        <v>3289</v>
      </c>
      <c r="N247" s="60" t="s">
        <v>3291</v>
      </c>
      <c r="O247" s="60"/>
      <c r="P247" s="60" t="s">
        <v>5493</v>
      </c>
      <c r="Q247" s="20">
        <v>4</v>
      </c>
    </row>
    <row r="248" spans="1:17" ht="112" x14ac:dyDescent="0.2">
      <c r="A248" s="71">
        <v>247</v>
      </c>
      <c r="B248" s="107" t="str">
        <f>HYPERLINK("https://www.ncbi.nlm.nih.gov/gene/9451", "9451")</f>
        <v>9451</v>
      </c>
      <c r="C248" s="109" t="str">
        <f>HYPERLINK("https://www.uniprot.org/uniprot/Q9NZJ5", "Q9NZJ5")</f>
        <v>Q9NZJ5</v>
      </c>
      <c r="D248" s="43" t="s">
        <v>241</v>
      </c>
      <c r="E248" s="16" t="s">
        <v>241</v>
      </c>
      <c r="F248" s="74" t="s">
        <v>1482</v>
      </c>
      <c r="G248" s="28" t="s">
        <v>1483</v>
      </c>
      <c r="H248" s="28" t="s">
        <v>1484</v>
      </c>
      <c r="I248" s="31" t="s">
        <v>5176</v>
      </c>
      <c r="J248" s="73" t="s">
        <v>2980</v>
      </c>
      <c r="K248" s="23" t="s">
        <v>4341</v>
      </c>
      <c r="L248" s="60" t="s">
        <v>3289</v>
      </c>
      <c r="M248" s="60" t="s">
        <v>3289</v>
      </c>
      <c r="N248" s="60" t="s">
        <v>3291</v>
      </c>
      <c r="O248" s="60"/>
      <c r="P248" s="60" t="s">
        <v>5495</v>
      </c>
      <c r="Q248" s="20">
        <v>2</v>
      </c>
    </row>
    <row r="249" spans="1:17" ht="80" x14ac:dyDescent="0.2">
      <c r="A249" s="71">
        <v>248</v>
      </c>
      <c r="B249" s="107" t="str">
        <f>HYPERLINK("https://www.ncbi.nlm.nih.gov/gene/1965", "1965")</f>
        <v>1965</v>
      </c>
      <c r="C249" s="109" t="str">
        <f>HYPERLINK("https://www.uniprot.org/uniprot/P05198", "P05198")</f>
        <v>P05198</v>
      </c>
      <c r="D249" s="43" t="s">
        <v>242</v>
      </c>
      <c r="E249" s="16" t="s">
        <v>242</v>
      </c>
      <c r="F249" s="74" t="s">
        <v>1485</v>
      </c>
      <c r="G249" s="28" t="s">
        <v>1486</v>
      </c>
      <c r="H249" s="28" t="s">
        <v>1487</v>
      </c>
      <c r="I249" s="31" t="s">
        <v>5177</v>
      </c>
      <c r="J249" s="73">
        <v>23570372</v>
      </c>
      <c r="K249" s="23" t="s">
        <v>4342</v>
      </c>
      <c r="L249" s="60" t="s">
        <v>3294</v>
      </c>
      <c r="M249" s="60" t="s">
        <v>3294</v>
      </c>
      <c r="N249" s="105" t="s">
        <v>3294</v>
      </c>
      <c r="O249" s="105"/>
      <c r="P249" s="105" t="s">
        <v>3323</v>
      </c>
      <c r="Q249" s="19">
        <v>1</v>
      </c>
    </row>
    <row r="250" spans="1:17" ht="112" x14ac:dyDescent="0.2">
      <c r="A250" s="71">
        <v>249</v>
      </c>
      <c r="B250" s="107" t="str">
        <f>HYPERLINK("https://www.ncbi.nlm.nih.gov/gene/8661", "8661")</f>
        <v>8661</v>
      </c>
      <c r="C250" s="116" t="str">
        <f>HYPERLINK("https://www.uniprot.org/uniprot/Q14152", "Q14152")</f>
        <v>Q14152</v>
      </c>
      <c r="D250" s="43" t="s">
        <v>243</v>
      </c>
      <c r="E250" s="16" t="s">
        <v>243</v>
      </c>
      <c r="F250" s="74" t="s">
        <v>1488</v>
      </c>
      <c r="G250" s="31" t="s">
        <v>1489</v>
      </c>
      <c r="H250" s="31" t="s">
        <v>3373</v>
      </c>
      <c r="I250" s="31" t="s">
        <v>5178</v>
      </c>
      <c r="J250" s="73" t="s">
        <v>3643</v>
      </c>
      <c r="K250" s="23" t="s">
        <v>4343</v>
      </c>
      <c r="L250" s="60" t="s">
        <v>3292</v>
      </c>
      <c r="M250" s="60" t="s">
        <v>3292</v>
      </c>
      <c r="N250" s="60" t="s">
        <v>3291</v>
      </c>
      <c r="O250" s="60"/>
      <c r="P250" s="60" t="s">
        <v>5493</v>
      </c>
      <c r="Q250" s="64">
        <v>4</v>
      </c>
    </row>
    <row r="251" spans="1:17" ht="64" x14ac:dyDescent="0.2">
      <c r="A251" s="71">
        <v>250</v>
      </c>
      <c r="B251" s="107" t="str">
        <f>HYPERLINK("https://www.ncbi.nlm.nih.gov/gene/8666", "8666")</f>
        <v>8666</v>
      </c>
      <c r="C251" s="109" t="str">
        <f>HYPERLINK("https://www.uniprot.org/uniprot/O75821", "O75821")</f>
        <v>O75821</v>
      </c>
      <c r="D251" s="43" t="s">
        <v>244</v>
      </c>
      <c r="E251" s="16" t="s">
        <v>244</v>
      </c>
      <c r="F251" s="74" t="s">
        <v>1490</v>
      </c>
      <c r="G251" s="28" t="s">
        <v>1491</v>
      </c>
      <c r="H251" s="28" t="s">
        <v>3983</v>
      </c>
      <c r="I251" s="31" t="s">
        <v>5179</v>
      </c>
      <c r="J251" s="73" t="s">
        <v>2981</v>
      </c>
      <c r="K251" s="23" t="s">
        <v>4344</v>
      </c>
      <c r="L251" s="60" t="s">
        <v>3306</v>
      </c>
      <c r="M251" s="60" t="s">
        <v>3306</v>
      </c>
      <c r="N251" s="60" t="s">
        <v>4899</v>
      </c>
      <c r="O251" s="60"/>
      <c r="P251" s="60" t="s">
        <v>3323</v>
      </c>
      <c r="Q251" s="20">
        <v>1</v>
      </c>
    </row>
    <row r="252" spans="1:17" ht="176" x14ac:dyDescent="0.2">
      <c r="A252" s="71">
        <v>251</v>
      </c>
      <c r="B252" s="107" t="str">
        <f>HYPERLINK("https://www.ncbi.nlm.nih.gov/gene/1977", "1977")</f>
        <v>1977</v>
      </c>
      <c r="C252" s="109" t="str">
        <f>HYPERLINK("https://www.uniprot.org/uniprot/P06730", "P06730")</f>
        <v>P06730</v>
      </c>
      <c r="D252" s="43" t="s">
        <v>245</v>
      </c>
      <c r="E252" s="16" t="s">
        <v>245</v>
      </c>
      <c r="F252" s="74" t="s">
        <v>1492</v>
      </c>
      <c r="G252" s="28" t="s">
        <v>1493</v>
      </c>
      <c r="H252" s="28" t="s">
        <v>1494</v>
      </c>
      <c r="I252" s="31" t="s">
        <v>5180</v>
      </c>
      <c r="J252" s="73" t="s">
        <v>3641</v>
      </c>
      <c r="K252" s="23" t="s">
        <v>4345</v>
      </c>
      <c r="L252" s="60" t="s">
        <v>3289</v>
      </c>
      <c r="M252" s="60" t="s">
        <v>3289</v>
      </c>
      <c r="N252" s="60" t="s">
        <v>3291</v>
      </c>
      <c r="O252" s="60"/>
      <c r="P252" s="60" t="s">
        <v>5495</v>
      </c>
      <c r="Q252" s="20">
        <v>2</v>
      </c>
    </row>
    <row r="253" spans="1:17" ht="224" x14ac:dyDescent="0.2">
      <c r="A253" s="71">
        <v>252</v>
      </c>
      <c r="B253" s="107" t="str">
        <f>HYPERLINK("https://www.ncbi.nlm.nih.gov/gene/1978", "1978")</f>
        <v>1978</v>
      </c>
      <c r="C253" s="109" t="str">
        <f>HYPERLINK("https://www.uniprot.org/uniprot/Q13541", "Q13541")</f>
        <v>Q13541</v>
      </c>
      <c r="D253" s="43" t="s">
        <v>246</v>
      </c>
      <c r="E253" s="16" t="s">
        <v>246</v>
      </c>
      <c r="F253" s="74" t="s">
        <v>1495</v>
      </c>
      <c r="G253" s="3" t="s">
        <v>1496</v>
      </c>
      <c r="H253" s="28" t="s">
        <v>3984</v>
      </c>
      <c r="I253" s="31" t="s">
        <v>5181</v>
      </c>
      <c r="J253" s="73" t="s">
        <v>3642</v>
      </c>
      <c r="K253" s="23" t="s">
        <v>4346</v>
      </c>
      <c r="L253" s="60" t="s">
        <v>3295</v>
      </c>
      <c r="M253" s="60" t="s">
        <v>3296</v>
      </c>
      <c r="N253" s="60" t="s">
        <v>3291</v>
      </c>
      <c r="O253" s="60"/>
      <c r="P253" s="60" t="s">
        <v>5495</v>
      </c>
      <c r="Q253" s="20">
        <v>2</v>
      </c>
    </row>
    <row r="254" spans="1:17" ht="144" x14ac:dyDescent="0.2">
      <c r="A254" s="71">
        <v>253</v>
      </c>
      <c r="B254" s="107" t="str">
        <f>HYPERLINK("https://www.ncbi.nlm.nih.gov/gene/1982", "1982")</f>
        <v>1982</v>
      </c>
      <c r="C254" s="109" t="str">
        <f>HYPERLINK("https://www.uniprot.org/uniprot/P78344", "P78344")</f>
        <v>P78344</v>
      </c>
      <c r="D254" s="43" t="s">
        <v>3474</v>
      </c>
      <c r="E254" s="16" t="s">
        <v>3474</v>
      </c>
      <c r="F254" s="74" t="s">
        <v>3475</v>
      </c>
      <c r="G254" s="18" t="s">
        <v>3476</v>
      </c>
      <c r="H254" s="28" t="s">
        <v>3477</v>
      </c>
      <c r="I254" s="31" t="s">
        <v>5179</v>
      </c>
      <c r="J254" s="73" t="s">
        <v>3478</v>
      </c>
      <c r="K254" s="23" t="s">
        <v>4347</v>
      </c>
      <c r="L254" s="60" t="s">
        <v>3289</v>
      </c>
      <c r="M254" s="60" t="s">
        <v>3289</v>
      </c>
      <c r="N254" s="60" t="s">
        <v>3292</v>
      </c>
      <c r="O254" s="60"/>
      <c r="P254" s="60" t="s">
        <v>5492</v>
      </c>
      <c r="Q254" s="20">
        <v>4</v>
      </c>
    </row>
    <row r="255" spans="1:17" ht="64" x14ac:dyDescent="0.2">
      <c r="A255" s="71">
        <v>254</v>
      </c>
      <c r="B255" s="107" t="str">
        <f>HYPERLINK("https://www.ncbi.nlm.nih.gov/gene/146956", "146956")</f>
        <v>146956</v>
      </c>
      <c r="C255" s="109" t="str">
        <f>HYPERLINK("https://www.uniprot.org/uniprot/Q96AY2", "Q96AY2")</f>
        <v>Q96AY2</v>
      </c>
      <c r="D255" s="43" t="s">
        <v>247</v>
      </c>
      <c r="E255" s="16" t="s">
        <v>247</v>
      </c>
      <c r="F255" s="74" t="s">
        <v>1497</v>
      </c>
      <c r="G255" s="28" t="s">
        <v>4974</v>
      </c>
      <c r="H255" s="28" t="s">
        <v>1498</v>
      </c>
      <c r="I255" s="31" t="s">
        <v>3332</v>
      </c>
      <c r="J255" s="73" t="s">
        <v>2982</v>
      </c>
      <c r="K255" s="30" t="s">
        <v>4348</v>
      </c>
      <c r="L255" s="60" t="s">
        <v>3289</v>
      </c>
      <c r="M255" s="60" t="s">
        <v>3289</v>
      </c>
      <c r="N255" s="60" t="s">
        <v>3291</v>
      </c>
      <c r="O255" s="60"/>
      <c r="P255" s="60" t="s">
        <v>5493</v>
      </c>
      <c r="Q255" s="20">
        <v>4</v>
      </c>
    </row>
    <row r="256" spans="1:17" ht="64" x14ac:dyDescent="0.2">
      <c r="A256" s="71">
        <v>255</v>
      </c>
      <c r="B256" s="107" t="str">
        <f>HYPERLINK("https://www.ncbi.nlm.nih.gov/gene/56946", "56946")</f>
        <v>56946</v>
      </c>
      <c r="C256" s="109" t="str">
        <f>HYPERLINK("https://www.uniprot.org/uniprot/Q7Z589", "Q7Z589")</f>
        <v>Q7Z589</v>
      </c>
      <c r="D256" s="43" t="s">
        <v>248</v>
      </c>
      <c r="E256" s="16" t="s">
        <v>248</v>
      </c>
      <c r="F256" s="74"/>
      <c r="G256" s="28" t="s">
        <v>1499</v>
      </c>
      <c r="H256" s="28" t="s">
        <v>3985</v>
      </c>
      <c r="I256" s="31" t="s">
        <v>3332</v>
      </c>
      <c r="J256" s="73">
        <v>29707144</v>
      </c>
      <c r="K256" s="23" t="s">
        <v>4349</v>
      </c>
      <c r="L256" s="60" t="s">
        <v>3292</v>
      </c>
      <c r="M256" s="60" t="s">
        <v>3292</v>
      </c>
      <c r="N256" s="60" t="s">
        <v>3291</v>
      </c>
      <c r="O256" s="60"/>
      <c r="P256" s="60" t="s">
        <v>5493</v>
      </c>
      <c r="Q256" s="20">
        <v>4</v>
      </c>
    </row>
    <row r="257" spans="1:17" ht="80" x14ac:dyDescent="0.2">
      <c r="A257" s="71">
        <v>256</v>
      </c>
      <c r="B257" s="107" t="str">
        <f>HYPERLINK("https://www.ncbi.nlm.nih.gov/gene/2018", "2018")</f>
        <v>2018</v>
      </c>
      <c r="C257" s="109" t="str">
        <f>HYPERLINK("https://www.uniprot.org/uniprot/Q04743", "Q04743")</f>
        <v>Q04743</v>
      </c>
      <c r="D257" s="43" t="s">
        <v>249</v>
      </c>
      <c r="E257" s="16" t="s">
        <v>249</v>
      </c>
      <c r="F257" s="74"/>
      <c r="G257" s="28" t="s">
        <v>4975</v>
      </c>
      <c r="H257" s="28" t="s">
        <v>3986</v>
      </c>
      <c r="I257" s="31" t="s">
        <v>5143</v>
      </c>
      <c r="J257" s="73">
        <v>26132438</v>
      </c>
      <c r="K257" s="23" t="s">
        <v>4350</v>
      </c>
      <c r="L257" s="60" t="s">
        <v>3292</v>
      </c>
      <c r="M257" s="60" t="s">
        <v>3292</v>
      </c>
      <c r="N257" s="60" t="s">
        <v>3291</v>
      </c>
      <c r="O257" s="60"/>
      <c r="P257" s="60" t="s">
        <v>5493</v>
      </c>
      <c r="Q257" s="20">
        <v>4</v>
      </c>
    </row>
    <row r="258" spans="1:17" ht="128" x14ac:dyDescent="0.2">
      <c r="A258" s="71">
        <v>257</v>
      </c>
      <c r="B258" s="107" t="str">
        <f>HYPERLINK("https://www.ncbi.nlm.nih.gov/gene/2022", "2022")</f>
        <v>2022</v>
      </c>
      <c r="C258" s="109" t="str">
        <f>HYPERLINK("https://www.uniprot.org/uniprot/P17813", "P17813")</f>
        <v>P17813</v>
      </c>
      <c r="D258" s="43" t="s">
        <v>250</v>
      </c>
      <c r="E258" s="16" t="s">
        <v>250</v>
      </c>
      <c r="F258" s="74" t="s">
        <v>1500</v>
      </c>
      <c r="G258" s="28" t="s">
        <v>1501</v>
      </c>
      <c r="H258" s="28" t="s">
        <v>1502</v>
      </c>
      <c r="I258" s="31" t="s">
        <v>2832</v>
      </c>
      <c r="J258" s="73" t="s">
        <v>2983</v>
      </c>
      <c r="K258" s="23" t="s">
        <v>4351</v>
      </c>
      <c r="L258" s="60" t="s">
        <v>3289</v>
      </c>
      <c r="M258" s="60" t="s">
        <v>3289</v>
      </c>
      <c r="N258" s="60" t="s">
        <v>3291</v>
      </c>
      <c r="O258" s="60"/>
      <c r="P258" s="60" t="s">
        <v>5494</v>
      </c>
      <c r="Q258" s="20">
        <v>5</v>
      </c>
    </row>
    <row r="259" spans="1:17" ht="160" x14ac:dyDescent="0.2">
      <c r="A259" s="71">
        <v>258</v>
      </c>
      <c r="B259" s="107" t="str">
        <f>HYPERLINK("https://www.ncbi.nlm.nih.gov/gene/2023", "2023")</f>
        <v>2023</v>
      </c>
      <c r="C259" s="116" t="str">
        <f>HYPERLINK("https://www.uniprot.org/uniprot/P06733", "P06733")</f>
        <v>P06733</v>
      </c>
      <c r="D259" s="43" t="s">
        <v>251</v>
      </c>
      <c r="E259" s="81" t="s">
        <v>251</v>
      </c>
      <c r="F259" s="67" t="s">
        <v>1503</v>
      </c>
      <c r="G259" s="31" t="s">
        <v>1504</v>
      </c>
      <c r="H259" s="31" t="s">
        <v>1505</v>
      </c>
      <c r="I259" s="31" t="s">
        <v>5182</v>
      </c>
      <c r="J259" s="73" t="s">
        <v>3873</v>
      </c>
      <c r="K259" s="56" t="s">
        <v>4352</v>
      </c>
      <c r="L259" s="60" t="s">
        <v>3289</v>
      </c>
      <c r="M259" s="60" t="s">
        <v>3289</v>
      </c>
      <c r="N259" s="60" t="s">
        <v>3291</v>
      </c>
      <c r="O259" s="60"/>
      <c r="P259" s="60" t="s">
        <v>5495</v>
      </c>
      <c r="Q259" s="64">
        <v>2</v>
      </c>
    </row>
    <row r="260" spans="1:17" ht="112" x14ac:dyDescent="0.2">
      <c r="A260" s="71">
        <v>259</v>
      </c>
      <c r="B260" s="107" t="str">
        <f>HYPERLINK("https://www.ncbi.nlm.nih.gov/gene/5168", "5168")</f>
        <v>5168</v>
      </c>
      <c r="C260" s="109" t="str">
        <f>HYPERLINK("https://www.uniprot.org/uniprot/Q13822", "Q13822")</f>
        <v>Q13822</v>
      </c>
      <c r="D260" s="43" t="s">
        <v>252</v>
      </c>
      <c r="E260" s="35" t="s">
        <v>252</v>
      </c>
      <c r="F260" s="79" t="s">
        <v>1506</v>
      </c>
      <c r="G260" s="30" t="s">
        <v>1507</v>
      </c>
      <c r="H260" s="30" t="s">
        <v>3987</v>
      </c>
      <c r="I260" s="47" t="s">
        <v>2835</v>
      </c>
      <c r="J260" s="73" t="s">
        <v>2984</v>
      </c>
      <c r="K260" s="23" t="s">
        <v>4353</v>
      </c>
      <c r="L260" s="60" t="s">
        <v>3289</v>
      </c>
      <c r="M260" s="60" t="s">
        <v>3289</v>
      </c>
      <c r="N260" s="60" t="s">
        <v>3291</v>
      </c>
      <c r="O260" s="60"/>
      <c r="P260" s="60" t="s">
        <v>5493</v>
      </c>
      <c r="Q260" s="20">
        <v>4</v>
      </c>
    </row>
    <row r="261" spans="1:17" ht="80" x14ac:dyDescent="0.2">
      <c r="A261" s="71">
        <v>260</v>
      </c>
      <c r="B261" s="107" t="str">
        <f>HYPERLINK("https://www.ncbi.nlm.nih.gov/gene/2033", "2033")</f>
        <v>2033</v>
      </c>
      <c r="C261" s="109" t="str">
        <f>HYPERLINK("https://www.uniprot.org/uniprot/Q09472", "Q09472")</f>
        <v>Q09472</v>
      </c>
      <c r="D261" s="43" t="s">
        <v>253</v>
      </c>
      <c r="E261" s="34" t="s">
        <v>253</v>
      </c>
      <c r="F261" s="79" t="s">
        <v>1508</v>
      </c>
      <c r="G261" s="28" t="s">
        <v>1509</v>
      </c>
      <c r="H261" s="28" t="s">
        <v>3988</v>
      </c>
      <c r="I261" s="31" t="s">
        <v>5183</v>
      </c>
      <c r="J261" s="73" t="s">
        <v>2985</v>
      </c>
      <c r="K261" s="23" t="s">
        <v>4354</v>
      </c>
      <c r="L261" s="60" t="s">
        <v>3292</v>
      </c>
      <c r="M261" s="60" t="s">
        <v>3292</v>
      </c>
      <c r="N261" s="60" t="s">
        <v>3292</v>
      </c>
      <c r="O261" s="60"/>
      <c r="P261" s="60" t="s">
        <v>5493</v>
      </c>
      <c r="Q261" s="20">
        <v>4</v>
      </c>
    </row>
    <row r="262" spans="1:17" ht="112" x14ac:dyDescent="0.2">
      <c r="A262" s="71">
        <v>261</v>
      </c>
      <c r="B262" s="107" t="str">
        <f>HYPERLINK("https://www.ncbi.nlm.nih.gov/gene/4072", "4072")</f>
        <v>4072</v>
      </c>
      <c r="C262" s="109" t="str">
        <f>HYPERLINK("https://www.uniprot.org/uniprot/P16422", "P16422")</f>
        <v>P16422</v>
      </c>
      <c r="D262" s="43" t="s">
        <v>254</v>
      </c>
      <c r="E262" s="16" t="s">
        <v>254</v>
      </c>
      <c r="F262" s="79" t="s">
        <v>1510</v>
      </c>
      <c r="G262" s="28" t="s">
        <v>1511</v>
      </c>
      <c r="H262" s="6" t="s">
        <v>3989</v>
      </c>
      <c r="I262" s="49" t="s">
        <v>5184</v>
      </c>
      <c r="J262" s="73" t="s">
        <v>2986</v>
      </c>
      <c r="K262" s="13" t="s">
        <v>3757</v>
      </c>
      <c r="L262" s="60" t="s">
        <v>3289</v>
      </c>
      <c r="M262" s="60" t="s">
        <v>3289</v>
      </c>
      <c r="N262" s="60" t="s">
        <v>3291</v>
      </c>
      <c r="O262" s="60"/>
      <c r="P262" s="60" t="s">
        <v>5494</v>
      </c>
      <c r="Q262" s="20">
        <v>5</v>
      </c>
    </row>
    <row r="263" spans="1:17" ht="144" x14ac:dyDescent="0.2">
      <c r="A263" s="71">
        <v>262</v>
      </c>
      <c r="B263" s="107" t="str">
        <f>HYPERLINK("https://www.ncbi.nlm.nih.gov/gene/1969", "1969")</f>
        <v>1969</v>
      </c>
      <c r="C263" s="109" t="str">
        <f>HYPERLINK("https://www.uniprot.org/uniprot/P29317", "P29317")</f>
        <v>P29317</v>
      </c>
      <c r="D263" s="43" t="s">
        <v>3388</v>
      </c>
      <c r="E263" s="16" t="s">
        <v>3388</v>
      </c>
      <c r="F263" s="79" t="s">
        <v>3389</v>
      </c>
      <c r="G263" s="28" t="s">
        <v>3390</v>
      </c>
      <c r="H263" s="6" t="s">
        <v>3391</v>
      </c>
      <c r="I263" s="49" t="s">
        <v>5082</v>
      </c>
      <c r="J263" s="73" t="s">
        <v>3392</v>
      </c>
      <c r="K263" s="13" t="s">
        <v>3758</v>
      </c>
      <c r="L263" s="60" t="s">
        <v>3289</v>
      </c>
      <c r="M263" s="60" t="s">
        <v>3289</v>
      </c>
      <c r="N263" s="60" t="s">
        <v>3289</v>
      </c>
      <c r="O263" s="60" t="s">
        <v>5509</v>
      </c>
      <c r="P263" s="60" t="s">
        <v>3323</v>
      </c>
      <c r="Q263" s="20">
        <v>1</v>
      </c>
    </row>
    <row r="264" spans="1:17" ht="160" x14ac:dyDescent="0.2">
      <c r="A264" s="71">
        <v>263</v>
      </c>
      <c r="B264" s="107" t="str">
        <f>HYPERLINK("https://www.ncbi.nlm.nih.gov/gene/2064", "2064")</f>
        <v>2064</v>
      </c>
      <c r="C264" s="109" t="str">
        <f>HYPERLINK("https://www.uniprot.org/uniprot/P04626", "P04626")</f>
        <v>P04626</v>
      </c>
      <c r="D264" s="43" t="s">
        <v>255</v>
      </c>
      <c r="E264" s="16" t="s">
        <v>255</v>
      </c>
      <c r="F264" s="74" t="s">
        <v>1512</v>
      </c>
      <c r="G264" s="28" t="s">
        <v>1513</v>
      </c>
      <c r="H264" s="28" t="s">
        <v>3990</v>
      </c>
      <c r="I264" s="31" t="s">
        <v>2849</v>
      </c>
      <c r="J264" s="73" t="s">
        <v>3644</v>
      </c>
      <c r="K264" s="23" t="s">
        <v>4355</v>
      </c>
      <c r="L264" s="60" t="s">
        <v>3289</v>
      </c>
      <c r="M264" s="60" t="s">
        <v>3289</v>
      </c>
      <c r="N264" s="60" t="s">
        <v>3294</v>
      </c>
      <c r="O264" s="60" t="s">
        <v>5509</v>
      </c>
      <c r="P264" s="60" t="s">
        <v>5494</v>
      </c>
      <c r="Q264" s="20">
        <v>5</v>
      </c>
    </row>
    <row r="265" spans="1:17" ht="80" x14ac:dyDescent="0.2">
      <c r="A265" s="71">
        <v>264</v>
      </c>
      <c r="B265" s="107" t="str">
        <f>HYPERLINK("https://www.ncbi.nlm.nih.gov/gene/2065", "2065")</f>
        <v>2065</v>
      </c>
      <c r="C265" s="109" t="str">
        <f>HYPERLINK("https://www.uniprot.org/uniprot/P21860", "P21860")</f>
        <v>P21860</v>
      </c>
      <c r="D265" s="43" t="s">
        <v>256</v>
      </c>
      <c r="E265" s="35" t="s">
        <v>256</v>
      </c>
      <c r="F265" s="79" t="s">
        <v>1514</v>
      </c>
      <c r="G265" s="30" t="s">
        <v>1515</v>
      </c>
      <c r="H265" s="30" t="s">
        <v>1516</v>
      </c>
      <c r="I265" s="47" t="s">
        <v>2849</v>
      </c>
      <c r="J265" s="73" t="s">
        <v>2987</v>
      </c>
      <c r="K265" s="23" t="s">
        <v>4356</v>
      </c>
      <c r="L265" s="60" t="s">
        <v>3289</v>
      </c>
      <c r="M265" s="60" t="s">
        <v>3295</v>
      </c>
      <c r="N265" s="60" t="s">
        <v>3294</v>
      </c>
      <c r="O265" s="60" t="s">
        <v>5509</v>
      </c>
      <c r="P265" s="60" t="s">
        <v>5493</v>
      </c>
      <c r="Q265" s="20">
        <v>4</v>
      </c>
    </row>
    <row r="266" spans="1:17" ht="96" x14ac:dyDescent="0.2">
      <c r="A266" s="71">
        <v>265</v>
      </c>
      <c r="B266" s="107" t="str">
        <f>HYPERLINK("https://www.ncbi.nlm.nih.gov/gene/2066", "2066")</f>
        <v>2066</v>
      </c>
      <c r="C266" s="109" t="str">
        <f>HYPERLINK("https://www.uniprot.org/uniprot/Q15303", "Q15303")</f>
        <v>Q15303</v>
      </c>
      <c r="D266" s="43" t="s">
        <v>257</v>
      </c>
      <c r="E266" s="35" t="s">
        <v>257</v>
      </c>
      <c r="F266" s="79" t="s">
        <v>1517</v>
      </c>
      <c r="G266" s="30" t="s">
        <v>1518</v>
      </c>
      <c r="H266" s="30" t="s">
        <v>1519</v>
      </c>
      <c r="I266" s="47" t="s">
        <v>2849</v>
      </c>
      <c r="J266" s="73" t="s">
        <v>2988</v>
      </c>
      <c r="K266" s="23" t="s">
        <v>4357</v>
      </c>
      <c r="L266" s="60" t="s">
        <v>3289</v>
      </c>
      <c r="M266" s="60" t="s">
        <v>3289</v>
      </c>
      <c r="N266" s="60" t="s">
        <v>3291</v>
      </c>
      <c r="O266" s="60" t="s">
        <v>5509</v>
      </c>
      <c r="P266" s="60" t="s">
        <v>5493</v>
      </c>
      <c r="Q266" s="20">
        <v>4</v>
      </c>
    </row>
    <row r="267" spans="1:17" ht="96" x14ac:dyDescent="0.2">
      <c r="A267" s="71">
        <v>266</v>
      </c>
      <c r="B267" s="107" t="str">
        <f>HYPERLINK("https://www.ncbi.nlm.nih.gov/gene/2067", "2067")</f>
        <v>2067</v>
      </c>
      <c r="C267" s="109" t="str">
        <f>HYPERLINK("https://www.uniprot.org/uniprot/P07992", "P07992")</f>
        <v>P07992</v>
      </c>
      <c r="D267" s="43" t="s">
        <v>258</v>
      </c>
      <c r="E267" s="16" t="s">
        <v>258</v>
      </c>
      <c r="F267" s="54"/>
      <c r="G267" s="28" t="s">
        <v>1520</v>
      </c>
      <c r="H267" s="28" t="s">
        <v>1521</v>
      </c>
      <c r="I267" s="31" t="s">
        <v>3334</v>
      </c>
      <c r="J267" s="73" t="s">
        <v>2989</v>
      </c>
      <c r="K267" s="23" t="s">
        <v>4358</v>
      </c>
      <c r="L267" s="60" t="s">
        <v>3289</v>
      </c>
      <c r="M267" s="60" t="s">
        <v>3289</v>
      </c>
      <c r="N267" s="60" t="s">
        <v>3291</v>
      </c>
      <c r="O267" s="60"/>
      <c r="P267" s="60" t="s">
        <v>5493</v>
      </c>
      <c r="Q267" s="20">
        <v>4</v>
      </c>
    </row>
    <row r="268" spans="1:17" ht="160" x14ac:dyDescent="0.2">
      <c r="A268" s="71">
        <v>267</v>
      </c>
      <c r="B268" s="107" t="str">
        <f>HYPERLINK("https://www.ncbi.nlm.nih.gov/gene/2068", "2068")</f>
        <v>2068</v>
      </c>
      <c r="C268" s="109" t="str">
        <f>HYPERLINK("https://www.uniprot.org/uniprot/P18074", "P18074")</f>
        <v>P18074</v>
      </c>
      <c r="D268" s="43" t="s">
        <v>259</v>
      </c>
      <c r="E268" s="77" t="s">
        <v>259</v>
      </c>
      <c r="F268" s="78" t="s">
        <v>1522</v>
      </c>
      <c r="G268" s="28" t="s">
        <v>1523</v>
      </c>
      <c r="H268" s="28" t="s">
        <v>1524</v>
      </c>
      <c r="I268" s="31" t="s">
        <v>3334</v>
      </c>
      <c r="J268" s="73" t="s">
        <v>3651</v>
      </c>
      <c r="K268" s="15" t="s">
        <v>3759</v>
      </c>
      <c r="L268" s="60" t="s">
        <v>3289</v>
      </c>
      <c r="M268" s="60" t="s">
        <v>3289</v>
      </c>
      <c r="N268" s="60" t="s">
        <v>3291</v>
      </c>
      <c r="O268" s="60"/>
      <c r="P268" s="60" t="s">
        <v>5493</v>
      </c>
      <c r="Q268" s="20">
        <v>4</v>
      </c>
    </row>
    <row r="269" spans="1:17" ht="96" x14ac:dyDescent="0.2">
      <c r="A269" s="71">
        <v>268</v>
      </c>
      <c r="B269" s="107" t="str">
        <f>HYPERLINK("https://www.ncbi.nlm.nih.gov/gene/2071", "2071")</f>
        <v>2071</v>
      </c>
      <c r="C269" s="109" t="str">
        <f>HYPERLINK("https://www.uniprot.org/uniprot/P19447", "P19447")</f>
        <v>P19447</v>
      </c>
      <c r="D269" s="43" t="s">
        <v>260</v>
      </c>
      <c r="E269" s="77" t="s">
        <v>260</v>
      </c>
      <c r="F269" s="78" t="s">
        <v>1525</v>
      </c>
      <c r="G269" s="28" t="s">
        <v>1526</v>
      </c>
      <c r="H269" s="28" t="s">
        <v>1527</v>
      </c>
      <c r="I269" s="31" t="s">
        <v>3334</v>
      </c>
      <c r="J269" s="73" t="s">
        <v>3652</v>
      </c>
      <c r="K269" s="15" t="s">
        <v>3760</v>
      </c>
      <c r="L269" s="60" t="s">
        <v>3289</v>
      </c>
      <c r="M269" s="60" t="s">
        <v>3289</v>
      </c>
      <c r="N269" s="60" t="s">
        <v>3292</v>
      </c>
      <c r="O269" s="60"/>
      <c r="P269" s="60" t="s">
        <v>5492</v>
      </c>
      <c r="Q269" s="20">
        <v>4</v>
      </c>
    </row>
    <row r="270" spans="1:17" ht="112" x14ac:dyDescent="0.2">
      <c r="A270" s="71">
        <v>269</v>
      </c>
      <c r="B270" s="107" t="str">
        <f>HYPERLINK("https://www.ncbi.nlm.nih.gov/gene/2072", "2072")</f>
        <v>2072</v>
      </c>
      <c r="C270" s="109" t="str">
        <f>HYPERLINK("https://www.uniprot.org/uniprot/Q92889", "Q92889")</f>
        <v>Q92889</v>
      </c>
      <c r="D270" s="43" t="s">
        <v>261</v>
      </c>
      <c r="E270" s="77" t="s">
        <v>261</v>
      </c>
      <c r="F270" s="6" t="s">
        <v>1528</v>
      </c>
      <c r="G270" s="28" t="s">
        <v>1529</v>
      </c>
      <c r="H270" s="28" t="s">
        <v>3991</v>
      </c>
      <c r="I270" s="31" t="s">
        <v>5185</v>
      </c>
      <c r="J270" s="73" t="s">
        <v>3633</v>
      </c>
      <c r="K270" s="15" t="s">
        <v>3761</v>
      </c>
      <c r="L270" s="60" t="s">
        <v>3289</v>
      </c>
      <c r="M270" s="60" t="s">
        <v>3289</v>
      </c>
      <c r="N270" s="60" t="s">
        <v>3292</v>
      </c>
      <c r="O270" s="60"/>
      <c r="P270" s="60" t="s">
        <v>5493</v>
      </c>
      <c r="Q270" s="20">
        <v>4</v>
      </c>
    </row>
    <row r="271" spans="1:17" ht="96" x14ac:dyDescent="0.2">
      <c r="A271" s="71">
        <v>270</v>
      </c>
      <c r="B271" s="107" t="str">
        <f>HYPERLINK("https://www.ncbi.nlm.nih.gov/gene/2073", "2073")</f>
        <v>2073</v>
      </c>
      <c r="C271" s="109" t="str">
        <f>HYPERLINK("https://www.uniprot.org/uniprot/P28715", "P28715")</f>
        <v>P28715</v>
      </c>
      <c r="D271" s="43" t="s">
        <v>262</v>
      </c>
      <c r="E271" s="77" t="s">
        <v>262</v>
      </c>
      <c r="F271" s="89" t="s">
        <v>1530</v>
      </c>
      <c r="G271" s="28" t="s">
        <v>1531</v>
      </c>
      <c r="H271" s="28" t="s">
        <v>3992</v>
      </c>
      <c r="I271" s="31" t="s">
        <v>3334</v>
      </c>
      <c r="J271" s="73" t="s">
        <v>3653</v>
      </c>
      <c r="K271" s="15" t="s">
        <v>3762</v>
      </c>
      <c r="L271" s="60" t="s">
        <v>3289</v>
      </c>
      <c r="M271" s="60" t="s">
        <v>3289</v>
      </c>
      <c r="N271" s="60" t="s">
        <v>3291</v>
      </c>
      <c r="O271" s="60"/>
      <c r="P271" s="60" t="s">
        <v>5493</v>
      </c>
      <c r="Q271" s="20">
        <v>4</v>
      </c>
    </row>
    <row r="272" spans="1:17" ht="80" x14ac:dyDescent="0.2">
      <c r="A272" s="71">
        <v>271</v>
      </c>
      <c r="B272" s="107" t="str">
        <f>HYPERLINK("https://www.ncbi.nlm.nih.gov/gene/2074", "2074")</f>
        <v>2074</v>
      </c>
      <c r="C272" s="109" t="str">
        <f>HYPERLINK("https://www.uniprot.org/uniprot/Q03468", "Q03468")</f>
        <v>Q03468</v>
      </c>
      <c r="D272" s="43" t="s">
        <v>263</v>
      </c>
      <c r="E272" s="77" t="s">
        <v>263</v>
      </c>
      <c r="F272" s="94" t="s">
        <v>1532</v>
      </c>
      <c r="G272" s="28" t="s">
        <v>1533</v>
      </c>
      <c r="H272" s="28" t="s">
        <v>1534</v>
      </c>
      <c r="I272" s="31" t="s">
        <v>3334</v>
      </c>
      <c r="J272" s="73" t="s">
        <v>2990</v>
      </c>
      <c r="K272" s="15" t="s">
        <v>3763</v>
      </c>
      <c r="L272" s="60" t="s">
        <v>3289</v>
      </c>
      <c r="M272" s="60" t="s">
        <v>3289</v>
      </c>
      <c r="N272" s="60" t="s">
        <v>3291</v>
      </c>
      <c r="O272" s="60"/>
      <c r="P272" s="60" t="s">
        <v>5493</v>
      </c>
      <c r="Q272" s="20">
        <v>4</v>
      </c>
    </row>
    <row r="273" spans="1:17" ht="80" x14ac:dyDescent="0.2">
      <c r="A273" s="71">
        <v>272</v>
      </c>
      <c r="B273" s="107" t="str">
        <f>HYPERLINK("https://www.ncbi.nlm.nih.gov/gene/1161", "1161")</f>
        <v>1161</v>
      </c>
      <c r="C273" s="109" t="str">
        <f>HYPERLINK("https://www.uniprot.org/uniprot/Q13216", "Q13216")</f>
        <v>Q13216</v>
      </c>
      <c r="D273" s="43" t="s">
        <v>264</v>
      </c>
      <c r="E273" s="77" t="s">
        <v>264</v>
      </c>
      <c r="F273" s="78" t="s">
        <v>1535</v>
      </c>
      <c r="G273" s="28" t="s">
        <v>1536</v>
      </c>
      <c r="H273" s="28" t="s">
        <v>1537</v>
      </c>
      <c r="I273" s="31" t="s">
        <v>3334</v>
      </c>
      <c r="J273" s="73" t="s">
        <v>2991</v>
      </c>
      <c r="K273" s="15" t="s">
        <v>3764</v>
      </c>
      <c r="L273" s="60" t="s">
        <v>3289</v>
      </c>
      <c r="M273" s="60" t="s">
        <v>3289</v>
      </c>
      <c r="N273" s="60" t="s">
        <v>3291</v>
      </c>
      <c r="O273" s="60"/>
      <c r="P273" s="60" t="s">
        <v>5493</v>
      </c>
      <c r="Q273" s="20">
        <v>4</v>
      </c>
    </row>
    <row r="274" spans="1:17" ht="64" x14ac:dyDescent="0.2">
      <c r="A274" s="71">
        <v>273</v>
      </c>
      <c r="B274" s="107" t="str">
        <f>HYPERLINK("https://www.ncbi.nlm.nih.gov/gene/2081", "2081")</f>
        <v>2081</v>
      </c>
      <c r="C274" s="109" t="str">
        <f>HYPERLINK("https://www.uniprot.org/uniprot/O75460", "O75460")</f>
        <v>O75460</v>
      </c>
      <c r="D274" s="43" t="s">
        <v>265</v>
      </c>
      <c r="E274" s="16" t="s">
        <v>265</v>
      </c>
      <c r="F274" s="74" t="s">
        <v>1538</v>
      </c>
      <c r="G274" s="28" t="s">
        <v>1539</v>
      </c>
      <c r="H274" s="28" t="s">
        <v>1540</v>
      </c>
      <c r="I274" s="31" t="s">
        <v>2840</v>
      </c>
      <c r="J274" s="73" t="s">
        <v>2992</v>
      </c>
      <c r="K274" s="30" t="s">
        <v>4359</v>
      </c>
      <c r="L274" s="60" t="s">
        <v>3291</v>
      </c>
      <c r="M274" s="60" t="s">
        <v>3289</v>
      </c>
      <c r="N274" s="60" t="s">
        <v>3291</v>
      </c>
      <c r="O274" s="60"/>
      <c r="P274" s="60" t="s">
        <v>3323</v>
      </c>
      <c r="Q274" s="20">
        <v>1</v>
      </c>
    </row>
    <row r="275" spans="1:17" ht="128" x14ac:dyDescent="0.2">
      <c r="A275" s="71">
        <v>274</v>
      </c>
      <c r="B275" s="107" t="str">
        <f>HYPERLINK("https://www.ncbi.nlm.nih.gov/gene/2113", "2113")</f>
        <v>2113</v>
      </c>
      <c r="C275" s="109" t="str">
        <f>HYPERLINK("https://www.uniprot.org/uniprot/P14921", "P14921")</f>
        <v>P14921</v>
      </c>
      <c r="D275" s="43" t="s">
        <v>267</v>
      </c>
      <c r="E275" s="77" t="s">
        <v>267</v>
      </c>
      <c r="F275" s="78" t="s">
        <v>1544</v>
      </c>
      <c r="G275" s="28" t="s">
        <v>1545</v>
      </c>
      <c r="H275" s="28" t="s">
        <v>1546</v>
      </c>
      <c r="I275" s="31" t="s">
        <v>5186</v>
      </c>
      <c r="J275" s="73" t="s">
        <v>2994</v>
      </c>
      <c r="K275" s="15" t="s">
        <v>3765</v>
      </c>
      <c r="L275" s="60" t="s">
        <v>3289</v>
      </c>
      <c r="M275" s="60" t="s">
        <v>3289</v>
      </c>
      <c r="N275" s="60" t="s">
        <v>3291</v>
      </c>
      <c r="O275" s="60"/>
      <c r="P275" s="60" t="s">
        <v>5493</v>
      </c>
      <c r="Q275" s="20">
        <v>4</v>
      </c>
    </row>
    <row r="276" spans="1:17" ht="64" x14ac:dyDescent="0.2">
      <c r="A276" s="71">
        <v>275</v>
      </c>
      <c r="B276" s="107" t="str">
        <f>HYPERLINK("https://www.ncbi.nlm.nih.gov/gene/9156", "9156")</f>
        <v>9156</v>
      </c>
      <c r="C276" s="109" t="str">
        <f>HYPERLINK("https://www.uniprot.org/uniprot/Q9UQ84", "Q9UQ84")</f>
        <v>Q9UQ84</v>
      </c>
      <c r="D276" s="43" t="s">
        <v>268</v>
      </c>
      <c r="E276" s="35" t="s">
        <v>268</v>
      </c>
      <c r="F276" s="79"/>
      <c r="G276" s="30" t="s">
        <v>1547</v>
      </c>
      <c r="H276" s="30" t="s">
        <v>1548</v>
      </c>
      <c r="I276" s="47" t="s">
        <v>3332</v>
      </c>
      <c r="J276" s="73" t="s">
        <v>2995</v>
      </c>
      <c r="K276" s="23" t="s">
        <v>4360</v>
      </c>
      <c r="L276" s="60" t="s">
        <v>3289</v>
      </c>
      <c r="M276" s="60" t="s">
        <v>3289</v>
      </c>
      <c r="N276" s="60" t="s">
        <v>3291</v>
      </c>
      <c r="O276" s="60"/>
      <c r="P276" s="60" t="s">
        <v>5493</v>
      </c>
      <c r="Q276" s="20">
        <v>4</v>
      </c>
    </row>
    <row r="277" spans="1:17" ht="160" x14ac:dyDescent="0.2">
      <c r="A277" s="71">
        <v>276</v>
      </c>
      <c r="B277" s="107" t="str">
        <f>HYPERLINK("https://www.ncbi.nlm.nih.gov/gene/2146", "2146")</f>
        <v>2146</v>
      </c>
      <c r="C277" s="109" t="str">
        <f>HYPERLINK("https://www.uniprot.org/uniprot/Q15910", "Q15910")</f>
        <v>Q15910</v>
      </c>
      <c r="D277" s="43" t="s">
        <v>269</v>
      </c>
      <c r="E277" s="16" t="s">
        <v>269</v>
      </c>
      <c r="F277" s="74" t="s">
        <v>1549</v>
      </c>
      <c r="G277" s="28" t="s">
        <v>1550</v>
      </c>
      <c r="H277" s="28" t="s">
        <v>3993</v>
      </c>
      <c r="I277" s="31" t="s">
        <v>5187</v>
      </c>
      <c r="J277" s="73" t="s">
        <v>2996</v>
      </c>
      <c r="K277" s="23" t="s">
        <v>4361</v>
      </c>
      <c r="L277" s="60" t="s">
        <v>3289</v>
      </c>
      <c r="M277" s="60" t="s">
        <v>3289</v>
      </c>
      <c r="N277" s="60" t="s">
        <v>3289</v>
      </c>
      <c r="O277" s="60"/>
      <c r="P277" s="60" t="s">
        <v>5493</v>
      </c>
      <c r="Q277" s="20">
        <v>4</v>
      </c>
    </row>
    <row r="278" spans="1:17" ht="96" x14ac:dyDescent="0.2">
      <c r="A278" s="71">
        <v>277</v>
      </c>
      <c r="B278" s="107" t="str">
        <f>HYPERLINK("https://www.ncbi.nlm.nih.gov/gene/7430", "7430")</f>
        <v>7430</v>
      </c>
      <c r="C278" s="109" t="str">
        <f>HYPERLINK("https://www.uniprot.org/uniprot/P15311", "P15311")</f>
        <v>P15311</v>
      </c>
      <c r="D278" s="43" t="s">
        <v>270</v>
      </c>
      <c r="E278" s="16" t="s">
        <v>270</v>
      </c>
      <c r="F278" s="74" t="s">
        <v>1551</v>
      </c>
      <c r="G278" s="28" t="s">
        <v>1552</v>
      </c>
      <c r="H278" s="28" t="s">
        <v>1553</v>
      </c>
      <c r="I278" s="31" t="s">
        <v>5188</v>
      </c>
      <c r="J278" s="73">
        <v>29391894</v>
      </c>
      <c r="K278" s="23" t="s">
        <v>4362</v>
      </c>
      <c r="L278" s="60" t="s">
        <v>3289</v>
      </c>
      <c r="M278" s="60" t="s">
        <v>3289</v>
      </c>
      <c r="N278" s="60" t="s">
        <v>3291</v>
      </c>
      <c r="O278" s="60"/>
      <c r="P278" s="60" t="s">
        <v>5493</v>
      </c>
      <c r="Q278" s="20">
        <v>4</v>
      </c>
    </row>
    <row r="279" spans="1:17" ht="48" x14ac:dyDescent="0.2">
      <c r="A279" s="71">
        <v>278</v>
      </c>
      <c r="B279" s="107" t="str">
        <f>HYPERLINK("https://www.ncbi.nlm.nih.gov/gene/80233", "80233")</f>
        <v>80233</v>
      </c>
      <c r="C279" s="109" t="str">
        <f>HYPERLINK("https://www.uniprot.org/uniprot/Q0VG06", "Q0VG06")</f>
        <v>Q0VG06</v>
      </c>
      <c r="D279" s="43" t="s">
        <v>271</v>
      </c>
      <c r="E279" s="38" t="s">
        <v>271</v>
      </c>
      <c r="F279" s="32" t="s">
        <v>1554</v>
      </c>
      <c r="G279" s="28" t="s">
        <v>1555</v>
      </c>
      <c r="H279" s="6" t="s">
        <v>1556</v>
      </c>
      <c r="I279" s="49" t="s">
        <v>2859</v>
      </c>
      <c r="J279" s="73">
        <v>17396147</v>
      </c>
      <c r="K279" s="23" t="s">
        <v>3509</v>
      </c>
      <c r="L279" s="60" t="s">
        <v>3291</v>
      </c>
      <c r="M279" s="60" t="s">
        <v>3289</v>
      </c>
      <c r="N279" s="60" t="s">
        <v>3289</v>
      </c>
      <c r="O279" s="60"/>
      <c r="P279" s="60" t="s">
        <v>3323</v>
      </c>
      <c r="Q279" s="20">
        <v>1</v>
      </c>
    </row>
    <row r="280" spans="1:17" ht="64" x14ac:dyDescent="0.2">
      <c r="A280" s="71">
        <v>279</v>
      </c>
      <c r="B280" s="107" t="str">
        <f>HYPERLINK("https://www.ncbi.nlm.nih.gov/gene/91442", "91442")</f>
        <v>91442</v>
      </c>
      <c r="C280" s="109" t="str">
        <f>HYPERLINK("https://www.uniprot.org/uniprot/Q9BTP7", "Q9BTP7")</f>
        <v>Q9BTP7</v>
      </c>
      <c r="D280" s="43" t="s">
        <v>272</v>
      </c>
      <c r="E280" s="38" t="s">
        <v>272</v>
      </c>
      <c r="F280" s="32" t="s">
        <v>1557</v>
      </c>
      <c r="G280" s="28" t="s">
        <v>1558</v>
      </c>
      <c r="H280" s="6" t="s">
        <v>3994</v>
      </c>
      <c r="I280" s="49" t="s">
        <v>2859</v>
      </c>
      <c r="J280" s="73">
        <v>23333308</v>
      </c>
      <c r="K280" s="23" t="s">
        <v>2997</v>
      </c>
      <c r="L280" s="60" t="s">
        <v>3291</v>
      </c>
      <c r="M280" s="60" t="s">
        <v>3289</v>
      </c>
      <c r="N280" s="60" t="s">
        <v>3291</v>
      </c>
      <c r="O280" s="60"/>
      <c r="P280" s="60" t="s">
        <v>3323</v>
      </c>
      <c r="Q280" s="20">
        <v>1</v>
      </c>
    </row>
    <row r="281" spans="1:17" ht="112" x14ac:dyDescent="0.2">
      <c r="A281" s="71">
        <v>280</v>
      </c>
      <c r="B281" s="107" t="str">
        <f>HYPERLINK("https://www.ncbi.nlm.nih.gov/gene/8772", "8772")</f>
        <v>8772</v>
      </c>
      <c r="C281" s="113" t="str">
        <f>HYPERLINK("https://www.uniprot.org/uniprot/Q13158", "Q13158")</f>
        <v>Q13158</v>
      </c>
      <c r="D281" s="43" t="s">
        <v>273</v>
      </c>
      <c r="E281" s="16" t="s">
        <v>273</v>
      </c>
      <c r="F281" s="74" t="s">
        <v>1559</v>
      </c>
      <c r="G281" s="31" t="s">
        <v>1560</v>
      </c>
      <c r="H281" s="31" t="s">
        <v>1561</v>
      </c>
      <c r="I281" s="31" t="s">
        <v>3326</v>
      </c>
      <c r="J281" s="73" t="s">
        <v>3837</v>
      </c>
      <c r="K281" s="23" t="s">
        <v>4363</v>
      </c>
      <c r="L281" s="60" t="s">
        <v>3307</v>
      </c>
      <c r="M281" s="60" t="s">
        <v>3307</v>
      </c>
      <c r="N281" s="60" t="s">
        <v>5530</v>
      </c>
      <c r="O281" s="60"/>
      <c r="P281" s="60" t="s">
        <v>5493</v>
      </c>
      <c r="Q281" s="64">
        <v>4</v>
      </c>
    </row>
    <row r="282" spans="1:17" ht="128" x14ac:dyDescent="0.2">
      <c r="A282" s="71">
        <v>281</v>
      </c>
      <c r="B282" s="107" t="str">
        <f>HYPERLINK("https://www.ncbi.nlm.nih.gov/gene/23201", "23201")</f>
        <v>23201</v>
      </c>
      <c r="C282" s="109" t="str">
        <f>HYPERLINK("https://www.uniprot.org/uniprot/Q92567", "Q92567")</f>
        <v>Q92567</v>
      </c>
      <c r="D282" s="43" t="s">
        <v>274</v>
      </c>
      <c r="E282" s="35" t="s">
        <v>274</v>
      </c>
      <c r="F282" s="79" t="s">
        <v>1562</v>
      </c>
      <c r="G282" s="30" t="s">
        <v>1563</v>
      </c>
      <c r="H282" s="30" t="s">
        <v>3995</v>
      </c>
      <c r="I282" s="47" t="s">
        <v>5189</v>
      </c>
      <c r="J282" s="73" t="s">
        <v>2998</v>
      </c>
      <c r="K282" s="23" t="s">
        <v>4364</v>
      </c>
      <c r="L282" s="60" t="s">
        <v>3289</v>
      </c>
      <c r="M282" s="60" t="s">
        <v>3289</v>
      </c>
      <c r="N282" s="60" t="s">
        <v>3291</v>
      </c>
      <c r="O282" s="60"/>
      <c r="P282" s="60" t="s">
        <v>5493</v>
      </c>
      <c r="Q282" s="20">
        <v>4</v>
      </c>
    </row>
    <row r="283" spans="1:17" ht="80" x14ac:dyDescent="0.2">
      <c r="A283" s="71">
        <v>282</v>
      </c>
      <c r="B283" s="107" t="str">
        <f>HYPERLINK("https://www.ncbi.nlm.nih.gov/gene/222584", "222584")</f>
        <v>222584</v>
      </c>
      <c r="C283" s="109" t="str">
        <f>HYPERLINK("https://www.uniprot.org/uniprot/Q5T0W9", "Q5T0W9")</f>
        <v>Q5T0W9</v>
      </c>
      <c r="D283" s="43" t="s">
        <v>3399</v>
      </c>
      <c r="E283" s="35" t="s">
        <v>3399</v>
      </c>
      <c r="F283" s="79"/>
      <c r="G283" s="30" t="s">
        <v>3555</v>
      </c>
      <c r="H283" s="30" t="s">
        <v>3996</v>
      </c>
      <c r="I283" s="47" t="s">
        <v>5190</v>
      </c>
      <c r="J283" s="73">
        <v>33423038</v>
      </c>
      <c r="K283" s="23" t="s">
        <v>4365</v>
      </c>
      <c r="L283" s="60" t="s">
        <v>3292</v>
      </c>
      <c r="M283" s="60" t="s">
        <v>3292</v>
      </c>
      <c r="N283" s="60" t="s">
        <v>3291</v>
      </c>
      <c r="O283" s="60"/>
      <c r="P283" s="60" t="s">
        <v>5493</v>
      </c>
      <c r="Q283" s="20">
        <v>4</v>
      </c>
    </row>
    <row r="284" spans="1:17" ht="64" x14ac:dyDescent="0.2">
      <c r="A284" s="71">
        <v>283</v>
      </c>
      <c r="B284" s="107" t="str">
        <f>HYPERLINK("https://www.ncbi.nlm.nih.gov/gene/22909", "22909")</f>
        <v>22909</v>
      </c>
      <c r="C284" s="109" t="str">
        <f>HYPERLINK("https://www.uniprot.org/uniprot/Q9Y2M0", "Q9Y2M0")</f>
        <v>Q9Y2M0</v>
      </c>
      <c r="D284" s="43" t="s">
        <v>276</v>
      </c>
      <c r="E284" s="38" t="s">
        <v>276</v>
      </c>
      <c r="F284" s="32" t="s">
        <v>1566</v>
      </c>
      <c r="G284" s="28" t="s">
        <v>1567</v>
      </c>
      <c r="H284" s="6" t="s">
        <v>3997</v>
      </c>
      <c r="I284" s="49" t="s">
        <v>2859</v>
      </c>
      <c r="J284" s="73" t="s">
        <v>3679</v>
      </c>
      <c r="K284" s="23" t="s">
        <v>4366</v>
      </c>
      <c r="L284" s="60" t="s">
        <v>3291</v>
      </c>
      <c r="M284" s="60" t="s">
        <v>3289</v>
      </c>
      <c r="N284" s="60" t="s">
        <v>3291</v>
      </c>
      <c r="O284" s="60"/>
      <c r="P284" s="60" t="s">
        <v>3323</v>
      </c>
      <c r="Q284" s="20">
        <v>1</v>
      </c>
    </row>
    <row r="285" spans="1:17" ht="112" x14ac:dyDescent="0.2">
      <c r="A285" s="71">
        <v>284</v>
      </c>
      <c r="B285" s="107" t="str">
        <f>HYPERLINK("https://www.ncbi.nlm.nih.gov/gene/2175", "2175")</f>
        <v>2175</v>
      </c>
      <c r="C285" s="109" t="str">
        <f>HYPERLINK("https://www.uniprot.org/uniprot/O15360", "O15360")</f>
        <v>O15360</v>
      </c>
      <c r="D285" s="43" t="s">
        <v>277</v>
      </c>
      <c r="E285" s="38" t="s">
        <v>277</v>
      </c>
      <c r="F285" s="32"/>
      <c r="G285" s="28" t="s">
        <v>4976</v>
      </c>
      <c r="H285" s="6" t="s">
        <v>1556</v>
      </c>
      <c r="I285" s="49" t="s">
        <v>2859</v>
      </c>
      <c r="J285" s="73" t="s">
        <v>2999</v>
      </c>
      <c r="K285" s="23" t="s">
        <v>4367</v>
      </c>
      <c r="L285" s="60" t="s">
        <v>3289</v>
      </c>
      <c r="M285" s="60" t="s">
        <v>3289</v>
      </c>
      <c r="N285" s="60" t="s">
        <v>3291</v>
      </c>
      <c r="O285" s="60"/>
      <c r="P285" s="60" t="s">
        <v>5493</v>
      </c>
      <c r="Q285" s="20">
        <v>4</v>
      </c>
    </row>
    <row r="286" spans="1:17" ht="48" x14ac:dyDescent="0.2">
      <c r="A286" s="71">
        <v>285</v>
      </c>
      <c r="B286" s="107" t="str">
        <f>HYPERLINK("https://www.ncbi.nlm.nih.gov/gene/2187", "2187")</f>
        <v>2187</v>
      </c>
      <c r="C286" s="109" t="str">
        <f>HYPERLINK("https://www.uniprot.org/uniprot/Q8NB91", "Q8NB91")</f>
        <v>Q8NB91</v>
      </c>
      <c r="D286" s="43" t="s">
        <v>278</v>
      </c>
      <c r="E286" s="38" t="s">
        <v>278</v>
      </c>
      <c r="F286" s="32"/>
      <c r="G286" s="28" t="s">
        <v>4977</v>
      </c>
      <c r="H286" s="6" t="s">
        <v>1556</v>
      </c>
      <c r="I286" s="49" t="s">
        <v>2859</v>
      </c>
      <c r="J286" s="73">
        <v>27626685</v>
      </c>
      <c r="K286" s="23" t="s">
        <v>4368</v>
      </c>
      <c r="L286" s="60" t="s">
        <v>3289</v>
      </c>
      <c r="M286" s="60" t="s">
        <v>3289</v>
      </c>
      <c r="N286" s="60" t="s">
        <v>3291</v>
      </c>
      <c r="O286" s="60"/>
      <c r="P286" s="60" t="s">
        <v>3323</v>
      </c>
      <c r="Q286" s="20">
        <v>1</v>
      </c>
    </row>
    <row r="287" spans="1:17" ht="32" x14ac:dyDescent="0.2">
      <c r="A287" s="71">
        <v>286</v>
      </c>
      <c r="B287" s="107" t="str">
        <f>HYPERLINK("https://www.ncbi.nlm.nih.gov/gene/2176", "2176")</f>
        <v>2176</v>
      </c>
      <c r="C287" s="109" t="str">
        <f>HYPERLINK("https://www.uniprot.org/uniprot/Q00597", "Q00597")</f>
        <v>Q00597</v>
      </c>
      <c r="D287" s="43" t="s">
        <v>279</v>
      </c>
      <c r="E287" s="38" t="s">
        <v>279</v>
      </c>
      <c r="F287" s="32"/>
      <c r="G287" s="28" t="s">
        <v>4978</v>
      </c>
      <c r="H287" s="6" t="s">
        <v>1556</v>
      </c>
      <c r="I287" s="49" t="s">
        <v>2859</v>
      </c>
      <c r="J287" s="73">
        <v>23838005</v>
      </c>
      <c r="K287" s="23" t="s">
        <v>4369</v>
      </c>
      <c r="L287" s="60" t="s">
        <v>3289</v>
      </c>
      <c r="M287" s="60" t="s">
        <v>3289</v>
      </c>
      <c r="N287" s="60" t="s">
        <v>3291</v>
      </c>
      <c r="O287" s="60"/>
      <c r="P287" s="60" t="s">
        <v>3323</v>
      </c>
      <c r="Q287" s="20">
        <v>1</v>
      </c>
    </row>
    <row r="288" spans="1:17" ht="80" x14ac:dyDescent="0.2">
      <c r="A288" s="71">
        <v>287</v>
      </c>
      <c r="B288" s="107" t="str">
        <f>HYPERLINK("https://www.ncbi.nlm.nih.gov/gene/2177", "2177")</f>
        <v>2177</v>
      </c>
      <c r="C288" s="109" t="str">
        <f>HYPERLINK("https://www.uniprot.org/uniprot/Q9BXW9", "Q9BXW9")</f>
        <v>Q9BXW9</v>
      </c>
      <c r="D288" s="43" t="s">
        <v>280</v>
      </c>
      <c r="E288" s="38" t="s">
        <v>280</v>
      </c>
      <c r="F288" s="32"/>
      <c r="G288" s="28" t="s">
        <v>4979</v>
      </c>
      <c r="H288" s="6" t="s">
        <v>1556</v>
      </c>
      <c r="I288" s="49" t="s">
        <v>2859</v>
      </c>
      <c r="J288" s="73" t="s">
        <v>3000</v>
      </c>
      <c r="K288" s="23" t="s">
        <v>4370</v>
      </c>
      <c r="L288" s="60" t="s">
        <v>3289</v>
      </c>
      <c r="M288" s="60" t="s">
        <v>3289</v>
      </c>
      <c r="N288" s="60" t="s">
        <v>3289</v>
      </c>
      <c r="O288" s="60"/>
      <c r="P288" s="60" t="s">
        <v>5493</v>
      </c>
      <c r="Q288" s="20">
        <v>4</v>
      </c>
    </row>
    <row r="289" spans="1:17" ht="64" x14ac:dyDescent="0.2">
      <c r="A289" s="71">
        <v>288</v>
      </c>
      <c r="B289" s="107" t="str">
        <f>HYPERLINK("https://www.ncbi.nlm.nih.gov/gene/2178", "2178")</f>
        <v>2178</v>
      </c>
      <c r="C289" s="109" t="str">
        <f>HYPERLINK("https://www.uniprot.org/uniprot/Q9HB96", "Q9HB96")</f>
        <v>Q9HB96</v>
      </c>
      <c r="D289" s="43" t="s">
        <v>281</v>
      </c>
      <c r="E289" s="38" t="s">
        <v>281</v>
      </c>
      <c r="F289" s="32" t="s">
        <v>3512</v>
      </c>
      <c r="G289" s="28" t="s">
        <v>3511</v>
      </c>
      <c r="H289" s="6" t="s">
        <v>3510</v>
      </c>
      <c r="I289" s="49" t="s">
        <v>2859</v>
      </c>
      <c r="J289" s="73">
        <v>24451376</v>
      </c>
      <c r="K289" s="23" t="s">
        <v>4371</v>
      </c>
      <c r="L289" s="60" t="s">
        <v>3291</v>
      </c>
      <c r="M289" s="60" t="s">
        <v>3289</v>
      </c>
      <c r="N289" s="60" t="s">
        <v>3291</v>
      </c>
      <c r="O289" s="60"/>
      <c r="P289" s="60" t="s">
        <v>3323</v>
      </c>
      <c r="Q289" s="20">
        <v>1</v>
      </c>
    </row>
    <row r="290" spans="1:17" ht="48" x14ac:dyDescent="0.2">
      <c r="A290" s="71">
        <v>289</v>
      </c>
      <c r="B290" s="107" t="str">
        <f>HYPERLINK("https://www.ncbi.nlm.nih.gov/gene/2188", "2188")</f>
        <v>2188</v>
      </c>
      <c r="C290" s="109" t="str">
        <f>HYPERLINK("https://www.uniprot.org/uniprot/Q9NPI8", "Q9NPI8")</f>
        <v>Q9NPI8</v>
      </c>
      <c r="D290" s="43" t="s">
        <v>282</v>
      </c>
      <c r="E290" s="38" t="s">
        <v>282</v>
      </c>
      <c r="F290" s="32"/>
      <c r="G290" s="96" t="s">
        <v>4980</v>
      </c>
      <c r="H290" s="6" t="s">
        <v>1556</v>
      </c>
      <c r="I290" s="49" t="s">
        <v>2859</v>
      </c>
      <c r="J290" s="73" t="s">
        <v>3001</v>
      </c>
      <c r="K290" s="23" t="s">
        <v>4372</v>
      </c>
      <c r="L290" s="60" t="s">
        <v>3289</v>
      </c>
      <c r="M290" s="60" t="s">
        <v>3289</v>
      </c>
      <c r="N290" s="60" t="s">
        <v>3291</v>
      </c>
      <c r="O290" s="60"/>
      <c r="P290" s="60" t="s">
        <v>3323</v>
      </c>
      <c r="Q290" s="20">
        <v>1</v>
      </c>
    </row>
    <row r="291" spans="1:17" ht="48" x14ac:dyDescent="0.2">
      <c r="A291" s="71">
        <v>290</v>
      </c>
      <c r="B291" s="107" t="str">
        <f>HYPERLINK("https://www.ncbi.nlm.nih.gov/gene/2189", "2189")</f>
        <v>2189</v>
      </c>
      <c r="C291" s="109" t="str">
        <f>HYPERLINK("https://www.uniprot.org/uniprot/O15287", "O15287")</f>
        <v>O15287</v>
      </c>
      <c r="D291" s="43" t="s">
        <v>283</v>
      </c>
      <c r="E291" s="38" t="s">
        <v>283</v>
      </c>
      <c r="F291" s="32" t="s">
        <v>3513</v>
      </c>
      <c r="G291" s="28" t="s">
        <v>3514</v>
      </c>
      <c r="H291" s="6" t="s">
        <v>3998</v>
      </c>
      <c r="I291" s="49" t="s">
        <v>5191</v>
      </c>
      <c r="J291" s="73">
        <v>12861027</v>
      </c>
      <c r="K291" s="23" t="s">
        <v>4373</v>
      </c>
      <c r="L291" s="60" t="s">
        <v>3291</v>
      </c>
      <c r="M291" s="60" t="s">
        <v>3289</v>
      </c>
      <c r="N291" s="60" t="s">
        <v>3291</v>
      </c>
      <c r="O291" s="60"/>
      <c r="P291" s="60" t="s">
        <v>3323</v>
      </c>
      <c r="Q291" s="20">
        <v>1</v>
      </c>
    </row>
    <row r="292" spans="1:17" ht="48" x14ac:dyDescent="0.2">
      <c r="A292" s="71">
        <v>291</v>
      </c>
      <c r="B292" s="107" t="str">
        <f>HYPERLINK("https://www.ncbi.nlm.nih.gov/gene/55215", "55215")</f>
        <v>55215</v>
      </c>
      <c r="C292" s="109" t="str">
        <f>HYPERLINK("https://www.uniprot.org/uniprot/Q9NVI1", "Q9NVI1")</f>
        <v>Q9NVI1</v>
      </c>
      <c r="D292" s="43" t="s">
        <v>284</v>
      </c>
      <c r="E292" s="38" t="s">
        <v>284</v>
      </c>
      <c r="F292" s="32"/>
      <c r="G292" s="96" t="s">
        <v>4981</v>
      </c>
      <c r="H292" s="6" t="s">
        <v>1556</v>
      </c>
      <c r="I292" s="49" t="s">
        <v>2859</v>
      </c>
      <c r="J292" s="73">
        <v>29452344</v>
      </c>
      <c r="K292" s="23" t="s">
        <v>4374</v>
      </c>
      <c r="L292" s="60" t="s">
        <v>3292</v>
      </c>
      <c r="M292" s="60" t="s">
        <v>3290</v>
      </c>
      <c r="N292" s="60" t="s">
        <v>3291</v>
      </c>
      <c r="O292" s="60"/>
      <c r="P292" s="60" t="s">
        <v>5493</v>
      </c>
      <c r="Q292" s="20">
        <v>4</v>
      </c>
    </row>
    <row r="293" spans="1:17" ht="48" x14ac:dyDescent="0.2">
      <c r="A293" s="71">
        <v>292</v>
      </c>
      <c r="B293" s="107" t="str">
        <f>HYPERLINK("https://www.ncbi.nlm.nih.gov/gene/55120", "55120")</f>
        <v>55120</v>
      </c>
      <c r="C293" s="109" t="str">
        <f>HYPERLINK("https://www.uniprot.org/uniprot/Q9NW38", "Q9NW38")</f>
        <v>Q9NW38</v>
      </c>
      <c r="D293" s="43" t="s">
        <v>285</v>
      </c>
      <c r="E293" s="38" t="s">
        <v>285</v>
      </c>
      <c r="F293" s="32"/>
      <c r="G293" s="28" t="s">
        <v>4982</v>
      </c>
      <c r="H293" s="6" t="s">
        <v>1556</v>
      </c>
      <c r="I293" s="49" t="s">
        <v>2859</v>
      </c>
      <c r="J293" s="73" t="s">
        <v>3002</v>
      </c>
      <c r="K293" s="23" t="s">
        <v>4375</v>
      </c>
      <c r="L293" s="60" t="s">
        <v>3289</v>
      </c>
      <c r="M293" s="60" t="s">
        <v>3289</v>
      </c>
      <c r="N293" s="60" t="s">
        <v>3291</v>
      </c>
      <c r="O293" s="60"/>
      <c r="P293" s="60" t="s">
        <v>3323</v>
      </c>
      <c r="Q293" s="20">
        <v>1</v>
      </c>
    </row>
    <row r="294" spans="1:17" ht="32" x14ac:dyDescent="0.2">
      <c r="A294" s="71">
        <v>293</v>
      </c>
      <c r="B294" s="107" t="str">
        <f>HYPERLINK("https://www.ncbi.nlm.nih.gov/gene/57697", "57697")</f>
        <v>57697</v>
      </c>
      <c r="C294" s="109" t="str">
        <f>HYPERLINK("https://www.uniprot.org/uniprot/Q8IYD8", "Q8IYD8")</f>
        <v>Q8IYD8</v>
      </c>
      <c r="D294" s="43" t="s">
        <v>286</v>
      </c>
      <c r="E294" s="16" t="s">
        <v>286</v>
      </c>
      <c r="F294" s="90"/>
      <c r="G294" s="96" t="s">
        <v>4983</v>
      </c>
      <c r="H294" s="6" t="s">
        <v>1556</v>
      </c>
      <c r="I294" s="49" t="s">
        <v>2859</v>
      </c>
      <c r="J294" s="73">
        <v>24708616</v>
      </c>
      <c r="K294" s="13" t="s">
        <v>3766</v>
      </c>
      <c r="L294" s="60" t="s">
        <v>3289</v>
      </c>
      <c r="M294" s="60" t="s">
        <v>3289</v>
      </c>
      <c r="N294" s="60" t="s">
        <v>3291</v>
      </c>
      <c r="O294" s="60"/>
      <c r="P294" s="60" t="s">
        <v>5498</v>
      </c>
      <c r="Q294" s="20">
        <v>3</v>
      </c>
    </row>
    <row r="295" spans="1:17" ht="112" x14ac:dyDescent="0.2">
      <c r="A295" s="71">
        <v>294</v>
      </c>
      <c r="B295" s="107" t="str">
        <f>HYPERLINK("https://www.ncbi.nlm.nih.gov/gene/2191", "2191")</f>
        <v>2191</v>
      </c>
      <c r="C295" s="109" t="str">
        <f>HYPERLINK("https://www.uniprot.org/uniprot/Q12884", "Q12884")</f>
        <v>Q12884</v>
      </c>
      <c r="D295" s="43" t="s">
        <v>287</v>
      </c>
      <c r="E295" s="16" t="s">
        <v>287</v>
      </c>
      <c r="F295" s="74"/>
      <c r="G295" s="28" t="s">
        <v>1568</v>
      </c>
      <c r="H295" s="28" t="s">
        <v>3999</v>
      </c>
      <c r="I295" s="31" t="s">
        <v>2830</v>
      </c>
      <c r="J295" s="73">
        <v>25331442</v>
      </c>
      <c r="K295" s="23" t="s">
        <v>4376</v>
      </c>
      <c r="L295" s="60" t="s">
        <v>3289</v>
      </c>
      <c r="M295" s="60" t="s">
        <v>3289</v>
      </c>
      <c r="N295" s="60" t="s">
        <v>3291</v>
      </c>
      <c r="O295" s="60"/>
      <c r="P295" s="60" t="s">
        <v>5493</v>
      </c>
      <c r="Q295" s="20">
        <v>4</v>
      </c>
    </row>
    <row r="296" spans="1:17" ht="144" x14ac:dyDescent="0.2">
      <c r="A296" s="71">
        <v>295</v>
      </c>
      <c r="B296" s="107" t="str">
        <f>HYPERLINK("https://www.ncbi.nlm.nih.gov/gene/355", "355")</f>
        <v>355</v>
      </c>
      <c r="C296" s="109" t="str">
        <f>HYPERLINK("https://www.uniprot.org/uniprot/P25445", "P25445")</f>
        <v>P25445</v>
      </c>
      <c r="D296" s="43" t="s">
        <v>288</v>
      </c>
      <c r="E296" s="16" t="s">
        <v>288</v>
      </c>
      <c r="F296" s="74" t="s">
        <v>1569</v>
      </c>
      <c r="G296" s="28" t="s">
        <v>4984</v>
      </c>
      <c r="H296" s="28" t="s">
        <v>1570</v>
      </c>
      <c r="I296" s="31" t="s">
        <v>3326</v>
      </c>
      <c r="J296" s="73" t="s">
        <v>3664</v>
      </c>
      <c r="K296" s="23" t="s">
        <v>4377</v>
      </c>
      <c r="L296" s="60" t="s">
        <v>3292</v>
      </c>
      <c r="M296" s="60" t="s">
        <v>3292</v>
      </c>
      <c r="N296" s="60" t="s">
        <v>3289</v>
      </c>
      <c r="O296" s="60"/>
      <c r="P296" s="60" t="s">
        <v>5493</v>
      </c>
      <c r="Q296" s="20">
        <v>4</v>
      </c>
    </row>
    <row r="297" spans="1:17" ht="96" x14ac:dyDescent="0.2">
      <c r="A297" s="71">
        <v>296</v>
      </c>
      <c r="B297" s="107" t="str">
        <f>HYPERLINK("https://www.ncbi.nlm.nih.gov/gene/356", "356")</f>
        <v>356</v>
      </c>
      <c r="C297" s="109" t="str">
        <f>HYPERLINK("https://www.uniprot.org/uniprot/P48023", "P48023")</f>
        <v>P48023</v>
      </c>
      <c r="D297" s="43" t="s">
        <v>289</v>
      </c>
      <c r="E297" s="16" t="s">
        <v>289</v>
      </c>
      <c r="F297" s="74" t="s">
        <v>1571</v>
      </c>
      <c r="G297" s="28" t="s">
        <v>4985</v>
      </c>
      <c r="H297" s="28" t="s">
        <v>1572</v>
      </c>
      <c r="I297" s="31" t="s">
        <v>3326</v>
      </c>
      <c r="J297" s="73" t="s">
        <v>3574</v>
      </c>
      <c r="K297" s="23" t="s">
        <v>4378</v>
      </c>
      <c r="L297" s="60" t="s">
        <v>3290</v>
      </c>
      <c r="M297" s="60" t="s">
        <v>3290</v>
      </c>
      <c r="N297" s="60" t="s">
        <v>3289</v>
      </c>
      <c r="O297" s="60"/>
      <c r="P297" s="60" t="s">
        <v>5493</v>
      </c>
      <c r="Q297" s="20">
        <v>4</v>
      </c>
    </row>
    <row r="298" spans="1:17" ht="112" x14ac:dyDescent="0.2">
      <c r="A298" s="71">
        <v>297</v>
      </c>
      <c r="B298" s="107" t="str">
        <f>HYPERLINK("https://www.ncbi.nlm.nih.gov/gene/2194", "2194")</f>
        <v>2194</v>
      </c>
      <c r="C298" s="109" t="str">
        <f>HYPERLINK("https://www.uniprot.org/uniprot/P49327", "P49327")</f>
        <v>P49327</v>
      </c>
      <c r="D298" s="43" t="s">
        <v>290</v>
      </c>
      <c r="E298" s="35" t="s">
        <v>290</v>
      </c>
      <c r="F298" s="79" t="s">
        <v>288</v>
      </c>
      <c r="G298" s="30" t="s">
        <v>1573</v>
      </c>
      <c r="H298" s="30" t="s">
        <v>1574</v>
      </c>
      <c r="I298" s="47" t="s">
        <v>3380</v>
      </c>
      <c r="J298" s="73">
        <v>20508725</v>
      </c>
      <c r="K298" s="23" t="s">
        <v>4379</v>
      </c>
      <c r="L298" s="60" t="s">
        <v>3289</v>
      </c>
      <c r="M298" s="60" t="s">
        <v>3289</v>
      </c>
      <c r="N298" s="60" t="s">
        <v>3291</v>
      </c>
      <c r="O298" s="60" t="s">
        <v>5509</v>
      </c>
      <c r="P298" s="60" t="s">
        <v>5493</v>
      </c>
      <c r="Q298" s="20">
        <v>4</v>
      </c>
    </row>
    <row r="299" spans="1:17" ht="80" x14ac:dyDescent="0.2">
      <c r="A299" s="71">
        <v>298</v>
      </c>
      <c r="B299" s="107" t="str">
        <f>HYPERLINK("https://www.ncbi.nlm.nih.gov/gene/2195", "2195")</f>
        <v>2195</v>
      </c>
      <c r="C299" s="109" t="str">
        <f>HYPERLINK("https://www.uniprot.org/uniprot/Q14517", "Q14517")</f>
        <v>Q14517</v>
      </c>
      <c r="D299" s="43" t="s">
        <v>291</v>
      </c>
      <c r="E299" s="35" t="s">
        <v>291</v>
      </c>
      <c r="F299" s="12" t="s">
        <v>1575</v>
      </c>
      <c r="G299" s="30" t="s">
        <v>1576</v>
      </c>
      <c r="H299" s="30" t="s">
        <v>1577</v>
      </c>
      <c r="I299" s="47" t="s">
        <v>5192</v>
      </c>
      <c r="J299" s="73">
        <v>31783581</v>
      </c>
      <c r="K299" s="23" t="s">
        <v>4380</v>
      </c>
      <c r="L299" s="60" t="s">
        <v>3289</v>
      </c>
      <c r="M299" s="60" t="s">
        <v>3289</v>
      </c>
      <c r="N299" s="60" t="s">
        <v>3289</v>
      </c>
      <c r="O299" s="60"/>
      <c r="P299" s="60" t="s">
        <v>3323</v>
      </c>
      <c r="Q299" s="20">
        <v>1</v>
      </c>
    </row>
    <row r="300" spans="1:17" ht="80" x14ac:dyDescent="0.2">
      <c r="A300" s="71">
        <v>299</v>
      </c>
      <c r="B300" s="107" t="str">
        <f>HYPERLINK("https://www.ncbi.nlm.nih.gov/gene/2197", "2197")</f>
        <v>2197</v>
      </c>
      <c r="C300" s="109" t="str">
        <f>HYPERLINK("https://www.uniprot.org/uniprot/P35544", "P35544")</f>
        <v>P35544</v>
      </c>
      <c r="D300" s="43" t="s">
        <v>292</v>
      </c>
      <c r="E300" s="35" t="s">
        <v>292</v>
      </c>
      <c r="F300" s="79" t="s">
        <v>1578</v>
      </c>
      <c r="G300" s="30" t="s">
        <v>1579</v>
      </c>
      <c r="H300" s="30" t="s">
        <v>1580</v>
      </c>
      <c r="I300" s="47" t="s">
        <v>2824</v>
      </c>
      <c r="J300" s="73" t="s">
        <v>3003</v>
      </c>
      <c r="K300" s="23" t="s">
        <v>4381</v>
      </c>
      <c r="L300" s="60" t="s">
        <v>3292</v>
      </c>
      <c r="M300" s="60" t="s">
        <v>3292</v>
      </c>
      <c r="N300" s="60" t="s">
        <v>3291</v>
      </c>
      <c r="O300" s="60"/>
      <c r="P300" s="60" t="s">
        <v>5493</v>
      </c>
      <c r="Q300" s="20">
        <v>4</v>
      </c>
    </row>
    <row r="301" spans="1:17" ht="96" x14ac:dyDescent="0.2">
      <c r="A301" s="71">
        <v>300</v>
      </c>
      <c r="B301" s="107" t="str">
        <f>HYPERLINK("https://www.ncbi.nlm.nih.gov/gene/114907", "114907")</f>
        <v>114907</v>
      </c>
      <c r="C301" s="109" t="str">
        <f>HYPERLINK("https://www.uniprot.org/uniprot/Q969P5", "Q969P5")</f>
        <v>Q969P5</v>
      </c>
      <c r="D301" s="43" t="s">
        <v>293</v>
      </c>
      <c r="E301" s="35" t="s">
        <v>293</v>
      </c>
      <c r="F301" s="79"/>
      <c r="G301" s="30" t="s">
        <v>1581</v>
      </c>
      <c r="H301" s="30" t="s">
        <v>4382</v>
      </c>
      <c r="I301" s="47" t="s">
        <v>2832</v>
      </c>
      <c r="J301" s="73">
        <v>20065949</v>
      </c>
      <c r="K301" s="23" t="s">
        <v>4383</v>
      </c>
      <c r="L301" s="60" t="s">
        <v>3292</v>
      </c>
      <c r="M301" s="60" t="s">
        <v>3292</v>
      </c>
      <c r="N301" s="60" t="s">
        <v>3291</v>
      </c>
      <c r="O301" s="60"/>
      <c r="P301" s="60" t="s">
        <v>5494</v>
      </c>
      <c r="Q301" s="20">
        <v>5</v>
      </c>
    </row>
    <row r="302" spans="1:17" ht="112" x14ac:dyDescent="0.2">
      <c r="A302" s="71">
        <v>301</v>
      </c>
      <c r="B302" s="107" t="str">
        <f>HYPERLINK("https://www.ncbi.nlm.nih.gov/gene/2237", "2237")</f>
        <v>2237</v>
      </c>
      <c r="C302" s="109" t="str">
        <f>HYPERLINK("https://www.uniprot.org/uniprot/P39748", "P39748")</f>
        <v>P39748</v>
      </c>
      <c r="D302" s="43" t="s">
        <v>294</v>
      </c>
      <c r="E302" s="16" t="s">
        <v>294</v>
      </c>
      <c r="F302" s="74" t="s">
        <v>1582</v>
      </c>
      <c r="G302" s="28" t="s">
        <v>1583</v>
      </c>
      <c r="H302" s="28" t="s">
        <v>1584</v>
      </c>
      <c r="I302" s="31" t="s">
        <v>5193</v>
      </c>
      <c r="J302" s="73" t="s">
        <v>3004</v>
      </c>
      <c r="K302" s="23" t="s">
        <v>4384</v>
      </c>
      <c r="L302" s="60" t="s">
        <v>3289</v>
      </c>
      <c r="M302" s="60" t="s">
        <v>3289</v>
      </c>
      <c r="N302" s="60" t="s">
        <v>3289</v>
      </c>
      <c r="O302" s="60"/>
      <c r="P302" s="60" t="s">
        <v>5493</v>
      </c>
      <c r="Q302" s="20">
        <v>4</v>
      </c>
    </row>
    <row r="303" spans="1:17" ht="64" x14ac:dyDescent="0.2">
      <c r="A303" s="71">
        <v>302</v>
      </c>
      <c r="B303" s="107" t="str">
        <f>HYPERLINK("https://www.ncbi.nlm.nih.gov/gene/2246", "2246")</f>
        <v>2246</v>
      </c>
      <c r="C303" s="109" t="str">
        <f>HYPERLINK("https://www.uniprot.org/uniprot/P05230", "P05230")</f>
        <v>P05230</v>
      </c>
      <c r="D303" s="43" t="s">
        <v>295</v>
      </c>
      <c r="E303" s="35" t="s">
        <v>295</v>
      </c>
      <c r="F303" s="79" t="s">
        <v>1585</v>
      </c>
      <c r="G303" s="30" t="s">
        <v>1586</v>
      </c>
      <c r="H303" s="30" t="s">
        <v>1587</v>
      </c>
      <c r="I303" s="47" t="s">
        <v>5194</v>
      </c>
      <c r="J303" s="73">
        <v>22990650</v>
      </c>
      <c r="K303" s="23" t="s">
        <v>4385</v>
      </c>
      <c r="L303" s="60" t="s">
        <v>3289</v>
      </c>
      <c r="M303" s="60" t="s">
        <v>3289</v>
      </c>
      <c r="N303" s="60" t="s">
        <v>3291</v>
      </c>
      <c r="O303" s="60"/>
      <c r="P303" s="60" t="s">
        <v>5493</v>
      </c>
      <c r="Q303" s="20">
        <v>4</v>
      </c>
    </row>
    <row r="304" spans="1:17" ht="96" x14ac:dyDescent="0.2">
      <c r="A304" s="71">
        <v>303</v>
      </c>
      <c r="B304" s="107" t="str">
        <f>HYPERLINK("https://www.ncbi.nlm.nih.gov/gene/2247", "2247")</f>
        <v>2247</v>
      </c>
      <c r="C304" s="109" t="str">
        <f>HYPERLINK("https://www.uniprot.org/uniprot/P09038", "P09038")</f>
        <v>P09038</v>
      </c>
      <c r="D304" s="43" t="s">
        <v>296</v>
      </c>
      <c r="E304" s="35" t="s">
        <v>296</v>
      </c>
      <c r="F304" s="79" t="s">
        <v>1588</v>
      </c>
      <c r="G304" s="30" t="s">
        <v>1589</v>
      </c>
      <c r="H304" s="30" t="s">
        <v>1590</v>
      </c>
      <c r="I304" s="47" t="s">
        <v>2851</v>
      </c>
      <c r="J304" s="73">
        <v>21625473</v>
      </c>
      <c r="K304" s="23" t="s">
        <v>4386</v>
      </c>
      <c r="L304" s="60" t="s">
        <v>3305</v>
      </c>
      <c r="M304" s="60" t="s">
        <v>3289</v>
      </c>
      <c r="N304" s="60" t="s">
        <v>3291</v>
      </c>
      <c r="O304" s="60"/>
      <c r="P304" s="60" t="s">
        <v>3323</v>
      </c>
      <c r="Q304" s="20">
        <v>1</v>
      </c>
    </row>
    <row r="305" spans="1:17" ht="112" x14ac:dyDescent="0.2">
      <c r="A305" s="71">
        <v>304</v>
      </c>
      <c r="B305" s="107" t="str">
        <f>HYPERLINK("https://www.ncbi.nlm.nih.gov/gene/2263", "2263")</f>
        <v>2263</v>
      </c>
      <c r="C305" s="109" t="str">
        <f>HYPERLINK("https://www.uniprot.org/uniprot/P21802", "P21802")</f>
        <v>P21802</v>
      </c>
      <c r="D305" s="43" t="s">
        <v>297</v>
      </c>
      <c r="E305" s="35" t="s">
        <v>297</v>
      </c>
      <c r="F305" s="79" t="s">
        <v>1591</v>
      </c>
      <c r="G305" s="30" t="s">
        <v>1592</v>
      </c>
      <c r="H305" s="30" t="s">
        <v>1593</v>
      </c>
      <c r="I305" s="47" t="s">
        <v>5194</v>
      </c>
      <c r="J305" s="73">
        <v>23027129</v>
      </c>
      <c r="K305" s="23" t="s">
        <v>4387</v>
      </c>
      <c r="L305" s="60" t="s">
        <v>3289</v>
      </c>
      <c r="M305" s="60" t="s">
        <v>3289</v>
      </c>
      <c r="N305" s="60" t="s">
        <v>3291</v>
      </c>
      <c r="O305" s="60" t="s">
        <v>5509</v>
      </c>
      <c r="P305" s="60" t="s">
        <v>3323</v>
      </c>
      <c r="Q305" s="20">
        <v>1</v>
      </c>
    </row>
    <row r="306" spans="1:17" ht="144" x14ac:dyDescent="0.2">
      <c r="A306" s="71">
        <v>305</v>
      </c>
      <c r="B306" s="107" t="str">
        <f>HYPERLINK("https://www.ncbi.nlm.nih.gov/gene/2271", "2271")</f>
        <v>2271</v>
      </c>
      <c r="C306" s="109" t="str">
        <f>HYPERLINK("https://www.uniprot.org/uniprot/P07954", "P07954")</f>
        <v>P07954</v>
      </c>
      <c r="D306" s="43" t="s">
        <v>298</v>
      </c>
      <c r="E306" s="16" t="s">
        <v>298</v>
      </c>
      <c r="F306" s="11"/>
      <c r="G306" s="28" t="s">
        <v>1594</v>
      </c>
      <c r="H306" s="6" t="s">
        <v>4000</v>
      </c>
      <c r="I306" s="49" t="s">
        <v>5195</v>
      </c>
      <c r="J306" s="73" t="s">
        <v>3005</v>
      </c>
      <c r="K306" s="13" t="s">
        <v>3554</v>
      </c>
      <c r="L306" s="60" t="s">
        <v>3290</v>
      </c>
      <c r="M306" s="60" t="s">
        <v>3289</v>
      </c>
      <c r="N306" s="60" t="s">
        <v>3289</v>
      </c>
      <c r="O306" s="60"/>
      <c r="P306" s="60" t="s">
        <v>5494</v>
      </c>
      <c r="Q306" s="20">
        <v>5</v>
      </c>
    </row>
    <row r="307" spans="1:17" ht="80" x14ac:dyDescent="0.2">
      <c r="A307" s="71">
        <v>306</v>
      </c>
      <c r="B307" s="107" t="str">
        <f>HYPERLINK("https://www.ncbi.nlm.nih.gov/gene/2316", "2316")</f>
        <v>2316</v>
      </c>
      <c r="C307" s="109" t="str">
        <f>HYPERLINK("https://www.uniprot.org/uniprot/P21333", "P21333")</f>
        <v>P21333</v>
      </c>
      <c r="D307" s="43" t="s">
        <v>299</v>
      </c>
      <c r="E307" s="16" t="s">
        <v>299</v>
      </c>
      <c r="F307" s="11" t="s">
        <v>1595</v>
      </c>
      <c r="G307" s="28" t="s">
        <v>1596</v>
      </c>
      <c r="H307" s="6" t="s">
        <v>3336</v>
      </c>
      <c r="I307" s="49" t="s">
        <v>2826</v>
      </c>
      <c r="J307" s="73">
        <v>22051193</v>
      </c>
      <c r="K307" s="13" t="s">
        <v>3767</v>
      </c>
      <c r="L307" s="60" t="s">
        <v>3289</v>
      </c>
      <c r="M307" s="60" t="s">
        <v>3289</v>
      </c>
      <c r="N307" s="60" t="s">
        <v>3291</v>
      </c>
      <c r="O307" s="60"/>
      <c r="P307" s="60" t="s">
        <v>5495</v>
      </c>
      <c r="Q307" s="20">
        <v>2</v>
      </c>
    </row>
    <row r="308" spans="1:17" ht="96" x14ac:dyDescent="0.2">
      <c r="A308" s="71">
        <v>307</v>
      </c>
      <c r="B308" s="107" t="str">
        <f>HYPERLINK("https://www.ncbi.nlm.nih.gov/gene/2324", "2324")</f>
        <v>2324</v>
      </c>
      <c r="C308" s="109" t="str">
        <f>HYPERLINK("https://www.uniprot.org/uniprot/P35916", "P35916")</f>
        <v>P35916</v>
      </c>
      <c r="D308" s="43" t="s">
        <v>886</v>
      </c>
      <c r="E308" s="16" t="s">
        <v>886</v>
      </c>
      <c r="F308" s="74" t="s">
        <v>2766</v>
      </c>
      <c r="G308" s="28" t="s">
        <v>2767</v>
      </c>
      <c r="H308" s="28" t="s">
        <v>2768</v>
      </c>
      <c r="I308" s="31" t="s">
        <v>5196</v>
      </c>
      <c r="J308" s="73" t="s">
        <v>3275</v>
      </c>
      <c r="K308" s="23" t="s">
        <v>4388</v>
      </c>
      <c r="L308" s="60" t="s">
        <v>3290</v>
      </c>
      <c r="M308" s="60" t="s">
        <v>3290</v>
      </c>
      <c r="N308" s="60" t="s">
        <v>3292</v>
      </c>
      <c r="O308" s="60" t="s">
        <v>5509</v>
      </c>
      <c r="P308" s="60" t="s">
        <v>5494</v>
      </c>
      <c r="Q308" s="20">
        <v>5</v>
      </c>
    </row>
    <row r="309" spans="1:17" ht="176" x14ac:dyDescent="0.2">
      <c r="A309" s="71">
        <v>308</v>
      </c>
      <c r="B309" s="107" t="str">
        <f>HYPERLINK("https://www.ncbi.nlm.nih.gov/gene/2335", "2335")</f>
        <v>2335</v>
      </c>
      <c r="C309" s="109" t="str">
        <f>HYPERLINK("https://www.uniprot.org/uniprot/P02751", "P02751")</f>
        <v>P02751</v>
      </c>
      <c r="D309" s="43" t="s">
        <v>300</v>
      </c>
      <c r="E309" s="34" t="s">
        <v>300</v>
      </c>
      <c r="F309" s="91" t="s">
        <v>1597</v>
      </c>
      <c r="G309" s="28" t="s">
        <v>1598</v>
      </c>
      <c r="H309" s="28" t="s">
        <v>4001</v>
      </c>
      <c r="I309" s="31" t="s">
        <v>5197</v>
      </c>
      <c r="J309" s="73" t="s">
        <v>3842</v>
      </c>
      <c r="K309" s="23" t="s">
        <v>4389</v>
      </c>
      <c r="L309" s="60" t="s">
        <v>3289</v>
      </c>
      <c r="M309" s="60" t="s">
        <v>3289</v>
      </c>
      <c r="N309" s="60" t="s">
        <v>3289</v>
      </c>
      <c r="O309" s="60" t="s">
        <v>5509</v>
      </c>
      <c r="P309" s="60" t="s">
        <v>5493</v>
      </c>
      <c r="Q309" s="20">
        <v>4</v>
      </c>
    </row>
    <row r="310" spans="1:17" ht="80" x14ac:dyDescent="0.2">
      <c r="A310" s="71">
        <v>309</v>
      </c>
      <c r="B310" s="107" t="str">
        <f>HYPERLINK("https://www.ncbi.nlm.nih.gov/gene/2348", "2348")</f>
        <v>2348</v>
      </c>
      <c r="C310" s="109" t="str">
        <f>HYPERLINK("https://www.uniprot.org/uniprot/P15328", "P15328")</f>
        <v>P15328</v>
      </c>
      <c r="D310" s="43" t="s">
        <v>301</v>
      </c>
      <c r="E310" s="35" t="s">
        <v>301</v>
      </c>
      <c r="F310" s="79" t="s">
        <v>1599</v>
      </c>
      <c r="G310" s="30" t="s">
        <v>1600</v>
      </c>
      <c r="H310" s="30" t="s">
        <v>4002</v>
      </c>
      <c r="I310" s="47" t="s">
        <v>3844</v>
      </c>
      <c r="J310" s="73">
        <v>29433550</v>
      </c>
      <c r="K310" s="23" t="s">
        <v>4390</v>
      </c>
      <c r="L310" s="60" t="s">
        <v>3292</v>
      </c>
      <c r="M310" s="60" t="s">
        <v>3292</v>
      </c>
      <c r="N310" s="60" t="s">
        <v>3291</v>
      </c>
      <c r="O310" s="60"/>
      <c r="P310" s="60" t="s">
        <v>5493</v>
      </c>
      <c r="Q310" s="20">
        <v>4</v>
      </c>
    </row>
    <row r="311" spans="1:17" ht="64" x14ac:dyDescent="0.2">
      <c r="A311" s="71">
        <v>310</v>
      </c>
      <c r="B311" s="107" t="str">
        <f>HYPERLINK("https://www.ncbi.nlm.nih.gov/gene/2350", "2350")</f>
        <v>2350</v>
      </c>
      <c r="C311" s="109" t="str">
        <f>HYPERLINK("https://www.uniprot.org/uniprot/P14207", "P14207")</f>
        <v>P14207</v>
      </c>
      <c r="D311" s="43" t="s">
        <v>302</v>
      </c>
      <c r="E311" s="35" t="s">
        <v>302</v>
      </c>
      <c r="F311" s="79"/>
      <c r="G311" s="30" t="s">
        <v>1601</v>
      </c>
      <c r="H311" s="30" t="s">
        <v>4002</v>
      </c>
      <c r="I311" s="47" t="s">
        <v>5166</v>
      </c>
      <c r="J311" s="73">
        <v>21571862</v>
      </c>
      <c r="K311" s="23" t="s">
        <v>4391</v>
      </c>
      <c r="L311" s="60" t="s">
        <v>3289</v>
      </c>
      <c r="M311" s="60" t="s">
        <v>3289</v>
      </c>
      <c r="N311" s="60" t="s">
        <v>3291</v>
      </c>
      <c r="O311" s="60"/>
      <c r="P311" s="60" t="s">
        <v>3323</v>
      </c>
      <c r="Q311" s="20">
        <v>1</v>
      </c>
    </row>
    <row r="312" spans="1:17" ht="112" x14ac:dyDescent="0.2">
      <c r="A312" s="71">
        <v>311</v>
      </c>
      <c r="B312" s="107" t="str">
        <f>HYPERLINK("https://www.ncbi.nlm.nih.gov/gene/2353", "2353")</f>
        <v>2353</v>
      </c>
      <c r="C312" s="109" t="str">
        <f>HYPERLINK("https://www.uniprot.org/uniprot/P01100", "P01100")</f>
        <v>P01100</v>
      </c>
      <c r="D312" s="43" t="s">
        <v>303</v>
      </c>
      <c r="E312" s="35" t="s">
        <v>303</v>
      </c>
      <c r="F312" s="79"/>
      <c r="G312" s="30" t="s">
        <v>1602</v>
      </c>
      <c r="H312" s="30" t="s">
        <v>1603</v>
      </c>
      <c r="I312" s="47" t="s">
        <v>5198</v>
      </c>
      <c r="J312" s="73" t="s">
        <v>3645</v>
      </c>
      <c r="K312" s="23" t="s">
        <v>4392</v>
      </c>
      <c r="L312" s="60" t="s">
        <v>3290</v>
      </c>
      <c r="M312" s="60" t="s">
        <v>3289</v>
      </c>
      <c r="N312" s="60" t="s">
        <v>3308</v>
      </c>
      <c r="O312" s="60"/>
      <c r="P312" s="60" t="s">
        <v>5493</v>
      </c>
      <c r="Q312" s="20">
        <v>4</v>
      </c>
    </row>
    <row r="313" spans="1:17" ht="80" x14ac:dyDescent="0.2">
      <c r="A313" s="71">
        <v>312</v>
      </c>
      <c r="B313" s="107" t="str">
        <f>HYPERLINK("https://www.ncbi.nlm.nih.gov/gene/2354", "2354")</f>
        <v>2354</v>
      </c>
      <c r="C313" s="109" t="str">
        <f>HYPERLINK("https://www.uniprot.org/uniprot/P53539", "P53539")</f>
        <v>P53539</v>
      </c>
      <c r="D313" s="43" t="s">
        <v>304</v>
      </c>
      <c r="E313" s="35" t="s">
        <v>304</v>
      </c>
      <c r="F313" s="79" t="s">
        <v>1604</v>
      </c>
      <c r="G313" s="30" t="s">
        <v>4986</v>
      </c>
      <c r="H313" s="30" t="s">
        <v>1605</v>
      </c>
      <c r="I313" s="47" t="s">
        <v>5198</v>
      </c>
      <c r="J313" s="73" t="s">
        <v>3006</v>
      </c>
      <c r="K313" s="23" t="s">
        <v>4393</v>
      </c>
      <c r="L313" s="60" t="s">
        <v>3290</v>
      </c>
      <c r="M313" s="60" t="s">
        <v>3289</v>
      </c>
      <c r="N313" s="60" t="s">
        <v>3289</v>
      </c>
      <c r="O313" s="60"/>
      <c r="P313" s="60" t="s">
        <v>5493</v>
      </c>
      <c r="Q313" s="20">
        <v>4</v>
      </c>
    </row>
    <row r="314" spans="1:17" ht="80" x14ac:dyDescent="0.2">
      <c r="A314" s="71">
        <v>313</v>
      </c>
      <c r="B314" s="107" t="str">
        <f>HYPERLINK("https://www.ncbi.nlm.nih.gov/gene/8061", "8061")</f>
        <v>8061</v>
      </c>
      <c r="C314" s="109" t="str">
        <f>HYPERLINK("https://www.uniprot.org/uniprot/P15407", "P15407")</f>
        <v>P15407</v>
      </c>
      <c r="D314" s="43" t="s">
        <v>305</v>
      </c>
      <c r="E314" s="35" t="s">
        <v>305</v>
      </c>
      <c r="F314" s="79" t="s">
        <v>1606</v>
      </c>
      <c r="G314" s="30" t="s">
        <v>4987</v>
      </c>
      <c r="H314" s="30" t="s">
        <v>1605</v>
      </c>
      <c r="I314" s="47" t="s">
        <v>2848</v>
      </c>
      <c r="J314" s="73" t="s">
        <v>3007</v>
      </c>
      <c r="K314" s="23" t="s">
        <v>4394</v>
      </c>
      <c r="L314" s="60" t="s">
        <v>3289</v>
      </c>
      <c r="M314" s="60" t="s">
        <v>3289</v>
      </c>
      <c r="N314" s="60" t="s">
        <v>3291</v>
      </c>
      <c r="O314" s="60"/>
      <c r="P314" s="60" t="s">
        <v>5493</v>
      </c>
      <c r="Q314" s="20">
        <v>4</v>
      </c>
    </row>
    <row r="315" spans="1:17" ht="96" x14ac:dyDescent="0.2">
      <c r="A315" s="71">
        <v>314</v>
      </c>
      <c r="B315" s="107" t="str">
        <f>HYPERLINK("https://www.ncbi.nlm.nih.gov/gene/2303", "2303")</f>
        <v>2303</v>
      </c>
      <c r="C315" s="109" t="str">
        <f>HYPERLINK("https://www.uniprot.org/uniprot/Q99958", "Q99958")</f>
        <v>Q99958</v>
      </c>
      <c r="D315" s="43" t="s">
        <v>306</v>
      </c>
      <c r="E315" s="35" t="s">
        <v>306</v>
      </c>
      <c r="F315" s="79" t="s">
        <v>1607</v>
      </c>
      <c r="G315" s="30" t="s">
        <v>1608</v>
      </c>
      <c r="H315" s="30" t="s">
        <v>1609</v>
      </c>
      <c r="I315" s="47" t="s">
        <v>5199</v>
      </c>
      <c r="J315" s="73">
        <v>27336949</v>
      </c>
      <c r="K315" s="23" t="s">
        <v>4395</v>
      </c>
      <c r="L315" s="60" t="s">
        <v>3289</v>
      </c>
      <c r="M315" s="60" t="s">
        <v>3289</v>
      </c>
      <c r="N315" s="60" t="s">
        <v>3291</v>
      </c>
      <c r="O315" s="60"/>
      <c r="P315" s="60" t="s">
        <v>5499</v>
      </c>
      <c r="Q315" s="20">
        <v>5</v>
      </c>
    </row>
    <row r="316" spans="1:17" ht="48" x14ac:dyDescent="0.2">
      <c r="A316" s="71">
        <v>315</v>
      </c>
      <c r="B316" s="107" t="str">
        <f>HYPERLINK("https://www.ncbi.nlm.nih.gov/gene/2305", "2305")</f>
        <v>2305</v>
      </c>
      <c r="C316" s="109" t="str">
        <f>HYPERLINK("https://www.uniprot.org/uniprot/Q08050", "Q08050")</f>
        <v>Q08050</v>
      </c>
      <c r="D316" s="43" t="s">
        <v>307</v>
      </c>
      <c r="E316" s="35" t="s">
        <v>307</v>
      </c>
      <c r="F316" s="79" t="s">
        <v>1610</v>
      </c>
      <c r="G316" s="30" t="s">
        <v>1611</v>
      </c>
      <c r="H316" s="30" t="s">
        <v>1612</v>
      </c>
      <c r="I316" s="47" t="s">
        <v>3332</v>
      </c>
      <c r="J316" s="73">
        <v>24824601</v>
      </c>
      <c r="K316" s="23" t="s">
        <v>4396</v>
      </c>
      <c r="L316" s="60" t="s">
        <v>3289</v>
      </c>
      <c r="M316" s="60" t="s">
        <v>3289</v>
      </c>
      <c r="N316" s="60" t="s">
        <v>3291</v>
      </c>
      <c r="O316" s="60"/>
      <c r="P316" s="60" t="s">
        <v>5492</v>
      </c>
      <c r="Q316" s="20">
        <v>4</v>
      </c>
    </row>
    <row r="317" spans="1:17" ht="144" x14ac:dyDescent="0.2">
      <c r="A317" s="71">
        <v>316</v>
      </c>
      <c r="B317" s="107" t="str">
        <f>HYPERLINK("https://www.ncbi.nlm.nih.gov/gene/2308", "2308")</f>
        <v>2308</v>
      </c>
      <c r="C317" s="109" t="str">
        <f>HYPERLINK("https://www.uniprot.org/uniprot/Q12778", "Q12778")</f>
        <v>Q12778</v>
      </c>
      <c r="D317" s="43" t="s">
        <v>308</v>
      </c>
      <c r="E317" s="35" t="s">
        <v>308</v>
      </c>
      <c r="F317" s="79" t="s">
        <v>1613</v>
      </c>
      <c r="G317" s="30" t="s">
        <v>1614</v>
      </c>
      <c r="H317" s="30" t="s">
        <v>4003</v>
      </c>
      <c r="I317" s="47" t="s">
        <v>5200</v>
      </c>
      <c r="J317" s="73" t="s">
        <v>3008</v>
      </c>
      <c r="K317" s="23" t="s">
        <v>4397</v>
      </c>
      <c r="L317" s="60" t="s">
        <v>3290</v>
      </c>
      <c r="M317" s="60" t="s">
        <v>3290</v>
      </c>
      <c r="N317" s="60" t="s">
        <v>3289</v>
      </c>
      <c r="O317" s="60"/>
      <c r="P317" s="60" t="s">
        <v>5493</v>
      </c>
      <c r="Q317" s="20">
        <v>4</v>
      </c>
    </row>
    <row r="318" spans="1:17" ht="160" x14ac:dyDescent="0.2">
      <c r="A318" s="71">
        <v>317</v>
      </c>
      <c r="B318" s="107" t="str">
        <f>HYPERLINK("https://www.ncbi.nlm.nih.gov/gene/2309", "2309")</f>
        <v>2309</v>
      </c>
      <c r="C318" s="109" t="str">
        <f>HYPERLINK("https://www.uniprot.org/uniprot/O43524", "O43524")</f>
        <v>O43524</v>
      </c>
      <c r="D318" s="43" t="s">
        <v>309</v>
      </c>
      <c r="E318" s="16" t="s">
        <v>309</v>
      </c>
      <c r="F318" s="74" t="s">
        <v>1615</v>
      </c>
      <c r="G318" s="28" t="s">
        <v>1616</v>
      </c>
      <c r="H318" s="28" t="s">
        <v>1617</v>
      </c>
      <c r="I318" s="31" t="s">
        <v>5201</v>
      </c>
      <c r="J318" s="73" t="s">
        <v>3009</v>
      </c>
      <c r="K318" s="30" t="s">
        <v>4398</v>
      </c>
      <c r="L318" s="60" t="s">
        <v>5514</v>
      </c>
      <c r="M318" s="60" t="s">
        <v>3296</v>
      </c>
      <c r="N318" s="60" t="s">
        <v>5515</v>
      </c>
      <c r="O318" s="60"/>
      <c r="P318" s="60" t="s">
        <v>5493</v>
      </c>
      <c r="Q318" s="20">
        <v>5</v>
      </c>
    </row>
    <row r="319" spans="1:17" ht="176" x14ac:dyDescent="0.2">
      <c r="A319" s="71">
        <v>318</v>
      </c>
      <c r="B319" s="107" t="str">
        <f>HYPERLINK("https://www.ncbi.nlm.nih.gov/gene/27086", "27086")</f>
        <v>27086</v>
      </c>
      <c r="C319" s="109" t="str">
        <f>HYPERLINK("https://www.uniprot.org/uniprot/Q9H334", "Q9H334")</f>
        <v>Q9H334</v>
      </c>
      <c r="D319" s="43" t="s">
        <v>310</v>
      </c>
      <c r="E319" s="35" t="s">
        <v>310</v>
      </c>
      <c r="F319" s="79" t="s">
        <v>1618</v>
      </c>
      <c r="G319" s="30" t="s">
        <v>1619</v>
      </c>
      <c r="H319" s="30" t="s">
        <v>3357</v>
      </c>
      <c r="I319" s="47" t="s">
        <v>5202</v>
      </c>
      <c r="J319" s="73" t="s">
        <v>3010</v>
      </c>
      <c r="K319" s="23" t="s">
        <v>4399</v>
      </c>
      <c r="L319" s="60" t="s">
        <v>5516</v>
      </c>
      <c r="M319" s="60" t="s">
        <v>3290</v>
      </c>
      <c r="N319" s="60" t="s">
        <v>3291</v>
      </c>
      <c r="O319" s="60"/>
      <c r="P319" s="60" t="s">
        <v>5494</v>
      </c>
      <c r="Q319" s="20">
        <v>5</v>
      </c>
    </row>
    <row r="320" spans="1:17" ht="96" x14ac:dyDescent="0.2">
      <c r="A320" s="71">
        <v>319</v>
      </c>
      <c r="B320" s="107" t="str">
        <f>HYPERLINK("https://www.ncbi.nlm.nih.gov/gene/11167", "11167")</f>
        <v>11167</v>
      </c>
      <c r="C320" s="109" t="str">
        <f>HYPERLINK("https://www.uniprot.org/uniprot/Q12841", "Q12841")</f>
        <v>Q12841</v>
      </c>
      <c r="D320" s="43" t="s">
        <v>311</v>
      </c>
      <c r="E320" s="35" t="s">
        <v>311</v>
      </c>
      <c r="F320" s="79" t="s">
        <v>1620</v>
      </c>
      <c r="G320" s="30" t="s">
        <v>1621</v>
      </c>
      <c r="H320" s="30" t="s">
        <v>1622</v>
      </c>
      <c r="I320" s="47" t="s">
        <v>5075</v>
      </c>
      <c r="J320" s="73">
        <v>28883005</v>
      </c>
      <c r="K320" s="30" t="s">
        <v>4400</v>
      </c>
      <c r="L320" s="60" t="s">
        <v>3289</v>
      </c>
      <c r="M320" s="60" t="s">
        <v>3289</v>
      </c>
      <c r="N320" s="60" t="s">
        <v>3291</v>
      </c>
      <c r="O320" s="60"/>
      <c r="P320" s="60" t="s">
        <v>3323</v>
      </c>
      <c r="Q320" s="20">
        <v>1</v>
      </c>
    </row>
    <row r="321" spans="1:17" ht="64" x14ac:dyDescent="0.2">
      <c r="A321" s="71">
        <v>320</v>
      </c>
      <c r="B321" s="107" t="str">
        <f>HYPERLINK("https://www.ncbi.nlm.nih.gov/gene/8880", "8880")</f>
        <v>8880</v>
      </c>
      <c r="C321" s="109" t="str">
        <f>HYPERLINK("https://www.uniprot.org/uniprot/Q96AE4", "Q96AE4")</f>
        <v>Q96AE4</v>
      </c>
      <c r="D321" s="43" t="s">
        <v>312</v>
      </c>
      <c r="E321" s="35" t="s">
        <v>312</v>
      </c>
      <c r="F321" s="79" t="s">
        <v>1623</v>
      </c>
      <c r="G321" s="30" t="s">
        <v>1624</v>
      </c>
      <c r="H321" s="30" t="s">
        <v>4004</v>
      </c>
      <c r="I321" s="47" t="s">
        <v>5203</v>
      </c>
      <c r="J321" s="73">
        <v>29113212</v>
      </c>
      <c r="K321" s="23" t="s">
        <v>4401</v>
      </c>
      <c r="L321" s="60" t="s">
        <v>3289</v>
      </c>
      <c r="M321" s="60" t="s">
        <v>3289</v>
      </c>
      <c r="N321" s="60" t="s">
        <v>3292</v>
      </c>
      <c r="O321" s="60"/>
      <c r="P321" s="60" t="s">
        <v>5492</v>
      </c>
      <c r="Q321" s="20">
        <v>4</v>
      </c>
    </row>
    <row r="322" spans="1:17" ht="80" x14ac:dyDescent="0.2">
      <c r="A322" s="71">
        <v>321</v>
      </c>
      <c r="B322" s="107" t="str">
        <f>HYPERLINK("https://www.ncbi.nlm.nih.gov/gene/8325", "8325")</f>
        <v>8325</v>
      </c>
      <c r="C322" s="111" t="str">
        <f>HYPERLINK("https://www.uniprot.org/uniprot/Q9H461", "Q9H461")</f>
        <v>Q9H461</v>
      </c>
      <c r="D322" s="43" t="s">
        <v>313</v>
      </c>
      <c r="E322" s="35" t="s">
        <v>313</v>
      </c>
      <c r="F322" s="79"/>
      <c r="G322" s="30" t="s">
        <v>1625</v>
      </c>
      <c r="H322" s="30" t="s">
        <v>1626</v>
      </c>
      <c r="I322" s="47" t="s">
        <v>2831</v>
      </c>
      <c r="J322" s="73" t="s">
        <v>3011</v>
      </c>
      <c r="K322" s="23" t="s">
        <v>4402</v>
      </c>
      <c r="L322" s="60" t="s">
        <v>3289</v>
      </c>
      <c r="M322" s="60" t="s">
        <v>3289</v>
      </c>
      <c r="N322" s="105" t="s">
        <v>3289</v>
      </c>
      <c r="O322" s="105"/>
      <c r="P322" s="105" t="s">
        <v>5495</v>
      </c>
      <c r="Q322" s="20">
        <v>2</v>
      </c>
    </row>
    <row r="323" spans="1:17" ht="128" x14ac:dyDescent="0.2">
      <c r="A323" s="71">
        <v>322</v>
      </c>
      <c r="B323" s="107" t="str">
        <f>HYPERLINK("https://www.ncbi.nlm.nih.gov/gene/2539", "2539")</f>
        <v>2539</v>
      </c>
      <c r="C323" s="109" t="str">
        <f>HYPERLINK("https://www.uniprot.org/uniprot/P11413", "P11413")</f>
        <v>P11413</v>
      </c>
      <c r="D323" s="43" t="s">
        <v>314</v>
      </c>
      <c r="E323" s="35" t="s">
        <v>314</v>
      </c>
      <c r="F323" s="79"/>
      <c r="G323" s="30" t="s">
        <v>1627</v>
      </c>
      <c r="H323" s="30" t="s">
        <v>1628</v>
      </c>
      <c r="I323" s="47" t="s">
        <v>5204</v>
      </c>
      <c r="J323" s="73" t="s">
        <v>3863</v>
      </c>
      <c r="K323" s="23" t="s">
        <v>4403</v>
      </c>
      <c r="L323" s="60" t="s">
        <v>3289</v>
      </c>
      <c r="M323" s="60" t="s">
        <v>3289</v>
      </c>
      <c r="N323" s="60" t="s">
        <v>3291</v>
      </c>
      <c r="O323" s="60"/>
      <c r="P323" s="60" t="s">
        <v>5493</v>
      </c>
      <c r="Q323" s="20">
        <v>4</v>
      </c>
    </row>
    <row r="324" spans="1:17" ht="96" x14ac:dyDescent="0.2">
      <c r="A324" s="71">
        <v>323</v>
      </c>
      <c r="B324" s="107" t="str">
        <f>HYPERLINK("https://www.ncbi.nlm.nih.gov/gene/2551", "2551")</f>
        <v>2551</v>
      </c>
      <c r="C324" s="109" t="str">
        <f>HYPERLINK("https://www.uniprot.org/uniprot/Q06546", "Q06546")</f>
        <v>Q06546</v>
      </c>
      <c r="D324" s="43" t="s">
        <v>315</v>
      </c>
      <c r="E324" s="35" t="s">
        <v>315</v>
      </c>
      <c r="F324" s="79" t="s">
        <v>1629</v>
      </c>
      <c r="G324" s="30" t="s">
        <v>1630</v>
      </c>
      <c r="H324" s="30" t="s">
        <v>1631</v>
      </c>
      <c r="I324" s="47" t="s">
        <v>5205</v>
      </c>
      <c r="J324" s="73">
        <v>31802036</v>
      </c>
      <c r="K324" s="23" t="s">
        <v>4404</v>
      </c>
      <c r="L324" s="60" t="s">
        <v>3290</v>
      </c>
      <c r="M324" s="60" t="s">
        <v>3292</v>
      </c>
      <c r="N324" s="60" t="s">
        <v>3291</v>
      </c>
      <c r="O324" s="60"/>
      <c r="P324" s="60" t="s">
        <v>3323</v>
      </c>
      <c r="Q324" s="20">
        <v>1</v>
      </c>
    </row>
    <row r="325" spans="1:17" ht="112" x14ac:dyDescent="0.2">
      <c r="A325" s="71">
        <v>324</v>
      </c>
      <c r="B325" s="107" t="str">
        <f>HYPERLINK("https://www.ncbi.nlm.nih.gov/gene/1647", "1647")</f>
        <v>1647</v>
      </c>
      <c r="C325" s="109" t="str">
        <f>HYPERLINK("https://www.uniprot.org/uniprot/P24522", "P24522")</f>
        <v>P24522</v>
      </c>
      <c r="D325" s="43" t="s">
        <v>316</v>
      </c>
      <c r="E325" s="16" t="s">
        <v>316</v>
      </c>
      <c r="F325" s="74" t="s">
        <v>1632</v>
      </c>
      <c r="G325" s="28" t="s">
        <v>1633</v>
      </c>
      <c r="H325" s="28" t="s">
        <v>4005</v>
      </c>
      <c r="I325" s="31" t="s">
        <v>5206</v>
      </c>
      <c r="J325" s="73" t="s">
        <v>3012</v>
      </c>
      <c r="K325" s="23" t="s">
        <v>4405</v>
      </c>
      <c r="L325" s="60" t="s">
        <v>3289</v>
      </c>
      <c r="M325" s="60" t="s">
        <v>3289</v>
      </c>
      <c r="N325" s="60" t="s">
        <v>3291</v>
      </c>
      <c r="O325" s="60"/>
      <c r="P325" s="60" t="s">
        <v>5493</v>
      </c>
      <c r="Q325" s="20">
        <v>4</v>
      </c>
    </row>
    <row r="326" spans="1:17" ht="96" x14ac:dyDescent="0.2">
      <c r="A326" s="71">
        <v>325</v>
      </c>
      <c r="B326" s="107" t="str">
        <f>HYPERLINK("https://www.ncbi.nlm.nih.gov/gene/90480", "90480")</f>
        <v>90480</v>
      </c>
      <c r="C326" s="109" t="str">
        <f>HYPERLINK("https://www.uniprot.org/uniprot/Q8TAE8", "Q8TAE8")</f>
        <v>Q8TAE8</v>
      </c>
      <c r="D326" s="43" t="s">
        <v>317</v>
      </c>
      <c r="E326" s="35" t="s">
        <v>317</v>
      </c>
      <c r="F326" s="79" t="s">
        <v>1634</v>
      </c>
      <c r="G326" s="30" t="s">
        <v>1635</v>
      </c>
      <c r="H326" s="30" t="s">
        <v>4406</v>
      </c>
      <c r="I326" s="47" t="s">
        <v>2846</v>
      </c>
      <c r="J326" s="73">
        <v>28599472</v>
      </c>
      <c r="K326" s="23" t="s">
        <v>4407</v>
      </c>
      <c r="L326" s="60" t="s">
        <v>3292</v>
      </c>
      <c r="M326" s="60" t="s">
        <v>3292</v>
      </c>
      <c r="N326" s="60" t="s">
        <v>3289</v>
      </c>
      <c r="O326" s="60"/>
      <c r="P326" s="60" t="s">
        <v>5493</v>
      </c>
      <c r="Q326" s="20">
        <v>4</v>
      </c>
    </row>
    <row r="327" spans="1:17" ht="96" x14ac:dyDescent="0.2">
      <c r="A327" s="71">
        <v>326</v>
      </c>
      <c r="B327" s="107" t="str">
        <f>HYPERLINK("https://www.ncbi.nlm.nih.gov/gene/2621", "2621")</f>
        <v>2621</v>
      </c>
      <c r="C327" s="109" t="str">
        <f>HYPERLINK("https://www.uniprot.org/uniprot/Q14393", "Q14393")</f>
        <v>Q14393</v>
      </c>
      <c r="D327" s="43" t="s">
        <v>318</v>
      </c>
      <c r="E327" s="16" t="s">
        <v>318</v>
      </c>
      <c r="F327" s="11"/>
      <c r="G327" s="28" t="s">
        <v>1636</v>
      </c>
      <c r="H327" s="6" t="s">
        <v>4006</v>
      </c>
      <c r="I327" s="49" t="s">
        <v>5075</v>
      </c>
      <c r="J327" s="73">
        <v>27876874</v>
      </c>
      <c r="K327" s="13" t="s">
        <v>3013</v>
      </c>
      <c r="L327" s="60" t="s">
        <v>3289</v>
      </c>
      <c r="M327" s="60" t="s">
        <v>3289</v>
      </c>
      <c r="N327" s="60" t="s">
        <v>3291</v>
      </c>
      <c r="O327" s="60"/>
      <c r="P327" s="60" t="s">
        <v>5493</v>
      </c>
      <c r="Q327" s="20">
        <v>4</v>
      </c>
    </row>
    <row r="328" spans="1:17" ht="80" x14ac:dyDescent="0.2">
      <c r="A328" s="71">
        <v>327</v>
      </c>
      <c r="B328" s="107" t="str">
        <f>HYPERLINK("https://www.ncbi.nlm.nih.gov/gene/2729", "2729")</f>
        <v>2729</v>
      </c>
      <c r="C328" s="109" t="str">
        <f>HYPERLINK("https://www.uniprot.org/uniprot/P48506", "P48506")</f>
        <v>P48506</v>
      </c>
      <c r="D328" s="43" t="s">
        <v>319</v>
      </c>
      <c r="E328" s="16" t="s">
        <v>319</v>
      </c>
      <c r="F328" s="74" t="s">
        <v>1637</v>
      </c>
      <c r="G328" s="28" t="s">
        <v>1638</v>
      </c>
      <c r="H328" s="28" t="s">
        <v>3690</v>
      </c>
      <c r="I328" s="31" t="s">
        <v>3378</v>
      </c>
      <c r="J328" s="73" t="s">
        <v>3014</v>
      </c>
      <c r="K328" s="23" t="s">
        <v>4408</v>
      </c>
      <c r="L328" s="60" t="s">
        <v>3289</v>
      </c>
      <c r="M328" s="60" t="s">
        <v>3289</v>
      </c>
      <c r="N328" s="60" t="s">
        <v>3291</v>
      </c>
      <c r="O328" s="60"/>
      <c r="P328" s="60" t="s">
        <v>5493</v>
      </c>
      <c r="Q328" s="20">
        <v>4</v>
      </c>
    </row>
    <row r="329" spans="1:17" ht="112" x14ac:dyDescent="0.2">
      <c r="A329" s="71">
        <v>328</v>
      </c>
      <c r="B329" s="107" t="str">
        <f>HYPERLINK("https://www.ncbi.nlm.nih.gov/gene/2730", "2730")</f>
        <v>2730</v>
      </c>
      <c r="C329" s="109" t="str">
        <f>HYPERLINK("https://www.uniprot.org/uniprot/P48507", "P48507")</f>
        <v>P48507</v>
      </c>
      <c r="D329" s="43" t="s">
        <v>320</v>
      </c>
      <c r="E329" s="16" t="s">
        <v>320</v>
      </c>
      <c r="F329" s="74" t="s">
        <v>1639</v>
      </c>
      <c r="G329" s="28" t="s">
        <v>1640</v>
      </c>
      <c r="H329" s="28" t="s">
        <v>1641</v>
      </c>
      <c r="I329" s="31" t="s">
        <v>3378</v>
      </c>
      <c r="J329" s="73" t="s">
        <v>3015</v>
      </c>
      <c r="K329" s="23" t="s">
        <v>4409</v>
      </c>
      <c r="L329" s="60" t="s">
        <v>3289</v>
      </c>
      <c r="M329" s="60" t="s">
        <v>3289</v>
      </c>
      <c r="N329" s="60" t="s">
        <v>3291</v>
      </c>
      <c r="O329" s="60"/>
      <c r="P329" s="60" t="s">
        <v>5495</v>
      </c>
      <c r="Q329" s="20">
        <v>2</v>
      </c>
    </row>
    <row r="330" spans="1:17" ht="112" x14ac:dyDescent="0.2">
      <c r="A330" s="71">
        <v>329</v>
      </c>
      <c r="B330" s="107" t="str">
        <f>HYPERLINK("https://www.ncbi.nlm.nih.gov/gene/9518", "9518")</f>
        <v>9518</v>
      </c>
      <c r="C330" s="109" t="str">
        <f>HYPERLINK("https://www.uniprot.org/uniprot/Q99988", "Q99988")</f>
        <v>Q99988</v>
      </c>
      <c r="D330" s="43" t="s">
        <v>321</v>
      </c>
      <c r="E330" s="35" t="s">
        <v>321</v>
      </c>
      <c r="F330" s="79" t="s">
        <v>1642</v>
      </c>
      <c r="G330" s="30" t="s">
        <v>1643</v>
      </c>
      <c r="H330" s="30" t="s">
        <v>4895</v>
      </c>
      <c r="I330" s="47" t="s">
        <v>5207</v>
      </c>
      <c r="J330" s="73" t="s">
        <v>3016</v>
      </c>
      <c r="K330" s="23" t="s">
        <v>4410</v>
      </c>
      <c r="L330" s="60" t="s">
        <v>3289</v>
      </c>
      <c r="M330" s="60" t="s">
        <v>3289</v>
      </c>
      <c r="N330" s="60" t="s">
        <v>3289</v>
      </c>
      <c r="O330" s="60"/>
      <c r="P330" s="60" t="s">
        <v>5494</v>
      </c>
      <c r="Q330" s="20">
        <v>4</v>
      </c>
    </row>
    <row r="331" spans="1:17" ht="64" x14ac:dyDescent="0.2">
      <c r="A331" s="71">
        <v>330</v>
      </c>
      <c r="B331" s="107" t="str">
        <f>HYPERLINK("https://www.ncbi.nlm.nih.gov/gene/2674", "2674")</f>
        <v>2674</v>
      </c>
      <c r="C331" s="109" t="str">
        <f>HYPERLINK("https://www.uniprot.org/uniprot/P56159", "P56159")</f>
        <v>P56159</v>
      </c>
      <c r="D331" s="43" t="s">
        <v>322</v>
      </c>
      <c r="E331" s="16" t="s">
        <v>322</v>
      </c>
      <c r="F331" s="74" t="s">
        <v>1644</v>
      </c>
      <c r="G331" s="28" t="s">
        <v>1645</v>
      </c>
      <c r="H331" s="28" t="s">
        <v>1646</v>
      </c>
      <c r="I331" s="31" t="s">
        <v>5208</v>
      </c>
      <c r="J331" s="73" t="s">
        <v>3017</v>
      </c>
      <c r="K331" s="23" t="s">
        <v>4411</v>
      </c>
      <c r="L331" s="60" t="s">
        <v>3289</v>
      </c>
      <c r="M331" s="60" t="s">
        <v>3289</v>
      </c>
      <c r="N331" s="60" t="s">
        <v>3291</v>
      </c>
      <c r="O331" s="60"/>
      <c r="P331" s="60" t="s">
        <v>5493</v>
      </c>
      <c r="Q331" s="20">
        <v>4</v>
      </c>
    </row>
    <row r="332" spans="1:17" ht="96" x14ac:dyDescent="0.2">
      <c r="A332" s="71">
        <v>331</v>
      </c>
      <c r="B332" s="107" t="str">
        <f>HYPERLINK("https://www.ncbi.nlm.nih.gov/gene/79893", "79893")</f>
        <v>79893</v>
      </c>
      <c r="C332" s="109" t="str">
        <f>HYPERLINK("https://www.uniprot.org/uniprot/Q9H3C7", "Q9H3C7")</f>
        <v>Q9H3C7</v>
      </c>
      <c r="D332" s="43" t="s">
        <v>323</v>
      </c>
      <c r="E332" s="35" t="s">
        <v>323</v>
      </c>
      <c r="F332" s="79" t="s">
        <v>1647</v>
      </c>
      <c r="G332" s="30" t="s">
        <v>1648</v>
      </c>
      <c r="H332" s="30" t="s">
        <v>4007</v>
      </c>
      <c r="I332" s="47" t="s">
        <v>5209</v>
      </c>
      <c r="J332" s="73">
        <v>24842157</v>
      </c>
      <c r="K332" s="23" t="s">
        <v>4412</v>
      </c>
      <c r="L332" s="60" t="s">
        <v>3292</v>
      </c>
      <c r="M332" s="60" t="s">
        <v>3292</v>
      </c>
      <c r="N332" s="60" t="s">
        <v>3291</v>
      </c>
      <c r="O332" s="60"/>
      <c r="P332" s="60" t="s">
        <v>5492</v>
      </c>
      <c r="Q332" s="20">
        <v>4</v>
      </c>
    </row>
    <row r="333" spans="1:17" ht="128" x14ac:dyDescent="0.2">
      <c r="A333" s="71">
        <v>332</v>
      </c>
      <c r="B333" s="107" t="str">
        <f>HYPERLINK("https://www.ncbi.nlm.nih.gov/gene/2678", "2678")</f>
        <v>2678</v>
      </c>
      <c r="C333" s="111" t="str">
        <f>HYPERLINK("https://www.uniprot.org/uniprot/P19440", "P19440")</f>
        <v>P19440</v>
      </c>
      <c r="D333" s="43" t="s">
        <v>324</v>
      </c>
      <c r="E333" s="35" t="s">
        <v>324</v>
      </c>
      <c r="F333" s="79" t="s">
        <v>1649</v>
      </c>
      <c r="G333" s="30" t="s">
        <v>1650</v>
      </c>
      <c r="H333" s="30" t="s">
        <v>1651</v>
      </c>
      <c r="I333" s="47" t="s">
        <v>3378</v>
      </c>
      <c r="J333" s="73" t="s">
        <v>3018</v>
      </c>
      <c r="K333" s="23" t="s">
        <v>4413</v>
      </c>
      <c r="L333" s="60" t="s">
        <v>3291</v>
      </c>
      <c r="M333" s="60" t="s">
        <v>3289</v>
      </c>
      <c r="N333" s="60" t="s">
        <v>3289</v>
      </c>
      <c r="O333" s="60"/>
      <c r="P333" s="60" t="s">
        <v>3323</v>
      </c>
      <c r="Q333" s="20">
        <v>1</v>
      </c>
    </row>
    <row r="334" spans="1:17" ht="144" x14ac:dyDescent="0.2">
      <c r="A334" s="71">
        <v>333</v>
      </c>
      <c r="B334" s="107" t="str">
        <f>HYPERLINK("https://www.ncbi.nlm.nih.gov/gene/2697", "2697")</f>
        <v>2697</v>
      </c>
      <c r="C334" s="109" t="str">
        <f>HYPERLINK("https://www.uniprot.org/uniprot/P17302", "P17302")</f>
        <v>P17302</v>
      </c>
      <c r="D334" s="43" t="s">
        <v>325</v>
      </c>
      <c r="E334" s="35" t="s">
        <v>325</v>
      </c>
      <c r="F334" s="79" t="s">
        <v>1652</v>
      </c>
      <c r="G334" s="30" t="s">
        <v>1653</v>
      </c>
      <c r="H334" s="30" t="s">
        <v>1654</v>
      </c>
      <c r="I334" s="47" t="s">
        <v>5210</v>
      </c>
      <c r="J334" s="73" t="s">
        <v>3019</v>
      </c>
      <c r="K334" s="23" t="s">
        <v>4414</v>
      </c>
      <c r="L334" s="60" t="s">
        <v>3290</v>
      </c>
      <c r="M334" s="60" t="s">
        <v>3292</v>
      </c>
      <c r="N334" s="60" t="s">
        <v>3291</v>
      </c>
      <c r="O334" s="60"/>
      <c r="P334" s="60" t="s">
        <v>5493</v>
      </c>
      <c r="Q334" s="20">
        <v>4</v>
      </c>
    </row>
    <row r="335" spans="1:17" ht="112" x14ac:dyDescent="0.2">
      <c r="A335" s="71">
        <v>334</v>
      </c>
      <c r="B335" s="107" t="str">
        <f>HYPERLINK("https://www.ncbi.nlm.nih.gov/gene/2735", "2735")</f>
        <v>2735</v>
      </c>
      <c r="C335" s="109" t="str">
        <f>HYPERLINK("https://www.uniprot.org/uniprot/P08151", "P08151")</f>
        <v>P08151</v>
      </c>
      <c r="D335" s="43" t="s">
        <v>326</v>
      </c>
      <c r="E335" s="35" t="s">
        <v>326</v>
      </c>
      <c r="F335" s="79"/>
      <c r="G335" s="30" t="s">
        <v>4948</v>
      </c>
      <c r="H335" s="30" t="s">
        <v>4008</v>
      </c>
      <c r="I335" s="47" t="s">
        <v>5211</v>
      </c>
      <c r="J335" s="73" t="s">
        <v>3020</v>
      </c>
      <c r="K335" s="23" t="s">
        <v>4415</v>
      </c>
      <c r="L335" s="60" t="s">
        <v>3289</v>
      </c>
      <c r="M335" s="60" t="s">
        <v>3289</v>
      </c>
      <c r="N335" s="60" t="s">
        <v>3291</v>
      </c>
      <c r="O335" s="60"/>
      <c r="P335" s="60" t="s">
        <v>5492</v>
      </c>
      <c r="Q335" s="20">
        <v>4</v>
      </c>
    </row>
    <row r="336" spans="1:17" ht="112" x14ac:dyDescent="0.2">
      <c r="A336" s="71">
        <v>335</v>
      </c>
      <c r="B336" s="107" t="str">
        <f>HYPERLINK("https://www.ncbi.nlm.nih.gov/gene/2736", "2736")</f>
        <v>2736</v>
      </c>
      <c r="C336" s="109" t="str">
        <f>HYPERLINK("https://www.uniprot.org/uniprot/P10070", "P10070")</f>
        <v>P10070</v>
      </c>
      <c r="D336" s="43" t="s">
        <v>327</v>
      </c>
      <c r="E336" s="35" t="s">
        <v>327</v>
      </c>
      <c r="F336" s="79" t="s">
        <v>1655</v>
      </c>
      <c r="G336" s="30" t="s">
        <v>4949</v>
      </c>
      <c r="H336" s="30" t="s">
        <v>3418</v>
      </c>
      <c r="I336" s="47" t="s">
        <v>5212</v>
      </c>
      <c r="J336" s="73" t="s">
        <v>3021</v>
      </c>
      <c r="K336" s="30" t="s">
        <v>4416</v>
      </c>
      <c r="L336" s="106" t="s">
        <v>3289</v>
      </c>
      <c r="M336" s="60" t="s">
        <v>3289</v>
      </c>
      <c r="N336" s="60" t="s">
        <v>3291</v>
      </c>
      <c r="O336" s="60"/>
      <c r="P336" s="60" t="s">
        <v>5492</v>
      </c>
      <c r="Q336" s="20">
        <v>4</v>
      </c>
    </row>
    <row r="337" spans="1:17" ht="80" x14ac:dyDescent="0.2">
      <c r="A337" s="71">
        <v>336</v>
      </c>
      <c r="B337" s="107" t="str">
        <f>HYPERLINK("https://www.ncbi.nlm.nih.gov/gene/2744", "2744")</f>
        <v>2744</v>
      </c>
      <c r="C337" s="109" t="str">
        <f>HYPERLINK("https://www.uniprot.org/uniprot/O94925", "O94925")</f>
        <v>O94925</v>
      </c>
      <c r="D337" s="43" t="s">
        <v>337</v>
      </c>
      <c r="E337" s="16" t="s">
        <v>337</v>
      </c>
      <c r="F337" s="74" t="s">
        <v>1675</v>
      </c>
      <c r="G337" s="28" t="s">
        <v>1676</v>
      </c>
      <c r="H337" s="28" t="s">
        <v>1677</v>
      </c>
      <c r="I337" s="31" t="s">
        <v>5213</v>
      </c>
      <c r="J337" s="73" t="s">
        <v>3638</v>
      </c>
      <c r="K337" s="23" t="s">
        <v>3637</v>
      </c>
      <c r="L337" s="60" t="s">
        <v>3289</v>
      </c>
      <c r="M337" s="60" t="s">
        <v>3289</v>
      </c>
      <c r="N337" s="60" t="s">
        <v>3289</v>
      </c>
      <c r="O337" s="60"/>
      <c r="P337" s="60" t="s">
        <v>5493</v>
      </c>
      <c r="Q337" s="20">
        <v>4</v>
      </c>
    </row>
    <row r="338" spans="1:17" ht="192" x14ac:dyDescent="0.2">
      <c r="A338" s="71">
        <v>337</v>
      </c>
      <c r="B338" s="107" t="str">
        <f>HYPERLINK("https://www.ncbi.nlm.nih.gov/gene/27165", "27165")</f>
        <v>27165</v>
      </c>
      <c r="C338" s="111" t="str">
        <f>HYPERLINK("https://www.uniprot.org/uniprot/Q9UI32", "Q9UI32")</f>
        <v>Q9UI32</v>
      </c>
      <c r="D338" s="43" t="s">
        <v>338</v>
      </c>
      <c r="E338" s="16" t="s">
        <v>338</v>
      </c>
      <c r="F338" s="74" t="s">
        <v>1678</v>
      </c>
      <c r="G338" s="28" t="s">
        <v>1679</v>
      </c>
      <c r="H338" s="28" t="s">
        <v>1680</v>
      </c>
      <c r="I338" s="31" t="s">
        <v>5213</v>
      </c>
      <c r="J338" s="73" t="s">
        <v>3638</v>
      </c>
      <c r="K338" s="23" t="s">
        <v>4417</v>
      </c>
      <c r="L338" s="60" t="s">
        <v>3289</v>
      </c>
      <c r="M338" s="60" t="s">
        <v>3289</v>
      </c>
      <c r="N338" s="60" t="s">
        <v>3289</v>
      </c>
      <c r="O338" s="60"/>
      <c r="P338" s="60" t="s">
        <v>5493</v>
      </c>
      <c r="Q338" s="20">
        <v>4</v>
      </c>
    </row>
    <row r="339" spans="1:17" ht="96" x14ac:dyDescent="0.2">
      <c r="A339" s="71">
        <v>338</v>
      </c>
      <c r="B339" s="107" t="str">
        <f>HYPERLINK("https://www.ncbi.nlm.nih.gov/gene/84572", "84572")</f>
        <v>84572</v>
      </c>
      <c r="C339" s="113" t="str">
        <f>HYPERLINK("https://www.uniprot.org/uniprot/Q9UJJ9", "Q9UJJ9")</f>
        <v>Q9UJJ9</v>
      </c>
      <c r="D339" s="43" t="s">
        <v>328</v>
      </c>
      <c r="E339" s="81" t="s">
        <v>328</v>
      </c>
      <c r="F339" s="67" t="s">
        <v>1657</v>
      </c>
      <c r="G339" s="31" t="s">
        <v>1658</v>
      </c>
      <c r="H339" s="31" t="s">
        <v>1656</v>
      </c>
      <c r="I339" s="31" t="s">
        <v>5214</v>
      </c>
      <c r="J339" s="73">
        <v>20005867</v>
      </c>
      <c r="K339" s="56" t="s">
        <v>4418</v>
      </c>
      <c r="L339" s="60" t="s">
        <v>3291</v>
      </c>
      <c r="M339" s="60" t="s">
        <v>3289</v>
      </c>
      <c r="N339" s="60" t="s">
        <v>3291</v>
      </c>
      <c r="O339" s="60"/>
      <c r="P339" s="60" t="s">
        <v>3323</v>
      </c>
      <c r="Q339" s="64">
        <v>1</v>
      </c>
    </row>
    <row r="340" spans="1:17" ht="160" x14ac:dyDescent="0.2">
      <c r="A340" s="71">
        <v>339</v>
      </c>
      <c r="B340" s="107" t="str">
        <f>HYPERLINK("https://www.ncbi.nlm.nih.gov/gene/64083", "64083")</f>
        <v>64083</v>
      </c>
      <c r="C340" s="109" t="str">
        <f>HYPERLINK("https://www.uniprot.org/uniprot/Q9H4A6", "Q9H4A6")</f>
        <v>Q9H4A6</v>
      </c>
      <c r="D340" s="43" t="s">
        <v>329</v>
      </c>
      <c r="E340" s="16" t="s">
        <v>329</v>
      </c>
      <c r="F340" s="74" t="s">
        <v>1659</v>
      </c>
      <c r="G340" s="28" t="s">
        <v>1660</v>
      </c>
      <c r="H340" s="28" t="s">
        <v>1661</v>
      </c>
      <c r="I340" s="31" t="s">
        <v>2831</v>
      </c>
      <c r="J340" s="73" t="s">
        <v>3022</v>
      </c>
      <c r="K340" s="23" t="s">
        <v>4419</v>
      </c>
      <c r="L340" s="60" t="s">
        <v>3289</v>
      </c>
      <c r="M340" s="60" t="s">
        <v>3289</v>
      </c>
      <c r="N340" s="105" t="s">
        <v>3291</v>
      </c>
      <c r="O340" s="105"/>
      <c r="P340" s="105" t="s">
        <v>5494</v>
      </c>
      <c r="Q340" s="20">
        <v>5</v>
      </c>
    </row>
    <row r="341" spans="1:17" ht="80" x14ac:dyDescent="0.2">
      <c r="A341" s="71">
        <v>340</v>
      </c>
      <c r="B341" s="107" t="str">
        <f>HYPERLINK("https://www.ncbi.nlm.nih.gov/gene/55204", "55204")</f>
        <v>55204</v>
      </c>
      <c r="C341" s="109" t="str">
        <f>HYPERLINK("https://www.uniprot.org/uniprot/Q9H4A5", "Q9H4A5")</f>
        <v>Q9H4A5</v>
      </c>
      <c r="D341" s="43" t="s">
        <v>330</v>
      </c>
      <c r="E341" s="35" t="s">
        <v>330</v>
      </c>
      <c r="F341" s="79" t="s">
        <v>1662</v>
      </c>
      <c r="G341" s="30" t="s">
        <v>1663</v>
      </c>
      <c r="H341" s="30" t="s">
        <v>1664</v>
      </c>
      <c r="I341" s="47" t="s">
        <v>2834</v>
      </c>
      <c r="J341" s="73">
        <v>28978336</v>
      </c>
      <c r="K341" s="23" t="s">
        <v>4420</v>
      </c>
      <c r="L341" s="60" t="s">
        <v>3289</v>
      </c>
      <c r="M341" s="60" t="s">
        <v>3289</v>
      </c>
      <c r="N341" s="60" t="s">
        <v>3291</v>
      </c>
      <c r="O341" s="60"/>
      <c r="P341" s="60" t="s">
        <v>5494</v>
      </c>
      <c r="Q341" s="20">
        <v>5</v>
      </c>
    </row>
    <row r="342" spans="1:17" ht="64" x14ac:dyDescent="0.2">
      <c r="A342" s="71">
        <v>341</v>
      </c>
      <c r="B342" s="107" t="str">
        <f>HYPERLINK("https://www.ncbi.nlm.nih.gov/gene/65056", "65056")</f>
        <v>65056</v>
      </c>
      <c r="C342" s="109" t="str">
        <f>HYPERLINK("https://www.uniprot.org/uniprot/Q86WP2", "Q86WP2")</f>
        <v>Q86WP2</v>
      </c>
      <c r="D342" s="43" t="s">
        <v>331</v>
      </c>
      <c r="E342" s="35" t="s">
        <v>331</v>
      </c>
      <c r="F342" s="79" t="s">
        <v>1665</v>
      </c>
      <c r="G342" s="30" t="s">
        <v>1666</v>
      </c>
      <c r="H342" s="30" t="s">
        <v>4009</v>
      </c>
      <c r="I342" s="47" t="s">
        <v>5215</v>
      </c>
      <c r="J342" s="73">
        <v>29669295</v>
      </c>
      <c r="K342" s="23" t="s">
        <v>4421</v>
      </c>
      <c r="L342" s="60" t="s">
        <v>3292</v>
      </c>
      <c r="M342" s="60" t="s">
        <v>3292</v>
      </c>
      <c r="N342" s="60" t="s">
        <v>3291</v>
      </c>
      <c r="O342" s="60"/>
      <c r="P342" s="60" t="s">
        <v>5493</v>
      </c>
      <c r="Q342" s="20">
        <v>4</v>
      </c>
    </row>
    <row r="343" spans="1:17" ht="96" x14ac:dyDescent="0.2">
      <c r="A343" s="71">
        <v>342</v>
      </c>
      <c r="B343" s="107" t="str">
        <f>HYPERLINK("https://www.ncbi.nlm.nih.gov/gene/9052", "9052")</f>
        <v>9052</v>
      </c>
      <c r="C343" s="109" t="str">
        <f>HYPERLINK("https://www.uniprot.org/uniprot/Q8NFJ5", "Q8NFJ5")</f>
        <v>Q8NFJ5</v>
      </c>
      <c r="D343" s="43" t="s">
        <v>3385</v>
      </c>
      <c r="E343" s="35" t="s">
        <v>3385</v>
      </c>
      <c r="F343" s="79" t="s">
        <v>3386</v>
      </c>
      <c r="G343" s="30" t="s">
        <v>3387</v>
      </c>
      <c r="H343" s="30" t="s">
        <v>4010</v>
      </c>
      <c r="I343" s="47" t="s">
        <v>5216</v>
      </c>
      <c r="J343" s="73">
        <v>32115889</v>
      </c>
      <c r="K343" s="23" t="s">
        <v>4422</v>
      </c>
      <c r="L343" s="60" t="s">
        <v>3289</v>
      </c>
      <c r="M343" s="60" t="s">
        <v>3289</v>
      </c>
      <c r="N343" s="60" t="s">
        <v>3289</v>
      </c>
      <c r="O343" s="60"/>
      <c r="P343" s="60" t="s">
        <v>5494</v>
      </c>
      <c r="Q343" s="20">
        <v>5</v>
      </c>
    </row>
    <row r="344" spans="1:17" ht="96" x14ac:dyDescent="0.2">
      <c r="A344" s="71">
        <v>343</v>
      </c>
      <c r="B344" s="107" t="str">
        <f>HYPERLINK("https://www.ncbi.nlm.nih.gov/gene/2878", "2878")</f>
        <v>2878</v>
      </c>
      <c r="C344" s="109" t="str">
        <f>HYPERLINK("https://www.uniprot.org/uniprot/P22352", "P22352")</f>
        <v>P22352</v>
      </c>
      <c r="D344" s="43" t="s">
        <v>332</v>
      </c>
      <c r="E344" s="35" t="s">
        <v>332</v>
      </c>
      <c r="F344" s="79" t="s">
        <v>1667</v>
      </c>
      <c r="G344" s="30" t="s">
        <v>1668</v>
      </c>
      <c r="H344" s="30" t="s">
        <v>4011</v>
      </c>
      <c r="I344" s="47" t="s">
        <v>5217</v>
      </c>
      <c r="J344" s="73" t="s">
        <v>3023</v>
      </c>
      <c r="K344" s="23" t="s">
        <v>4423</v>
      </c>
      <c r="L344" s="60" t="s">
        <v>3289</v>
      </c>
      <c r="M344" s="60" t="s">
        <v>3289</v>
      </c>
      <c r="N344" s="60" t="s">
        <v>3291</v>
      </c>
      <c r="O344" s="60"/>
      <c r="P344" s="60" t="s">
        <v>5495</v>
      </c>
      <c r="Q344" s="20">
        <v>2</v>
      </c>
    </row>
    <row r="345" spans="1:17" ht="96" x14ac:dyDescent="0.2">
      <c r="A345" s="71">
        <v>344</v>
      </c>
      <c r="B345" s="107" t="str">
        <f>HYPERLINK("https://www.ncbi.nlm.nih.gov/gene/2879", "2879")</f>
        <v>2879</v>
      </c>
      <c r="C345" s="109" t="str">
        <f>HYPERLINK("https://www.uniprot.org/uniprot/P36969", "P36969")</f>
        <v>P36969</v>
      </c>
      <c r="D345" s="43" t="s">
        <v>333</v>
      </c>
      <c r="E345" s="35" t="s">
        <v>333</v>
      </c>
      <c r="F345" s="79"/>
      <c r="G345" s="30" t="s">
        <v>1669</v>
      </c>
      <c r="H345" s="30" t="s">
        <v>1670</v>
      </c>
      <c r="I345" s="47" t="s">
        <v>5218</v>
      </c>
      <c r="J345" s="73">
        <v>31556117</v>
      </c>
      <c r="K345" s="23" t="s">
        <v>4424</v>
      </c>
      <c r="L345" s="60" t="s">
        <v>3289</v>
      </c>
      <c r="M345" s="60" t="s">
        <v>3289</v>
      </c>
      <c r="N345" s="60" t="s">
        <v>3291</v>
      </c>
      <c r="O345" s="60"/>
      <c r="P345" s="60" t="s">
        <v>5495</v>
      </c>
      <c r="Q345" s="20">
        <v>2</v>
      </c>
    </row>
    <row r="346" spans="1:17" ht="112" x14ac:dyDescent="0.2">
      <c r="A346" s="71">
        <v>345</v>
      </c>
      <c r="B346" s="107" t="str">
        <f>HYPERLINK("https://www.ncbi.nlm.nih.gov/gene/9687", "9687")</f>
        <v>9687</v>
      </c>
      <c r="C346" s="109" t="str">
        <f>HYPERLINK("https://www.uniprot.org/uniprot/Q4ZG55", "Q4ZG55")</f>
        <v>Q4ZG55</v>
      </c>
      <c r="D346" s="43" t="s">
        <v>334</v>
      </c>
      <c r="E346" s="35" t="s">
        <v>334</v>
      </c>
      <c r="F346" s="79"/>
      <c r="G346" s="30" t="s">
        <v>3558</v>
      </c>
      <c r="H346" s="30" t="s">
        <v>3557</v>
      </c>
      <c r="I346" s="47" t="s">
        <v>2856</v>
      </c>
      <c r="J346" s="73" t="s">
        <v>3556</v>
      </c>
      <c r="K346" s="23" t="s">
        <v>4425</v>
      </c>
      <c r="L346" s="60" t="s">
        <v>3292</v>
      </c>
      <c r="M346" s="60" t="s">
        <v>3292</v>
      </c>
      <c r="N346" s="60" t="s">
        <v>3291</v>
      </c>
      <c r="O346" s="60"/>
      <c r="P346" s="60" t="s">
        <v>5493</v>
      </c>
      <c r="Q346" s="20">
        <v>4</v>
      </c>
    </row>
    <row r="347" spans="1:17" ht="128" x14ac:dyDescent="0.2">
      <c r="A347" s="71">
        <v>346</v>
      </c>
      <c r="B347" s="107" t="str">
        <f>HYPERLINK("https://www.ncbi.nlm.nih.gov/gene/26585", "26585")</f>
        <v>26585</v>
      </c>
      <c r="C347" s="109" t="str">
        <f>HYPERLINK("https://www.uniprot.org/uniprot/O60565", "O60565")</f>
        <v>O60565</v>
      </c>
      <c r="D347" s="43" t="s">
        <v>335</v>
      </c>
      <c r="E347" s="16" t="s">
        <v>335</v>
      </c>
      <c r="F347" s="11" t="s">
        <v>1671</v>
      </c>
      <c r="G347" s="28" t="s">
        <v>1672</v>
      </c>
      <c r="H347" s="6" t="s">
        <v>4012</v>
      </c>
      <c r="I347" s="49" t="s">
        <v>2827</v>
      </c>
      <c r="J347" s="73" t="s">
        <v>3024</v>
      </c>
      <c r="K347" s="13" t="s">
        <v>3768</v>
      </c>
      <c r="L347" s="60" t="s">
        <v>3291</v>
      </c>
      <c r="M347" s="60" t="s">
        <v>3289</v>
      </c>
      <c r="N347" s="60" t="s">
        <v>3291</v>
      </c>
      <c r="O347" s="60"/>
      <c r="P347" s="60" t="s">
        <v>5495</v>
      </c>
      <c r="Q347" s="20">
        <v>2</v>
      </c>
    </row>
    <row r="348" spans="1:17" ht="128" x14ac:dyDescent="0.2">
      <c r="A348" s="71">
        <v>347</v>
      </c>
      <c r="B348" s="107" t="str">
        <f>HYPERLINK("https://www.ncbi.nlm.nih.gov/gene/2932", "2932")</f>
        <v>2932</v>
      </c>
      <c r="C348" s="111" t="str">
        <f>HYPERLINK("https://www.uniprot.org/uniprot/P49841", "P49841")</f>
        <v>P49841</v>
      </c>
      <c r="D348" s="43" t="s">
        <v>336</v>
      </c>
      <c r="E348" s="16" t="s">
        <v>336</v>
      </c>
      <c r="F348" s="11"/>
      <c r="G348" s="28" t="s">
        <v>1673</v>
      </c>
      <c r="H348" s="6" t="s">
        <v>1674</v>
      </c>
      <c r="I348" s="49" t="s">
        <v>5219</v>
      </c>
      <c r="J348" s="73">
        <v>17671694</v>
      </c>
      <c r="K348" s="13" t="s">
        <v>3769</v>
      </c>
      <c r="L348" s="60" t="s">
        <v>3294</v>
      </c>
      <c r="M348" s="60" t="s">
        <v>3292</v>
      </c>
      <c r="N348" s="60" t="s">
        <v>3291</v>
      </c>
      <c r="O348" s="60" t="s">
        <v>5509</v>
      </c>
      <c r="P348" s="60" t="s">
        <v>3323</v>
      </c>
      <c r="Q348" s="20">
        <v>1</v>
      </c>
    </row>
    <row r="349" spans="1:17" ht="96" x14ac:dyDescent="0.2">
      <c r="A349" s="71">
        <v>348</v>
      </c>
      <c r="B349" s="107" t="str">
        <f>HYPERLINK("https://www.ncbi.nlm.nih.gov/gene/2934", "2934")</f>
        <v>2934</v>
      </c>
      <c r="C349" s="113" t="str">
        <f>HYPERLINK("https://www.uniprot.org/uniprot/P06396", "P06396")</f>
        <v>P06396</v>
      </c>
      <c r="D349" s="43" t="s">
        <v>339</v>
      </c>
      <c r="E349" s="35" t="s">
        <v>339</v>
      </c>
      <c r="F349" s="79"/>
      <c r="G349" s="47" t="s">
        <v>1681</v>
      </c>
      <c r="H349" s="47" t="s">
        <v>1682</v>
      </c>
      <c r="I349" s="47" t="s">
        <v>2824</v>
      </c>
      <c r="J349" s="73">
        <v>25246592</v>
      </c>
      <c r="K349" s="23" t="s">
        <v>4426</v>
      </c>
      <c r="L349" s="60" t="s">
        <v>3289</v>
      </c>
      <c r="M349" s="60" t="s">
        <v>3289</v>
      </c>
      <c r="N349" s="60" t="s">
        <v>3292</v>
      </c>
      <c r="O349" s="60"/>
      <c r="P349" s="60" t="s">
        <v>5493</v>
      </c>
      <c r="Q349" s="64">
        <v>4</v>
      </c>
    </row>
    <row r="350" spans="1:17" ht="48" x14ac:dyDescent="0.2">
      <c r="A350" s="71">
        <v>349</v>
      </c>
      <c r="B350" s="107" t="str">
        <f>HYPERLINK("https://www.ncbi.nlm.nih.gov/gene/2936", "2936")</f>
        <v>2936</v>
      </c>
      <c r="C350" s="109" t="str">
        <f>HYPERLINK("https://www.uniprot.org/uniprot/P00390", "P00390")</f>
        <v>P00390</v>
      </c>
      <c r="D350" s="43" t="s">
        <v>340</v>
      </c>
      <c r="E350" s="35" t="s">
        <v>340</v>
      </c>
      <c r="F350" s="79" t="s">
        <v>1683</v>
      </c>
      <c r="G350" s="30" t="s">
        <v>1684</v>
      </c>
      <c r="H350" s="30" t="s">
        <v>1685</v>
      </c>
      <c r="I350" s="47" t="s">
        <v>3378</v>
      </c>
      <c r="J350" s="73" t="s">
        <v>3025</v>
      </c>
      <c r="K350" s="23" t="s">
        <v>4427</v>
      </c>
      <c r="L350" s="60" t="s">
        <v>3289</v>
      </c>
      <c r="M350" s="60" t="s">
        <v>3289</v>
      </c>
      <c r="N350" s="60" t="s">
        <v>3291</v>
      </c>
      <c r="O350" s="60" t="s">
        <v>5509</v>
      </c>
      <c r="P350" s="60" t="s">
        <v>5493</v>
      </c>
      <c r="Q350" s="20">
        <v>4</v>
      </c>
    </row>
    <row r="351" spans="1:17" ht="80" x14ac:dyDescent="0.2">
      <c r="A351" s="71">
        <v>350</v>
      </c>
      <c r="B351" s="107" t="str">
        <f>HYPERLINK("https://www.ncbi.nlm.nih.gov/gene/2937", "2937")</f>
        <v>2937</v>
      </c>
      <c r="C351" s="109" t="str">
        <f>HYPERLINK("https://www.uniprot.org/uniprot/P48637", "P48637")</f>
        <v>P48637</v>
      </c>
      <c r="D351" s="43" t="s">
        <v>3456</v>
      </c>
      <c r="E351" s="35" t="s">
        <v>3456</v>
      </c>
      <c r="F351" s="79"/>
      <c r="G351" s="30" t="s">
        <v>3457</v>
      </c>
      <c r="H351" s="30" t="s">
        <v>4013</v>
      </c>
      <c r="I351" s="47" t="s">
        <v>3378</v>
      </c>
      <c r="J351" s="73" t="s">
        <v>3458</v>
      </c>
      <c r="K351" s="23" t="s">
        <v>4428</v>
      </c>
      <c r="L351" s="60" t="s">
        <v>3291</v>
      </c>
      <c r="M351" s="60" t="s">
        <v>3289</v>
      </c>
      <c r="N351" s="60" t="s">
        <v>3291</v>
      </c>
      <c r="O351" s="60"/>
      <c r="P351" s="60" t="s">
        <v>5492</v>
      </c>
      <c r="Q351" s="20">
        <v>4</v>
      </c>
    </row>
    <row r="352" spans="1:17" ht="48" x14ac:dyDescent="0.2">
      <c r="A352" s="71">
        <v>351</v>
      </c>
      <c r="B352" s="107" t="str">
        <f>HYPERLINK("https://www.ncbi.nlm.nih.gov/gene/2938", "2938")</f>
        <v>2938</v>
      </c>
      <c r="C352" s="109" t="str">
        <f>HYPERLINK("https://www.uniprot.org/uniprot/P08263", "P08263")</f>
        <v>P08263</v>
      </c>
      <c r="D352" s="43" t="s">
        <v>341</v>
      </c>
      <c r="E352" s="35" t="s">
        <v>341</v>
      </c>
      <c r="F352" s="79"/>
      <c r="G352" s="30" t="s">
        <v>1686</v>
      </c>
      <c r="H352" s="30" t="s">
        <v>1687</v>
      </c>
      <c r="I352" s="47" t="s">
        <v>3378</v>
      </c>
      <c r="J352" s="73" t="s">
        <v>3902</v>
      </c>
      <c r="K352" s="23" t="s">
        <v>4429</v>
      </c>
      <c r="L352" s="60" t="s">
        <v>3289</v>
      </c>
      <c r="M352" s="60" t="s">
        <v>3289</v>
      </c>
      <c r="N352" s="60" t="s">
        <v>3291</v>
      </c>
      <c r="O352" s="60"/>
      <c r="P352" s="60" t="s">
        <v>3323</v>
      </c>
      <c r="Q352" s="20">
        <v>1</v>
      </c>
    </row>
    <row r="353" spans="1:17" ht="64" x14ac:dyDescent="0.2">
      <c r="A353" s="71">
        <v>352</v>
      </c>
      <c r="B353" s="107" t="str">
        <f>HYPERLINK("https://www.ncbi.nlm.nih.gov/gene/373156", "373156")</f>
        <v>373156</v>
      </c>
      <c r="C353" s="109" t="str">
        <f>HYPERLINK("https://www.uniprot.org/uniprot/Q9Y2Q3", "Q9Y2Q3")</f>
        <v>Q9Y2Q3</v>
      </c>
      <c r="D353" s="43" t="s">
        <v>342</v>
      </c>
      <c r="E353" s="35" t="s">
        <v>342</v>
      </c>
      <c r="F353" s="79"/>
      <c r="G353" s="30" t="s">
        <v>1688</v>
      </c>
      <c r="H353" s="30" t="s">
        <v>1689</v>
      </c>
      <c r="I353" s="47" t="s">
        <v>3378</v>
      </c>
      <c r="J353" s="73" t="s">
        <v>3026</v>
      </c>
      <c r="K353" s="23" t="s">
        <v>4430</v>
      </c>
      <c r="L353" s="60" t="s">
        <v>3289</v>
      </c>
      <c r="M353" s="60" t="s">
        <v>3289</v>
      </c>
      <c r="N353" s="60" t="s">
        <v>3291</v>
      </c>
      <c r="O353" s="60"/>
      <c r="P353" s="60" t="s">
        <v>3323</v>
      </c>
      <c r="Q353" s="20">
        <v>1</v>
      </c>
    </row>
    <row r="354" spans="1:17" ht="48" x14ac:dyDescent="0.2">
      <c r="A354" s="71">
        <v>353</v>
      </c>
      <c r="B354" s="107" t="str">
        <f>HYPERLINK("https://www.ncbi.nlm.nih.gov/gene/2944", "2944")</f>
        <v>2944</v>
      </c>
      <c r="C354" s="109" t="str">
        <f>HYPERLINK("https://www.uniprot.org/uniprot/P09488", "P09488")</f>
        <v>P09488</v>
      </c>
      <c r="D354" s="43" t="s">
        <v>343</v>
      </c>
      <c r="E354" s="38" t="s">
        <v>343</v>
      </c>
      <c r="F354" s="32" t="s">
        <v>1690</v>
      </c>
      <c r="G354" s="28" t="s">
        <v>1691</v>
      </c>
      <c r="H354" s="6" t="s">
        <v>1692</v>
      </c>
      <c r="I354" s="49" t="s">
        <v>3378</v>
      </c>
      <c r="J354" s="73" t="s">
        <v>3624</v>
      </c>
      <c r="K354" s="23" t="s">
        <v>4431</v>
      </c>
      <c r="L354" s="60" t="s">
        <v>3289</v>
      </c>
      <c r="M354" s="60" t="s">
        <v>3289</v>
      </c>
      <c r="N354" s="60" t="s">
        <v>3291</v>
      </c>
      <c r="O354" s="60"/>
      <c r="P354" s="60" t="s">
        <v>3323</v>
      </c>
      <c r="Q354" s="20">
        <v>1</v>
      </c>
    </row>
    <row r="355" spans="1:17" ht="64" x14ac:dyDescent="0.2">
      <c r="A355" s="71">
        <v>354</v>
      </c>
      <c r="B355" s="107" t="str">
        <f>HYPERLINK("https://www.ncbi.nlm.nih.gov/gene/2948", "2948")</f>
        <v>2948</v>
      </c>
      <c r="C355" s="112" t="str">
        <f>HYPERLINK("https://www.uniprot.org/uniprot/Q03013", "Q03013")</f>
        <v>Q03013</v>
      </c>
      <c r="D355" s="43" t="s">
        <v>3626</v>
      </c>
      <c r="E355" s="38" t="s">
        <v>3626</v>
      </c>
      <c r="F355" s="32"/>
      <c r="G355" s="28" t="s">
        <v>3627</v>
      </c>
      <c r="H355" s="49" t="s">
        <v>1692</v>
      </c>
      <c r="I355" s="49" t="s">
        <v>3378</v>
      </c>
      <c r="J355" s="73">
        <v>20200426</v>
      </c>
      <c r="K355" s="23" t="s">
        <v>4432</v>
      </c>
      <c r="L355" s="60" t="s">
        <v>3289</v>
      </c>
      <c r="M355" s="60" t="s">
        <v>3289</v>
      </c>
      <c r="N355" s="60" t="s">
        <v>3291</v>
      </c>
      <c r="O355" s="60"/>
      <c r="P355" s="60" t="s">
        <v>5493</v>
      </c>
      <c r="Q355" s="64">
        <v>4</v>
      </c>
    </row>
    <row r="356" spans="1:17" ht="112" x14ac:dyDescent="0.2">
      <c r="A356" s="71">
        <v>355</v>
      </c>
      <c r="B356" s="107" t="str">
        <f>HYPERLINK("https://www.ncbi.nlm.nih.gov/gene/2950", "2950")</f>
        <v>2950</v>
      </c>
      <c r="C356" s="109" t="str">
        <f>HYPERLINK("https://www.uniprot.org/uniprot/P09211", "P09211")</f>
        <v>P09211</v>
      </c>
      <c r="D356" s="43" t="s">
        <v>344</v>
      </c>
      <c r="E356" s="38" t="s">
        <v>344</v>
      </c>
      <c r="F356" s="32" t="s">
        <v>1693</v>
      </c>
      <c r="G356" s="28" t="s">
        <v>1694</v>
      </c>
      <c r="H356" s="6" t="s">
        <v>1692</v>
      </c>
      <c r="I356" s="49" t="s">
        <v>3378</v>
      </c>
      <c r="J356" s="73" t="s">
        <v>3623</v>
      </c>
      <c r="K356" s="23" t="s">
        <v>4433</v>
      </c>
      <c r="L356" s="60" t="s">
        <v>3289</v>
      </c>
      <c r="M356" s="60" t="s">
        <v>3289</v>
      </c>
      <c r="N356" s="60" t="s">
        <v>3291</v>
      </c>
      <c r="O356" s="60"/>
      <c r="P356" s="60" t="s">
        <v>5493</v>
      </c>
      <c r="Q356" s="20">
        <v>4</v>
      </c>
    </row>
    <row r="357" spans="1:17" ht="48" x14ac:dyDescent="0.2">
      <c r="A357" s="71">
        <v>356</v>
      </c>
      <c r="B357" s="107" t="str">
        <f>HYPERLINK("https://www.ncbi.nlm.nih.gov/gene/2952", "2952")</f>
        <v>2952</v>
      </c>
      <c r="C357" s="109" t="str">
        <f>HYPERLINK("https://www.uniprot.org/uniprot/P30711", "P30711")</f>
        <v>P30711</v>
      </c>
      <c r="D357" s="43" t="s">
        <v>345</v>
      </c>
      <c r="E357" s="38" t="s">
        <v>345</v>
      </c>
      <c r="F357" s="32"/>
      <c r="G357" s="28" t="s">
        <v>1695</v>
      </c>
      <c r="H357" s="6" t="s">
        <v>1696</v>
      </c>
      <c r="I357" s="49" t="s">
        <v>3378</v>
      </c>
      <c r="J357" s="73" t="s">
        <v>3625</v>
      </c>
      <c r="K357" s="23" t="s">
        <v>4434</v>
      </c>
      <c r="L357" s="60" t="s">
        <v>3289</v>
      </c>
      <c r="M357" s="60" t="s">
        <v>3289</v>
      </c>
      <c r="N357" s="60" t="s">
        <v>3291</v>
      </c>
      <c r="O357" s="60"/>
      <c r="P357" s="60" t="s">
        <v>5493</v>
      </c>
      <c r="Q357" s="20">
        <v>4</v>
      </c>
    </row>
    <row r="358" spans="1:17" ht="80" x14ac:dyDescent="0.2">
      <c r="A358" s="71">
        <v>357</v>
      </c>
      <c r="B358" s="107" t="str">
        <f>HYPERLINK("https://www.ncbi.nlm.nih.gov/gene/3014", "3014")</f>
        <v>3014</v>
      </c>
      <c r="C358" s="109" t="str">
        <f>HYPERLINK("https://www.uniprot.org/uniprot/P16104", "P16104")</f>
        <v>P16104</v>
      </c>
      <c r="D358" s="43" t="s">
        <v>346</v>
      </c>
      <c r="E358" s="38" t="s">
        <v>924</v>
      </c>
      <c r="F358" s="32" t="s">
        <v>346</v>
      </c>
      <c r="G358" s="28" t="s">
        <v>1697</v>
      </c>
      <c r="H358" s="6" t="s">
        <v>4014</v>
      </c>
      <c r="I358" s="49" t="s">
        <v>3332</v>
      </c>
      <c r="J358" s="73">
        <v>26138778</v>
      </c>
      <c r="K358" s="23" t="s">
        <v>4435</v>
      </c>
      <c r="L358" s="60" t="s">
        <v>3295</v>
      </c>
      <c r="M358" s="60" t="s">
        <v>3295</v>
      </c>
      <c r="N358" s="60" t="s">
        <v>3295</v>
      </c>
      <c r="O358" s="60"/>
      <c r="P358" s="60" t="s">
        <v>5493</v>
      </c>
      <c r="Q358" s="20">
        <v>4</v>
      </c>
    </row>
    <row r="359" spans="1:17" ht="64" x14ac:dyDescent="0.2">
      <c r="A359" s="71">
        <v>358</v>
      </c>
      <c r="B359" s="107" t="str">
        <f>HYPERLINK("https://www.ncbi.nlm.nih.gov/gene/9563", "9563")</f>
        <v>9563</v>
      </c>
      <c r="C359" s="109" t="str">
        <f>HYPERLINK("https://www.uniprot.org/uniprot/O95479", "O95479")</f>
        <v>O95479</v>
      </c>
      <c r="D359" s="43" t="s">
        <v>347</v>
      </c>
      <c r="E359" s="35" t="s">
        <v>347</v>
      </c>
      <c r="F359" s="79" t="s">
        <v>1698</v>
      </c>
      <c r="G359" s="30" t="s">
        <v>1699</v>
      </c>
      <c r="H359" s="30" t="s">
        <v>1700</v>
      </c>
      <c r="I359" s="47" t="s">
        <v>5204</v>
      </c>
      <c r="J359" s="73">
        <v>26337086</v>
      </c>
      <c r="K359" s="23" t="s">
        <v>4436</v>
      </c>
      <c r="L359" s="60" t="s">
        <v>3289</v>
      </c>
      <c r="M359" s="60" t="s">
        <v>3289</v>
      </c>
      <c r="N359" s="60" t="s">
        <v>3291</v>
      </c>
      <c r="O359" s="60"/>
      <c r="P359" s="60" t="s">
        <v>3323</v>
      </c>
      <c r="Q359" s="20">
        <v>1</v>
      </c>
    </row>
    <row r="360" spans="1:17" ht="112" x14ac:dyDescent="0.2">
      <c r="A360" s="71">
        <v>359</v>
      </c>
      <c r="B360" s="107" t="str">
        <f>HYPERLINK("https://www.ncbi.nlm.nih.gov/gene/1839", "1839")</f>
        <v>1839</v>
      </c>
      <c r="C360" s="109" t="str">
        <f>HYPERLINK("https://www.uniprot.org/uniprot/Q99075", "Q99075")</f>
        <v>Q99075</v>
      </c>
      <c r="D360" s="43" t="s">
        <v>348</v>
      </c>
      <c r="E360" s="35" t="s">
        <v>348</v>
      </c>
      <c r="F360" s="79" t="s">
        <v>1701</v>
      </c>
      <c r="G360" s="30" t="s">
        <v>1702</v>
      </c>
      <c r="H360" s="30" t="s">
        <v>1703</v>
      </c>
      <c r="I360" s="47" t="s">
        <v>5220</v>
      </c>
      <c r="J360" s="73" t="s">
        <v>3027</v>
      </c>
      <c r="K360" s="23" t="s">
        <v>4437</v>
      </c>
      <c r="L360" s="60" t="s">
        <v>3289</v>
      </c>
      <c r="M360" s="60" t="s">
        <v>3289</v>
      </c>
      <c r="N360" s="60" t="s">
        <v>3291</v>
      </c>
      <c r="O360" s="60"/>
      <c r="P360" s="60" t="s">
        <v>5495</v>
      </c>
      <c r="Q360" s="20">
        <v>2</v>
      </c>
    </row>
    <row r="361" spans="1:17" ht="48" x14ac:dyDescent="0.2">
      <c r="A361" s="71">
        <v>360</v>
      </c>
      <c r="B361" s="107" t="str">
        <f>HYPERLINK("https://www.ncbi.nlm.nih.gov/gene/54985", "54985")</f>
        <v>54985</v>
      </c>
      <c r="C361" s="109" t="str">
        <f>HYPERLINK("https://www.uniprot.org/uniprot/Q9NWW0", "Q9NWW0")</f>
        <v>Q9NWW0</v>
      </c>
      <c r="D361" s="43" t="s">
        <v>349</v>
      </c>
      <c r="E361" s="35" t="s">
        <v>349</v>
      </c>
      <c r="F361" s="79" t="s">
        <v>1704</v>
      </c>
      <c r="G361" s="30" t="s">
        <v>1705</v>
      </c>
      <c r="H361" s="30" t="s">
        <v>1706</v>
      </c>
      <c r="I361" s="47" t="s">
        <v>5221</v>
      </c>
      <c r="J361" s="73">
        <v>28039608</v>
      </c>
      <c r="K361" s="23" t="s">
        <v>4438</v>
      </c>
      <c r="L361" s="60" t="s">
        <v>3289</v>
      </c>
      <c r="M361" s="60" t="s">
        <v>3289</v>
      </c>
      <c r="N361" s="60" t="s">
        <v>3289</v>
      </c>
      <c r="O361" s="60"/>
      <c r="P361" s="60" t="s">
        <v>5493</v>
      </c>
      <c r="Q361" s="20">
        <v>4</v>
      </c>
    </row>
    <row r="362" spans="1:17" ht="192" x14ac:dyDescent="0.2">
      <c r="A362" s="71">
        <v>361</v>
      </c>
      <c r="B362" s="107" t="str">
        <f>HYPERLINK("https://www.ncbi.nlm.nih.gov/gene/3065", "3065")</f>
        <v>3065</v>
      </c>
      <c r="C362" s="109" t="str">
        <f>HYPERLINK("https://www.uniprot.org/uniprot/Q13547", "Q13547")</f>
        <v>Q13547</v>
      </c>
      <c r="D362" s="43" t="s">
        <v>350</v>
      </c>
      <c r="E362" s="35" t="s">
        <v>350</v>
      </c>
      <c r="F362" s="79" t="s">
        <v>1707</v>
      </c>
      <c r="G362" s="30" t="s">
        <v>1708</v>
      </c>
      <c r="H362" s="30" t="s">
        <v>1709</v>
      </c>
      <c r="I362" s="47" t="s">
        <v>5222</v>
      </c>
      <c r="J362" s="73" t="s">
        <v>3028</v>
      </c>
      <c r="K362" s="23" t="s">
        <v>4439</v>
      </c>
      <c r="L362" s="60" t="s">
        <v>3289</v>
      </c>
      <c r="M362" s="60" t="s">
        <v>3289</v>
      </c>
      <c r="N362" s="60" t="s">
        <v>3289</v>
      </c>
      <c r="O362" s="60" t="s">
        <v>5509</v>
      </c>
      <c r="P362" s="60" t="s">
        <v>5494</v>
      </c>
      <c r="Q362" s="20">
        <v>5</v>
      </c>
    </row>
    <row r="363" spans="1:17" ht="96" x14ac:dyDescent="0.2">
      <c r="A363" s="71">
        <v>362</v>
      </c>
      <c r="B363" s="107" t="str">
        <f>HYPERLINK("https://www.ncbi.nlm.nih.gov/gene/8841", "8841")</f>
        <v>8841</v>
      </c>
      <c r="C363" s="109" t="str">
        <f>HYPERLINK("https://www.uniprot.org/uniprot/O15379", "O15379")</f>
        <v>O15379</v>
      </c>
      <c r="D363" s="43" t="s">
        <v>351</v>
      </c>
      <c r="E363" s="35" t="s">
        <v>351</v>
      </c>
      <c r="F363" s="79"/>
      <c r="G363" s="30" t="s">
        <v>1710</v>
      </c>
      <c r="H363" s="30" t="s">
        <v>3358</v>
      </c>
      <c r="I363" s="47" t="s">
        <v>5223</v>
      </c>
      <c r="J363" s="73">
        <v>32024543</v>
      </c>
      <c r="K363" s="23" t="s">
        <v>4440</v>
      </c>
      <c r="L363" s="60" t="s">
        <v>3292</v>
      </c>
      <c r="M363" s="60" t="s">
        <v>3292</v>
      </c>
      <c r="N363" s="60" t="s">
        <v>3291</v>
      </c>
      <c r="O363" s="60" t="s">
        <v>5509</v>
      </c>
      <c r="P363" s="60" t="s">
        <v>5492</v>
      </c>
      <c r="Q363" s="20">
        <v>4</v>
      </c>
    </row>
    <row r="364" spans="1:17" ht="96" x14ac:dyDescent="0.2">
      <c r="A364" s="71">
        <v>363</v>
      </c>
      <c r="B364" s="107" t="str">
        <f>HYPERLINK("https://www.ncbi.nlm.nih.gov/gene/9759", "9759")</f>
        <v>9759</v>
      </c>
      <c r="C364" s="109" t="str">
        <f>HYPERLINK("https://www.uniprot.org/uniprot/P56524", "P56524")</f>
        <v>P56524</v>
      </c>
      <c r="D364" s="43" t="s">
        <v>352</v>
      </c>
      <c r="E364" s="35" t="s">
        <v>352</v>
      </c>
      <c r="F364" s="79"/>
      <c r="G364" s="30" t="s">
        <v>1711</v>
      </c>
      <c r="H364" s="30" t="s">
        <v>1709</v>
      </c>
      <c r="I364" s="47" t="s">
        <v>5224</v>
      </c>
      <c r="J364" s="73">
        <v>21571862</v>
      </c>
      <c r="K364" s="23" t="s">
        <v>4441</v>
      </c>
      <c r="L364" s="60" t="s">
        <v>3289</v>
      </c>
      <c r="M364" s="60" t="s">
        <v>3289</v>
      </c>
      <c r="N364" s="60" t="s">
        <v>3289</v>
      </c>
      <c r="O364" s="60" t="s">
        <v>5509</v>
      </c>
      <c r="P364" s="60" t="s">
        <v>5492</v>
      </c>
      <c r="Q364" s="20">
        <v>4</v>
      </c>
    </row>
    <row r="365" spans="1:17" ht="80" x14ac:dyDescent="0.2">
      <c r="A365" s="71">
        <v>364</v>
      </c>
      <c r="B365" s="107" t="str">
        <f>HYPERLINK("https://www.ncbi.nlm.nih.gov/gene/79654", "79654")</f>
        <v>79654</v>
      </c>
      <c r="C365" s="109" t="str">
        <f>HYPERLINK("https://www.uniprot.org/uniprot/Q5T447", "Q5T447")</f>
        <v>Q5T447</v>
      </c>
      <c r="D365" s="43" t="s">
        <v>353</v>
      </c>
      <c r="E365" s="35" t="s">
        <v>353</v>
      </c>
      <c r="F365" s="79"/>
      <c r="G365" s="30" t="s">
        <v>1712</v>
      </c>
      <c r="H365" s="30" t="s">
        <v>4015</v>
      </c>
      <c r="I365" s="47" t="s">
        <v>5225</v>
      </c>
      <c r="J365" s="73">
        <v>28989055</v>
      </c>
      <c r="K365" s="30" t="s">
        <v>4442</v>
      </c>
      <c r="L365" s="60" t="s">
        <v>3289</v>
      </c>
      <c r="M365" s="60" t="s">
        <v>3289</v>
      </c>
      <c r="N365" s="60" t="s">
        <v>3291</v>
      </c>
      <c r="O365" s="60"/>
      <c r="P365" s="60" t="s">
        <v>5494</v>
      </c>
      <c r="Q365" s="20">
        <v>5</v>
      </c>
    </row>
    <row r="366" spans="1:17" ht="64" x14ac:dyDescent="0.2">
      <c r="A366" s="71">
        <v>365</v>
      </c>
      <c r="B366" s="107" t="str">
        <f>HYPERLINK("https://www.ncbi.nlm.nih.gov/gene/113510", "113510")</f>
        <v>113510</v>
      </c>
      <c r="C366" s="109" t="str">
        <f>HYPERLINK("https://www.uniprot.org/uniprot/Q8TDG4", "Q8TDG4")</f>
        <v>Q8TDG4</v>
      </c>
      <c r="D366" s="43" t="s">
        <v>354</v>
      </c>
      <c r="E366" s="35" t="s">
        <v>354</v>
      </c>
      <c r="F366" s="79" t="s">
        <v>1713</v>
      </c>
      <c r="G366" s="30" t="s">
        <v>1714</v>
      </c>
      <c r="H366" s="30" t="s">
        <v>1715</v>
      </c>
      <c r="I366" s="47" t="s">
        <v>3332</v>
      </c>
      <c r="J366" s="73">
        <v>29572031</v>
      </c>
      <c r="K366" s="23" t="s">
        <v>4443</v>
      </c>
      <c r="L366" s="60" t="s">
        <v>3289</v>
      </c>
      <c r="M366" s="60" t="s">
        <v>3289</v>
      </c>
      <c r="N366" s="60" t="s">
        <v>3291</v>
      </c>
      <c r="O366" s="60"/>
      <c r="P366" s="60" t="s">
        <v>5493</v>
      </c>
      <c r="Q366" s="20">
        <v>4</v>
      </c>
    </row>
    <row r="367" spans="1:17" ht="80" x14ac:dyDescent="0.2">
      <c r="A367" s="71">
        <v>366</v>
      </c>
      <c r="B367" s="107" t="str">
        <f>HYPERLINK("https://www.ncbi.nlm.nih.gov/gene/23462", "23462")</f>
        <v>23462</v>
      </c>
      <c r="C367" s="109" t="str">
        <f>HYPERLINK("https://www.uniprot.org/uniprot/Q9Y5J3", "Q9Y5J3")</f>
        <v>Q9Y5J3</v>
      </c>
      <c r="D367" s="43" t="s">
        <v>355</v>
      </c>
      <c r="E367" s="16" t="s">
        <v>355</v>
      </c>
      <c r="F367" s="74" t="s">
        <v>1716</v>
      </c>
      <c r="G367" s="28" t="s">
        <v>1717</v>
      </c>
      <c r="H367" s="28" t="s">
        <v>1718</v>
      </c>
      <c r="I367" s="31" t="s">
        <v>2833</v>
      </c>
      <c r="J367" s="73">
        <v>29146722</v>
      </c>
      <c r="K367" s="23" t="s">
        <v>4444</v>
      </c>
      <c r="L367" s="60" t="s">
        <v>3289</v>
      </c>
      <c r="M367" s="60" t="s">
        <v>3289</v>
      </c>
      <c r="N367" s="60" t="s">
        <v>3291</v>
      </c>
      <c r="O367" s="60"/>
      <c r="P367" s="60" t="s">
        <v>3323</v>
      </c>
      <c r="Q367" s="20">
        <v>1</v>
      </c>
    </row>
    <row r="368" spans="1:17" ht="96" x14ac:dyDescent="0.2">
      <c r="A368" s="71">
        <v>367</v>
      </c>
      <c r="B368" s="107" t="str">
        <f>HYPERLINK("https://www.ncbi.nlm.nih.gov/gene/3082", "3082")</f>
        <v>3082</v>
      </c>
      <c r="C368" s="109" t="str">
        <f>HYPERLINK("https://www.uniprot.org/uniprot/P14210", "P14210")</f>
        <v>P14210</v>
      </c>
      <c r="D368" s="43" t="s">
        <v>356</v>
      </c>
      <c r="E368" s="35" t="s">
        <v>356</v>
      </c>
      <c r="F368" s="79" t="s">
        <v>1719</v>
      </c>
      <c r="G368" s="30" t="s">
        <v>1720</v>
      </c>
      <c r="H368" s="30" t="s">
        <v>4016</v>
      </c>
      <c r="I368" s="47" t="s">
        <v>2853</v>
      </c>
      <c r="J368" s="73" t="s">
        <v>3029</v>
      </c>
      <c r="K368" s="16" t="s">
        <v>3770</v>
      </c>
      <c r="L368" s="60" t="s">
        <v>3290</v>
      </c>
      <c r="M368" s="60" t="s">
        <v>3290</v>
      </c>
      <c r="N368" s="60" t="s">
        <v>3291</v>
      </c>
      <c r="O368" s="60"/>
      <c r="P368" s="60" t="s">
        <v>3323</v>
      </c>
      <c r="Q368" s="20">
        <v>1</v>
      </c>
    </row>
    <row r="369" spans="1:17" ht="96" x14ac:dyDescent="0.2">
      <c r="A369" s="71">
        <v>368</v>
      </c>
      <c r="B369" s="107" t="str">
        <f>HYPERLINK("https://www.ncbi.nlm.nih.gov/gene/3090", "3090")</f>
        <v>3090</v>
      </c>
      <c r="C369" s="111" t="str">
        <f>HYPERLINK("https://www.uniprot.org/uniprot/Q14526", "Q14526")</f>
        <v>Q14526</v>
      </c>
      <c r="D369" s="43" t="s">
        <v>357</v>
      </c>
      <c r="E369" s="35" t="s">
        <v>357</v>
      </c>
      <c r="F369" s="79" t="s">
        <v>1721</v>
      </c>
      <c r="G369" s="30" t="s">
        <v>1722</v>
      </c>
      <c r="H369" s="30" t="s">
        <v>4017</v>
      </c>
      <c r="I369" s="47" t="s">
        <v>5226</v>
      </c>
      <c r="J369" s="73">
        <v>15149548</v>
      </c>
      <c r="K369" s="16" t="s">
        <v>3771</v>
      </c>
      <c r="L369" s="60" t="s">
        <v>3309</v>
      </c>
      <c r="M369" s="60" t="s">
        <v>3309</v>
      </c>
      <c r="N369" s="60" t="s">
        <v>3309</v>
      </c>
      <c r="O369" s="60"/>
      <c r="P369" s="60" t="s">
        <v>5498</v>
      </c>
      <c r="Q369" s="20">
        <v>3</v>
      </c>
    </row>
    <row r="370" spans="1:17" ht="128" x14ac:dyDescent="0.2">
      <c r="A370" s="71">
        <v>369</v>
      </c>
      <c r="B370" s="107" t="str">
        <f>HYPERLINK("https://www.ncbi.nlm.nih.gov/gene/3091", "3091")</f>
        <v>3091</v>
      </c>
      <c r="C370" s="109" t="str">
        <f>HYPERLINK("https://www.uniprot.org/uniprot/Q16665", "Q16665")</f>
        <v>Q16665</v>
      </c>
      <c r="D370" s="43" t="s">
        <v>358</v>
      </c>
      <c r="E370" s="16" t="s">
        <v>358</v>
      </c>
      <c r="F370" s="74" t="s">
        <v>1723</v>
      </c>
      <c r="G370" s="28" t="s">
        <v>1724</v>
      </c>
      <c r="H370" s="28" t="s">
        <v>1725</v>
      </c>
      <c r="I370" s="31" t="s">
        <v>5227</v>
      </c>
      <c r="J370" s="73" t="s">
        <v>3840</v>
      </c>
      <c r="K370" s="23" t="s">
        <v>4445</v>
      </c>
      <c r="L370" s="60" t="s">
        <v>3289</v>
      </c>
      <c r="M370" s="60" t="s">
        <v>3289</v>
      </c>
      <c r="N370" s="60" t="s">
        <v>3291</v>
      </c>
      <c r="O370" s="60"/>
      <c r="P370" s="60" t="s">
        <v>5493</v>
      </c>
      <c r="Q370" s="20">
        <v>4</v>
      </c>
    </row>
    <row r="371" spans="1:17" ht="176" x14ac:dyDescent="0.2">
      <c r="A371" s="71">
        <v>370</v>
      </c>
      <c r="B371" s="107" t="str">
        <f>HYPERLINK("https://www.ncbi.nlm.nih.gov/gene/28996", "28996")</f>
        <v>28996</v>
      </c>
      <c r="C371" s="109" t="str">
        <f>HYPERLINK("https://www.uniprot.org/uniprot/Q9H2X6", "Q9H2X6")</f>
        <v>Q9H2X6</v>
      </c>
      <c r="D371" s="43" t="s">
        <v>359</v>
      </c>
      <c r="E371" s="35" t="s">
        <v>359</v>
      </c>
      <c r="F371" s="79"/>
      <c r="G371" s="30" t="s">
        <v>1726</v>
      </c>
      <c r="H371" s="30" t="s">
        <v>4018</v>
      </c>
      <c r="I371" s="47" t="s">
        <v>5226</v>
      </c>
      <c r="J371" s="73" t="s">
        <v>3030</v>
      </c>
      <c r="K371" s="23" t="s">
        <v>4446</v>
      </c>
      <c r="L371" s="60" t="s">
        <v>3292</v>
      </c>
      <c r="M371" s="60" t="s">
        <v>3292</v>
      </c>
      <c r="N371" s="60" t="s">
        <v>3289</v>
      </c>
      <c r="O371" s="60"/>
      <c r="P371" s="60" t="s">
        <v>3323</v>
      </c>
      <c r="Q371" s="20">
        <v>1</v>
      </c>
    </row>
    <row r="372" spans="1:17" ht="160" x14ac:dyDescent="0.2">
      <c r="A372" s="71">
        <v>371</v>
      </c>
      <c r="B372" s="107" t="str">
        <f>HYPERLINK("https://www.ncbi.nlm.nih.gov/gene/3099", "3099")</f>
        <v>3099</v>
      </c>
      <c r="C372" s="113" t="str">
        <f>HYPERLINK("https://www.uniprot.org/uniprot/P52789", "P52789")</f>
        <v>P52789</v>
      </c>
      <c r="D372" s="43" t="s">
        <v>360</v>
      </c>
      <c r="E372" s="35" t="s">
        <v>360</v>
      </c>
      <c r="F372" s="79"/>
      <c r="G372" s="47" t="s">
        <v>1727</v>
      </c>
      <c r="H372" s="47" t="s">
        <v>1728</v>
      </c>
      <c r="I372" s="47" t="s">
        <v>5228</v>
      </c>
      <c r="J372" s="73" t="s">
        <v>3874</v>
      </c>
      <c r="K372" s="23" t="s">
        <v>4447</v>
      </c>
      <c r="L372" s="60" t="s">
        <v>3289</v>
      </c>
      <c r="M372" s="60" t="s">
        <v>3289</v>
      </c>
      <c r="N372" s="60" t="s">
        <v>5523</v>
      </c>
      <c r="O372" s="60"/>
      <c r="P372" s="60" t="s">
        <v>5495</v>
      </c>
      <c r="Q372" s="64">
        <v>2</v>
      </c>
    </row>
    <row r="373" spans="1:17" ht="128" x14ac:dyDescent="0.2">
      <c r="A373" s="71">
        <v>372</v>
      </c>
      <c r="B373" s="107" t="str">
        <f>HYPERLINK("https://www.ncbi.nlm.nih.gov/gene/3146", "3146")</f>
        <v>3146</v>
      </c>
      <c r="C373" s="109" t="str">
        <f>HYPERLINK("https://www.uniprot.org/uniprot/P09429", "P09429")</f>
        <v>P09429</v>
      </c>
      <c r="D373" s="43" t="s">
        <v>361</v>
      </c>
      <c r="E373" s="38" t="s">
        <v>361</v>
      </c>
      <c r="F373" s="32" t="s">
        <v>1729</v>
      </c>
      <c r="G373" s="28" t="s">
        <v>1730</v>
      </c>
      <c r="H373" s="49" t="s">
        <v>4019</v>
      </c>
      <c r="I373" s="49" t="s">
        <v>5229</v>
      </c>
      <c r="J373" s="73" t="s">
        <v>3031</v>
      </c>
      <c r="K373" s="23" t="s">
        <v>4448</v>
      </c>
      <c r="L373" s="60" t="s">
        <v>3289</v>
      </c>
      <c r="M373" s="60" t="s">
        <v>3289</v>
      </c>
      <c r="N373" s="60" t="s">
        <v>3289</v>
      </c>
      <c r="O373" s="60"/>
      <c r="P373" s="60" t="s">
        <v>5493</v>
      </c>
      <c r="Q373" s="20">
        <v>4</v>
      </c>
    </row>
    <row r="374" spans="1:17" ht="112" x14ac:dyDescent="0.2">
      <c r="A374" s="71">
        <v>373</v>
      </c>
      <c r="B374" s="107" t="str">
        <f>HYPERLINK("https://www.ncbi.nlm.nih.gov/gene/3148", "3148")</f>
        <v>3148</v>
      </c>
      <c r="C374" s="109" t="str">
        <f>HYPERLINK("https://www.uniprot.org/uniprot/P26583", "P26583")</f>
        <v>P26583</v>
      </c>
      <c r="D374" s="43" t="s">
        <v>3459</v>
      </c>
      <c r="E374" s="38" t="s">
        <v>3459</v>
      </c>
      <c r="F374" s="32" t="s">
        <v>3460</v>
      </c>
      <c r="G374" s="28" t="s">
        <v>3461</v>
      </c>
      <c r="H374" s="6" t="s">
        <v>3462</v>
      </c>
      <c r="I374" s="49" t="s">
        <v>5229</v>
      </c>
      <c r="J374" s="73" t="s">
        <v>3463</v>
      </c>
      <c r="K374" s="23" t="s">
        <v>4449</v>
      </c>
      <c r="L374" s="60" t="s">
        <v>3291</v>
      </c>
      <c r="M374" s="60" t="s">
        <v>3289</v>
      </c>
      <c r="N374" s="60" t="s">
        <v>3291</v>
      </c>
      <c r="O374" s="60"/>
      <c r="P374" s="60" t="s">
        <v>3323</v>
      </c>
      <c r="Q374" s="20">
        <v>1</v>
      </c>
    </row>
    <row r="375" spans="1:17" ht="112" x14ac:dyDescent="0.2">
      <c r="A375" s="71">
        <v>374</v>
      </c>
      <c r="B375" s="107" t="str">
        <f>HYPERLINK("https://www.ncbi.nlm.nih.gov/gene/3156", "3156")</f>
        <v>3156</v>
      </c>
      <c r="C375" s="109" t="str">
        <f>HYPERLINK("https://www.uniprot.org/uniprot/P04035", "P04035")</f>
        <v>P04035</v>
      </c>
      <c r="D375" s="43" t="s">
        <v>362</v>
      </c>
      <c r="E375" s="35" t="s">
        <v>362</v>
      </c>
      <c r="F375" s="79"/>
      <c r="G375" s="30" t="s">
        <v>1731</v>
      </c>
      <c r="H375" s="30" t="s">
        <v>4020</v>
      </c>
      <c r="I375" s="47" t="s">
        <v>5230</v>
      </c>
      <c r="J375" s="73">
        <v>29466876</v>
      </c>
      <c r="K375" s="23" t="s">
        <v>4450</v>
      </c>
      <c r="L375" s="60" t="s">
        <v>3289</v>
      </c>
      <c r="M375" s="60" t="s">
        <v>3289</v>
      </c>
      <c r="N375" s="60" t="s">
        <v>3289</v>
      </c>
      <c r="O375" s="60" t="s">
        <v>5509</v>
      </c>
      <c r="P375" s="60" t="s">
        <v>5495</v>
      </c>
      <c r="Q375" s="20">
        <v>2</v>
      </c>
    </row>
    <row r="376" spans="1:17" ht="112" x14ac:dyDescent="0.2">
      <c r="A376" s="71">
        <v>375</v>
      </c>
      <c r="B376" s="107" t="str">
        <f>HYPERLINK("https://www.ncbi.nlm.nih.gov/gene/3162", "3162")</f>
        <v>3162</v>
      </c>
      <c r="C376" s="109" t="str">
        <f>HYPERLINK("https://www.uniprot.org/uniprot/P09601", "P09601")</f>
        <v>P09601</v>
      </c>
      <c r="D376" s="43" t="s">
        <v>363</v>
      </c>
      <c r="E376" s="38" t="s">
        <v>363</v>
      </c>
      <c r="F376" s="32" t="s">
        <v>1732</v>
      </c>
      <c r="G376" s="28" t="s">
        <v>1733</v>
      </c>
      <c r="H376" s="6" t="s">
        <v>4021</v>
      </c>
      <c r="I376" s="49" t="s">
        <v>5231</v>
      </c>
      <c r="J376" s="73" t="s">
        <v>3032</v>
      </c>
      <c r="K376" s="23" t="s">
        <v>4451</v>
      </c>
      <c r="L376" s="60" t="s">
        <v>3289</v>
      </c>
      <c r="M376" s="60" t="s">
        <v>3289</v>
      </c>
      <c r="N376" s="60" t="s">
        <v>3291</v>
      </c>
      <c r="O376" s="60"/>
      <c r="P376" s="60" t="s">
        <v>5493</v>
      </c>
      <c r="Q376" s="20">
        <v>4</v>
      </c>
    </row>
    <row r="377" spans="1:17" ht="64" x14ac:dyDescent="0.2">
      <c r="A377" s="71">
        <v>376</v>
      </c>
      <c r="B377" s="107" t="str">
        <f>HYPERLINK("https://www.ncbi.nlm.nih.gov/gene/6928", "6928")</f>
        <v>6928</v>
      </c>
      <c r="C377" s="109" t="str">
        <f>HYPERLINK("https://www.uniprot.org/uniprot/P35680", "P35680")</f>
        <v>P35680</v>
      </c>
      <c r="D377" s="43" t="s">
        <v>364</v>
      </c>
      <c r="E377" s="35" t="s">
        <v>364</v>
      </c>
      <c r="F377" s="79" t="s">
        <v>1734</v>
      </c>
      <c r="G377" s="30" t="s">
        <v>1735</v>
      </c>
      <c r="H377" s="30" t="s">
        <v>4022</v>
      </c>
      <c r="I377" s="47" t="s">
        <v>5232</v>
      </c>
      <c r="J377" s="73" t="s">
        <v>3033</v>
      </c>
      <c r="K377" s="30" t="s">
        <v>4452</v>
      </c>
      <c r="L377" s="60" t="s">
        <v>3292</v>
      </c>
      <c r="M377" s="60" t="s">
        <v>3290</v>
      </c>
      <c r="N377" s="60" t="s">
        <v>3291</v>
      </c>
      <c r="O377" s="60"/>
      <c r="P377" s="60" t="s">
        <v>5492</v>
      </c>
      <c r="Q377" s="20">
        <v>4</v>
      </c>
    </row>
    <row r="378" spans="1:17" ht="96" x14ac:dyDescent="0.2">
      <c r="A378" s="71">
        <v>377</v>
      </c>
      <c r="B378" s="107" t="str">
        <f>HYPERLINK("https://www.ncbi.nlm.nih.gov/gene/3209", "3209")</f>
        <v>3209</v>
      </c>
      <c r="C378" s="109" t="str">
        <f>HYPERLINK("https://www.uniprot.org/uniprot/P31271", "P31271")</f>
        <v>P31271</v>
      </c>
      <c r="D378" s="43" t="s">
        <v>365</v>
      </c>
      <c r="E378" s="35" t="s">
        <v>365</v>
      </c>
      <c r="F378" s="79" t="s">
        <v>1736</v>
      </c>
      <c r="G378" s="30" t="s">
        <v>1737</v>
      </c>
      <c r="H378" s="30" t="s">
        <v>1738</v>
      </c>
      <c r="I378" s="47" t="s">
        <v>5233</v>
      </c>
      <c r="J378" s="73">
        <v>29757528</v>
      </c>
      <c r="K378" s="13" t="s">
        <v>3772</v>
      </c>
      <c r="L378" s="60" t="s">
        <v>3289</v>
      </c>
      <c r="M378" s="60" t="s">
        <v>3289</v>
      </c>
      <c r="N378" s="60" t="s">
        <v>3291</v>
      </c>
      <c r="O378" s="60"/>
      <c r="P378" s="60" t="s">
        <v>5493</v>
      </c>
      <c r="Q378" s="20">
        <v>4</v>
      </c>
    </row>
    <row r="379" spans="1:17" ht="112" x14ac:dyDescent="0.2">
      <c r="A379" s="71">
        <v>378</v>
      </c>
      <c r="B379" s="107" t="str">
        <f>HYPERLINK("https://www.ncbi.nlm.nih.gov/gene/3201", "3201")</f>
        <v>3201</v>
      </c>
      <c r="C379" s="109" t="str">
        <f>HYPERLINK("https://www.uniprot.org/uniprot/Q00056", "Q00056")</f>
        <v>Q00056</v>
      </c>
      <c r="D379" s="43" t="s">
        <v>366</v>
      </c>
      <c r="E379" s="16" t="s">
        <v>366</v>
      </c>
      <c r="F379" s="11" t="s">
        <v>1739</v>
      </c>
      <c r="G379" s="28" t="s">
        <v>1740</v>
      </c>
      <c r="H379" s="6" t="s">
        <v>1741</v>
      </c>
      <c r="I379" s="49" t="s">
        <v>5234</v>
      </c>
      <c r="J379" s="73" t="s">
        <v>3359</v>
      </c>
      <c r="K379" s="5" t="s">
        <v>3773</v>
      </c>
      <c r="L379" s="60" t="s">
        <v>3289</v>
      </c>
      <c r="M379" s="60" t="s">
        <v>3289</v>
      </c>
      <c r="N379" s="60" t="s">
        <v>3291</v>
      </c>
      <c r="O379" s="60"/>
      <c r="P379" s="60" t="s">
        <v>5493</v>
      </c>
      <c r="Q379" s="20">
        <v>4</v>
      </c>
    </row>
    <row r="380" spans="1:17" ht="80" x14ac:dyDescent="0.2">
      <c r="A380" s="71">
        <v>379</v>
      </c>
      <c r="B380" s="107" t="str">
        <f>HYPERLINK("https://www.ncbi.nlm.nih.gov/gene/10481", "10481")</f>
        <v>10481</v>
      </c>
      <c r="C380" s="109" t="str">
        <f>HYPERLINK("https://www.uniprot.org/uniprot/Q92826", "Q92826")</f>
        <v>Q92826</v>
      </c>
      <c r="D380" s="43" t="s">
        <v>367</v>
      </c>
      <c r="E380" s="16" t="s">
        <v>367</v>
      </c>
      <c r="F380" s="11"/>
      <c r="G380" s="28" t="s">
        <v>1742</v>
      </c>
      <c r="H380" s="6" t="s">
        <v>4023</v>
      </c>
      <c r="I380" s="49" t="s">
        <v>5235</v>
      </c>
      <c r="J380" s="73">
        <v>31037158</v>
      </c>
      <c r="K380" s="13" t="s">
        <v>3774</v>
      </c>
      <c r="L380" s="60" t="s">
        <v>3289</v>
      </c>
      <c r="M380" s="60" t="s">
        <v>3289</v>
      </c>
      <c r="N380" s="60" t="s">
        <v>3289</v>
      </c>
      <c r="O380" s="60"/>
      <c r="P380" s="60" t="s">
        <v>5493</v>
      </c>
      <c r="Q380" s="20">
        <v>4</v>
      </c>
    </row>
    <row r="381" spans="1:17" ht="144" x14ac:dyDescent="0.2">
      <c r="A381" s="71">
        <v>380</v>
      </c>
      <c r="B381" s="107" t="str">
        <f>HYPERLINK("https://www.ncbi.nlm.nih.gov/gene/3213", "3213")</f>
        <v>3213</v>
      </c>
      <c r="C381" s="109" t="str">
        <f>HYPERLINK("https://www.uniprot.org/uniprot/P14651", "P14651")</f>
        <v>P14651</v>
      </c>
      <c r="D381" s="43" t="s">
        <v>368</v>
      </c>
      <c r="E381" s="16" t="s">
        <v>368</v>
      </c>
      <c r="F381" s="11" t="s">
        <v>1743</v>
      </c>
      <c r="G381" s="28" t="s">
        <v>1744</v>
      </c>
      <c r="H381" s="6" t="s">
        <v>4024</v>
      </c>
      <c r="I381" s="49" t="s">
        <v>5236</v>
      </c>
      <c r="J381" s="73" t="s">
        <v>3034</v>
      </c>
      <c r="K381" s="13" t="s">
        <v>3775</v>
      </c>
      <c r="L381" s="60" t="s">
        <v>3289</v>
      </c>
      <c r="M381" s="60" t="s">
        <v>3289</v>
      </c>
      <c r="N381" s="60" t="s">
        <v>3291</v>
      </c>
      <c r="O381" s="60"/>
      <c r="P381" s="60" t="s">
        <v>5493</v>
      </c>
      <c r="Q381" s="20">
        <v>4</v>
      </c>
    </row>
    <row r="382" spans="1:17" ht="96" x14ac:dyDescent="0.2">
      <c r="A382" s="71">
        <v>381</v>
      </c>
      <c r="B382" s="107" t="str">
        <f>HYPERLINK("https://www.ncbi.nlm.nih.gov/gene/3214", "3214")</f>
        <v>3214</v>
      </c>
      <c r="C382" s="109" t="str">
        <f>HYPERLINK("https://www.uniprot.org/uniprot/P17483", "P17483")</f>
        <v>P17483</v>
      </c>
      <c r="D382" s="43" t="s">
        <v>369</v>
      </c>
      <c r="E382" s="35" t="s">
        <v>369</v>
      </c>
      <c r="F382" s="79" t="s">
        <v>1745</v>
      </c>
      <c r="G382" s="30" t="s">
        <v>1746</v>
      </c>
      <c r="H382" s="30" t="s">
        <v>1747</v>
      </c>
      <c r="I382" s="47" t="s">
        <v>5237</v>
      </c>
      <c r="J382" s="73">
        <v>29660518</v>
      </c>
      <c r="K382" s="23" t="s">
        <v>4453</v>
      </c>
      <c r="L382" s="60" t="s">
        <v>3289</v>
      </c>
      <c r="M382" s="60" t="s">
        <v>3289</v>
      </c>
      <c r="N382" s="60" t="s">
        <v>3291</v>
      </c>
      <c r="O382" s="60"/>
      <c r="P382" s="60" t="s">
        <v>3323</v>
      </c>
      <c r="Q382" s="20">
        <v>1</v>
      </c>
    </row>
    <row r="383" spans="1:17" ht="64" x14ac:dyDescent="0.2">
      <c r="A383" s="71">
        <v>382</v>
      </c>
      <c r="B383" s="107" t="str">
        <f>HYPERLINK("https://www.ncbi.nlm.nih.gov/gene/3217", "3217")</f>
        <v>3217</v>
      </c>
      <c r="C383" s="112" t="str">
        <f>HYPERLINK("https://www.uniprot.org/uniprot/P09629", "P09629")</f>
        <v>P09629</v>
      </c>
      <c r="D383" s="43" t="s">
        <v>3588</v>
      </c>
      <c r="E383" s="35" t="s">
        <v>3588</v>
      </c>
      <c r="F383" s="79" t="s">
        <v>3589</v>
      </c>
      <c r="G383" s="47" t="s">
        <v>3590</v>
      </c>
      <c r="H383" s="47" t="s">
        <v>1738</v>
      </c>
      <c r="I383" s="47" t="s">
        <v>5238</v>
      </c>
      <c r="J383" s="73">
        <v>31568655</v>
      </c>
      <c r="K383" s="23" t="s">
        <v>4454</v>
      </c>
      <c r="L383" s="60" t="s">
        <v>3289</v>
      </c>
      <c r="M383" s="60" t="s">
        <v>3289</v>
      </c>
      <c r="N383" s="60" t="s">
        <v>3291</v>
      </c>
      <c r="O383" s="60"/>
      <c r="P383" s="60" t="s">
        <v>5493</v>
      </c>
      <c r="Q383" s="64">
        <v>4</v>
      </c>
    </row>
    <row r="384" spans="1:17" ht="64" x14ac:dyDescent="0.2">
      <c r="A384" s="71">
        <v>383</v>
      </c>
      <c r="B384" s="107" t="str">
        <f>HYPERLINK("https://www.ncbi.nlm.nih.gov/gene/3234", "3234")</f>
        <v>3234</v>
      </c>
      <c r="C384" s="109" t="str">
        <f>HYPERLINK("https://www.uniprot.org/uniprot/P13378", "P13378")</f>
        <v>P13378</v>
      </c>
      <c r="D384" s="43" t="s">
        <v>370</v>
      </c>
      <c r="E384" s="35" t="s">
        <v>370</v>
      </c>
      <c r="F384" s="79" t="s">
        <v>1748</v>
      </c>
      <c r="G384" s="30" t="s">
        <v>1749</v>
      </c>
      <c r="H384" s="30" t="s">
        <v>1747</v>
      </c>
      <c r="I384" s="47" t="s">
        <v>5239</v>
      </c>
      <c r="J384" s="73">
        <v>30194340</v>
      </c>
      <c r="K384" s="23" t="s">
        <v>4455</v>
      </c>
      <c r="L384" s="60" t="s">
        <v>3289</v>
      </c>
      <c r="M384" s="60" t="s">
        <v>3289</v>
      </c>
      <c r="N384" s="60" t="s">
        <v>3291</v>
      </c>
      <c r="O384" s="60"/>
      <c r="P384" s="60" t="s">
        <v>5492</v>
      </c>
      <c r="Q384" s="20">
        <v>4</v>
      </c>
    </row>
    <row r="385" spans="1:17" ht="64" x14ac:dyDescent="0.2">
      <c r="A385" s="71">
        <v>384</v>
      </c>
      <c r="B385" s="107" t="str">
        <f>HYPERLINK("https://www.ncbi.nlm.nih.gov/gene/78995", "78995")</f>
        <v>78995</v>
      </c>
      <c r="C385" s="113" t="str">
        <f>HYPERLINK("https://www.uniprot.org/uniprot/Q8N3J3", "Q8N3J3")</f>
        <v>Q8N3J3</v>
      </c>
      <c r="D385" s="43" t="s">
        <v>371</v>
      </c>
      <c r="E385" s="35" t="s">
        <v>371</v>
      </c>
      <c r="F385" s="79" t="s">
        <v>1750</v>
      </c>
      <c r="G385" s="30" t="s">
        <v>1751</v>
      </c>
      <c r="H385" s="30" t="s">
        <v>1752</v>
      </c>
      <c r="I385" s="47" t="s">
        <v>3332</v>
      </c>
      <c r="J385" s="73" t="s">
        <v>3035</v>
      </c>
      <c r="K385" s="23" t="s">
        <v>4456</v>
      </c>
      <c r="L385" s="60" t="s">
        <v>3291</v>
      </c>
      <c r="M385" s="60" t="s">
        <v>3289</v>
      </c>
      <c r="N385" s="60" t="s">
        <v>3291</v>
      </c>
      <c r="O385" s="60"/>
      <c r="P385" s="60" t="s">
        <v>3323</v>
      </c>
      <c r="Q385" s="20">
        <v>1</v>
      </c>
    </row>
    <row r="386" spans="1:17" ht="144" x14ac:dyDescent="0.2">
      <c r="A386" s="71">
        <v>385</v>
      </c>
      <c r="B386" s="107" t="str">
        <f>HYPERLINK("https://www.ncbi.nlm.nih.gov/gene/3297", "3297")</f>
        <v>3297</v>
      </c>
      <c r="C386" s="109" t="str">
        <f>HYPERLINK("https://www.uniprot.org/uniprot/Q00613", "Q00613")</f>
        <v>Q00613</v>
      </c>
      <c r="D386" s="43" t="s">
        <v>372</v>
      </c>
      <c r="E386" s="35" t="s">
        <v>372</v>
      </c>
      <c r="F386" s="79" t="s">
        <v>1753</v>
      </c>
      <c r="G386" s="30" t="s">
        <v>1754</v>
      </c>
      <c r="H386" s="30" t="s">
        <v>4025</v>
      </c>
      <c r="I386" s="47" t="s">
        <v>5240</v>
      </c>
      <c r="J386" s="73" t="s">
        <v>3036</v>
      </c>
      <c r="K386" s="57" t="s">
        <v>4457</v>
      </c>
      <c r="L386" s="60" t="s">
        <v>3289</v>
      </c>
      <c r="M386" s="60" t="s">
        <v>3289</v>
      </c>
      <c r="N386" s="60" t="s">
        <v>3289</v>
      </c>
      <c r="O386" s="60"/>
      <c r="P386" s="60" t="s">
        <v>5493</v>
      </c>
      <c r="Q386" s="20">
        <v>4</v>
      </c>
    </row>
    <row r="387" spans="1:17" ht="192" x14ac:dyDescent="0.2">
      <c r="A387" s="71">
        <v>386</v>
      </c>
      <c r="B387" s="107" t="str">
        <f>HYPERLINK("https://www.ncbi.nlm.nih.gov/gene/3320", "3320")</f>
        <v>3320</v>
      </c>
      <c r="C387" s="109" t="str">
        <f>HYPERLINK("https://www.uniprot.org/uniprot/P07900", "P07900")</f>
        <v>P07900</v>
      </c>
      <c r="D387" s="43" t="s">
        <v>375</v>
      </c>
      <c r="E387" s="16" t="s">
        <v>375</v>
      </c>
      <c r="F387" s="74" t="s">
        <v>1759</v>
      </c>
      <c r="G387" s="28" t="s">
        <v>1760</v>
      </c>
      <c r="H387" s="28" t="s">
        <v>4026</v>
      </c>
      <c r="I387" s="31" t="s">
        <v>2855</v>
      </c>
      <c r="J387" s="73" t="s">
        <v>3872</v>
      </c>
      <c r="K387" s="57" t="s">
        <v>4458</v>
      </c>
      <c r="L387" s="60" t="s">
        <v>3289</v>
      </c>
      <c r="M387" s="60" t="s">
        <v>3289</v>
      </c>
      <c r="N387" s="60" t="s">
        <v>3289</v>
      </c>
      <c r="O387" s="60"/>
      <c r="P387" s="60" t="s">
        <v>5499</v>
      </c>
      <c r="Q387" s="20">
        <v>5</v>
      </c>
    </row>
    <row r="388" spans="1:17" ht="96" x14ac:dyDescent="0.2">
      <c r="A388" s="71">
        <v>387</v>
      </c>
      <c r="B388" s="107" t="str">
        <f>HYPERLINK("https://www.ncbi.nlm.nih.gov/gene/3326", "3326")</f>
        <v>3326</v>
      </c>
      <c r="C388" s="109" t="str">
        <f>HYPERLINK("https://www.uniprot.org/uniprot/P08238", "P08238")</f>
        <v>P08238</v>
      </c>
      <c r="D388" s="43" t="s">
        <v>376</v>
      </c>
      <c r="E388" s="16" t="s">
        <v>376</v>
      </c>
      <c r="F388" s="74" t="s">
        <v>1761</v>
      </c>
      <c r="G388" s="28" t="s">
        <v>1762</v>
      </c>
      <c r="H388" s="28" t="s">
        <v>4027</v>
      </c>
      <c r="I388" s="31" t="s">
        <v>2855</v>
      </c>
      <c r="J388" s="73" t="s">
        <v>3871</v>
      </c>
      <c r="K388" s="23" t="s">
        <v>4459</v>
      </c>
      <c r="L388" s="60" t="s">
        <v>3289</v>
      </c>
      <c r="M388" s="60" t="s">
        <v>3289</v>
      </c>
      <c r="N388" s="60" t="s">
        <v>3291</v>
      </c>
      <c r="O388" s="60"/>
      <c r="P388" s="60" t="s">
        <v>5497</v>
      </c>
      <c r="Q388" s="20">
        <v>4</v>
      </c>
    </row>
    <row r="389" spans="1:17" ht="128" x14ac:dyDescent="0.2">
      <c r="A389" s="71">
        <v>388</v>
      </c>
      <c r="B389" s="107" t="str">
        <f>HYPERLINK("https://www.ncbi.nlm.nih.gov/gene/3303", "3303")</f>
        <v>3303</v>
      </c>
      <c r="C389" s="109" t="str">
        <f>HYPERLINK("https://www.uniprot.org/uniprot/P0DMV8", "P0DMV8")</f>
        <v>P0DMV8</v>
      </c>
      <c r="D389" s="43" t="s">
        <v>373</v>
      </c>
      <c r="E389" s="16" t="s">
        <v>373</v>
      </c>
      <c r="F389" s="74" t="s">
        <v>1755</v>
      </c>
      <c r="G389" s="28" t="s">
        <v>1756</v>
      </c>
      <c r="H389" s="28" t="s">
        <v>4028</v>
      </c>
      <c r="I389" s="31" t="s">
        <v>2855</v>
      </c>
      <c r="J389" s="73" t="s">
        <v>3870</v>
      </c>
      <c r="K389" s="23" t="s">
        <v>4460</v>
      </c>
      <c r="L389" s="60" t="s">
        <v>3289</v>
      </c>
      <c r="M389" s="60" t="s">
        <v>3289</v>
      </c>
      <c r="N389" s="60" t="s">
        <v>3289</v>
      </c>
      <c r="O389" s="60"/>
      <c r="P389" s="60" t="s">
        <v>5499</v>
      </c>
      <c r="Q389" s="20">
        <v>5</v>
      </c>
    </row>
    <row r="390" spans="1:17" ht="128" x14ac:dyDescent="0.2">
      <c r="A390" s="71">
        <v>389</v>
      </c>
      <c r="B390" s="107" t="str">
        <f>HYPERLINK("https://www.ncbi.nlm.nih.gov/gene/3304", "3304")</f>
        <v>3304</v>
      </c>
      <c r="C390" s="109" t="str">
        <f>HYPERLINK("https://www.uniprot.org/uniprot/P0DMV9", "P0DMV9")</f>
        <v>P0DMV9</v>
      </c>
      <c r="D390" s="43" t="s">
        <v>374</v>
      </c>
      <c r="E390" s="16" t="s">
        <v>374</v>
      </c>
      <c r="F390" s="74" t="s">
        <v>1757</v>
      </c>
      <c r="G390" s="28" t="s">
        <v>1758</v>
      </c>
      <c r="H390" s="28" t="s">
        <v>4028</v>
      </c>
      <c r="I390" s="31" t="s">
        <v>2855</v>
      </c>
      <c r="J390" s="73" t="s">
        <v>3870</v>
      </c>
      <c r="K390" s="52" t="s">
        <v>4961</v>
      </c>
      <c r="L390" s="60" t="s">
        <v>3289</v>
      </c>
      <c r="M390" s="60" t="s">
        <v>3289</v>
      </c>
      <c r="N390" s="60" t="s">
        <v>3289</v>
      </c>
      <c r="O390" s="60"/>
      <c r="P390" s="60" t="s">
        <v>5495</v>
      </c>
      <c r="Q390" s="20">
        <v>2</v>
      </c>
    </row>
    <row r="391" spans="1:17" ht="80" x14ac:dyDescent="0.2">
      <c r="A391" s="71">
        <v>390</v>
      </c>
      <c r="B391" s="107" t="str">
        <f>HYPERLINK("https://www.ncbi.nlm.nih.gov/gene/3309", "3309")</f>
        <v>3309</v>
      </c>
      <c r="C391" s="109" t="str">
        <f>HYPERLINK("https://www.uniprot.org/uniprot/P11021", "P11021")</f>
        <v>P11021</v>
      </c>
      <c r="D391" s="43" t="s">
        <v>377</v>
      </c>
      <c r="E391" s="16" t="s">
        <v>377</v>
      </c>
      <c r="F391" s="74" t="s">
        <v>1763</v>
      </c>
      <c r="G391" s="28" t="s">
        <v>1764</v>
      </c>
      <c r="H391" s="28" t="s">
        <v>1765</v>
      </c>
      <c r="I391" s="31" t="s">
        <v>5241</v>
      </c>
      <c r="J391" s="73" t="s">
        <v>3037</v>
      </c>
      <c r="K391" s="23" t="s">
        <v>4461</v>
      </c>
      <c r="L391" s="60" t="s">
        <v>3289</v>
      </c>
      <c r="M391" s="60" t="s">
        <v>3289</v>
      </c>
      <c r="N391" s="60" t="s">
        <v>3291</v>
      </c>
      <c r="O391" s="60"/>
      <c r="P391" s="60" t="s">
        <v>5499</v>
      </c>
      <c r="Q391" s="20">
        <v>5</v>
      </c>
    </row>
    <row r="392" spans="1:17" ht="160" x14ac:dyDescent="0.2">
      <c r="A392" s="71">
        <v>391</v>
      </c>
      <c r="B392" s="107" t="str">
        <f>HYPERLINK("https://www.ncbi.nlm.nih.gov/gene/3315", "3315")</f>
        <v>3315</v>
      </c>
      <c r="C392" s="109" t="str">
        <f>HYPERLINK("https://www.uniprot.org/uniprot/P04792", "P04792")</f>
        <v>P04792</v>
      </c>
      <c r="D392" s="43" t="s">
        <v>378</v>
      </c>
      <c r="E392" s="16" t="s">
        <v>378</v>
      </c>
      <c r="F392" s="74" t="s">
        <v>1766</v>
      </c>
      <c r="G392" s="28" t="s">
        <v>4988</v>
      </c>
      <c r="H392" s="28" t="s">
        <v>1767</v>
      </c>
      <c r="I392" s="31" t="s">
        <v>5242</v>
      </c>
      <c r="J392" s="73" t="s">
        <v>3639</v>
      </c>
      <c r="K392" s="23" t="s">
        <v>4462</v>
      </c>
      <c r="L392" s="60" t="s">
        <v>3289</v>
      </c>
      <c r="M392" s="60" t="s">
        <v>3289</v>
      </c>
      <c r="N392" s="60" t="s">
        <v>3291</v>
      </c>
      <c r="O392" s="60"/>
      <c r="P392" s="60" t="s">
        <v>5493</v>
      </c>
      <c r="Q392" s="20">
        <v>4</v>
      </c>
    </row>
    <row r="393" spans="1:17" ht="128" x14ac:dyDescent="0.2">
      <c r="A393" s="71">
        <v>392</v>
      </c>
      <c r="B393" s="107" t="str">
        <f>HYPERLINK("https://www.ncbi.nlm.nih.gov/gene/3329", "3329")</f>
        <v>3329</v>
      </c>
      <c r="C393" s="109" t="str">
        <f>HYPERLINK("https://www.uniprot.org/uniprot/P10809", "P10809")</f>
        <v>P10809</v>
      </c>
      <c r="D393" s="43" t="s">
        <v>379</v>
      </c>
      <c r="E393" s="16" t="s">
        <v>379</v>
      </c>
      <c r="F393" s="74" t="s">
        <v>1768</v>
      </c>
      <c r="G393" s="28" t="s">
        <v>3382</v>
      </c>
      <c r="H393" s="28" t="s">
        <v>3383</v>
      </c>
      <c r="I393" s="31" t="s">
        <v>2855</v>
      </c>
      <c r="J393" s="73" t="s">
        <v>3384</v>
      </c>
      <c r="K393" s="23" t="s">
        <v>4463</v>
      </c>
      <c r="L393" s="60" t="s">
        <v>3289</v>
      </c>
      <c r="M393" s="60" t="s">
        <v>3289</v>
      </c>
      <c r="N393" s="60" t="s">
        <v>3289</v>
      </c>
      <c r="O393" s="60"/>
      <c r="P393" s="60" t="s">
        <v>3323</v>
      </c>
      <c r="Q393" s="20">
        <v>1</v>
      </c>
    </row>
    <row r="394" spans="1:17" ht="112" x14ac:dyDescent="0.2">
      <c r="A394" s="71">
        <v>393</v>
      </c>
      <c r="B394" s="107" t="str">
        <f>HYPERLINK("https://www.ncbi.nlm.nih.gov/gene/27429", "27429")</f>
        <v>27429</v>
      </c>
      <c r="C394" s="109" t="str">
        <f>HYPERLINK("https://www.uniprot.org/uniprot/O43464", "O43464")</f>
        <v>O43464</v>
      </c>
      <c r="D394" s="43" t="s">
        <v>380</v>
      </c>
      <c r="E394" s="16" t="s">
        <v>380</v>
      </c>
      <c r="F394" s="74" t="s">
        <v>1769</v>
      </c>
      <c r="G394" s="28" t="s">
        <v>1770</v>
      </c>
      <c r="H394" s="28" t="s">
        <v>1771</v>
      </c>
      <c r="I394" s="31" t="s">
        <v>2824</v>
      </c>
      <c r="J394" s="73">
        <v>29168038</v>
      </c>
      <c r="K394" s="23" t="s">
        <v>4464</v>
      </c>
      <c r="L394" s="60" t="s">
        <v>3292</v>
      </c>
      <c r="M394" s="60" t="s">
        <v>3292</v>
      </c>
      <c r="N394" s="60" t="s">
        <v>3292</v>
      </c>
      <c r="O394" s="60"/>
      <c r="P394" s="60" t="s">
        <v>5493</v>
      </c>
      <c r="Q394" s="20">
        <v>4</v>
      </c>
    </row>
    <row r="395" spans="1:17" ht="80" x14ac:dyDescent="0.2">
      <c r="A395" s="71">
        <v>394</v>
      </c>
      <c r="B395" s="107" t="str">
        <f>HYPERLINK("https://www.ncbi.nlm.nih.gov/gene/3383", "3383")</f>
        <v>3383</v>
      </c>
      <c r="C395" s="109" t="str">
        <f>HYPERLINK("https://www.uniprot.org/uniprot/P05362", "P05362")</f>
        <v>P05362</v>
      </c>
      <c r="D395" s="43" t="s">
        <v>381</v>
      </c>
      <c r="E395" s="16" t="s">
        <v>381</v>
      </c>
      <c r="F395" s="74" t="s">
        <v>1772</v>
      </c>
      <c r="G395" s="28" t="s">
        <v>1773</v>
      </c>
      <c r="H395" s="28" t="s">
        <v>4029</v>
      </c>
      <c r="I395" s="31" t="s">
        <v>2842</v>
      </c>
      <c r="J395" s="73" t="s">
        <v>3038</v>
      </c>
      <c r="K395" s="23" t="s">
        <v>4465</v>
      </c>
      <c r="L395" s="60" t="s">
        <v>3291</v>
      </c>
      <c r="M395" s="60" t="s">
        <v>3289</v>
      </c>
      <c r="N395" s="60" t="s">
        <v>3289</v>
      </c>
      <c r="O395" s="60"/>
      <c r="P395" s="60" t="s">
        <v>3323</v>
      </c>
      <c r="Q395" s="20">
        <v>1</v>
      </c>
    </row>
    <row r="396" spans="1:17" ht="112" x14ac:dyDescent="0.2">
      <c r="A396" s="71">
        <v>395</v>
      </c>
      <c r="B396" s="107" t="str">
        <f>HYPERLINK("https://www.ncbi.nlm.nih.gov/gene/3397", "3397")</f>
        <v>3397</v>
      </c>
      <c r="C396" s="111" t="str">
        <f>HYPERLINK("https://www.uniprot.org/uniprot/P41134", "P41134")</f>
        <v>P41134</v>
      </c>
      <c r="D396" s="43" t="s">
        <v>382</v>
      </c>
      <c r="E396" s="16" t="s">
        <v>382</v>
      </c>
      <c r="F396" s="74" t="s">
        <v>1774</v>
      </c>
      <c r="G396" s="28" t="s">
        <v>1775</v>
      </c>
      <c r="H396" s="28" t="s">
        <v>1776</v>
      </c>
      <c r="I396" s="31" t="s">
        <v>5243</v>
      </c>
      <c r="J396" s="73">
        <v>32080166</v>
      </c>
      <c r="K396" s="23" t="s">
        <v>4466</v>
      </c>
      <c r="L396" s="60" t="s">
        <v>3289</v>
      </c>
      <c r="M396" s="60" t="s">
        <v>3289</v>
      </c>
      <c r="N396" s="60" t="s">
        <v>3291</v>
      </c>
      <c r="O396" s="60"/>
      <c r="P396" s="60" t="s">
        <v>5493</v>
      </c>
      <c r="Q396" s="20">
        <v>4</v>
      </c>
    </row>
    <row r="397" spans="1:17" ht="144" x14ac:dyDescent="0.2">
      <c r="A397" s="71">
        <v>396</v>
      </c>
      <c r="B397" s="107" t="str">
        <f>HYPERLINK("https://www.ncbi.nlm.nih.gov/gene/3458", "3458")</f>
        <v>3458</v>
      </c>
      <c r="C397" s="109" t="str">
        <f>HYPERLINK("https://www.uniprot.org/uniprot/P01579", "P01579")</f>
        <v>P01579</v>
      </c>
      <c r="D397" s="43" t="s">
        <v>383</v>
      </c>
      <c r="E397" s="35" t="s">
        <v>383</v>
      </c>
      <c r="F397" s="79"/>
      <c r="G397" s="30" t="s">
        <v>1777</v>
      </c>
      <c r="H397" s="30" t="s">
        <v>1778</v>
      </c>
      <c r="I397" s="47" t="s">
        <v>2842</v>
      </c>
      <c r="J397" s="73" t="s">
        <v>3649</v>
      </c>
      <c r="K397" s="23" t="s">
        <v>4467</v>
      </c>
      <c r="L397" s="60" t="s">
        <v>3291</v>
      </c>
      <c r="M397" s="60" t="s">
        <v>3292</v>
      </c>
      <c r="N397" s="60" t="s">
        <v>3289</v>
      </c>
      <c r="O397" s="60"/>
      <c r="P397" s="60" t="s">
        <v>5499</v>
      </c>
      <c r="Q397" s="20">
        <v>5</v>
      </c>
    </row>
    <row r="398" spans="1:17" ht="96" x14ac:dyDescent="0.2">
      <c r="A398" s="71">
        <v>397</v>
      </c>
      <c r="B398" s="107" t="str">
        <f>HYPERLINK("https://www.ncbi.nlm.nih.gov/gene/3479", "3479")</f>
        <v>3479</v>
      </c>
      <c r="C398" s="109" t="str">
        <f>HYPERLINK("https://www.uniprot.org/uniprot/P05019", "P05019")</f>
        <v>P05019</v>
      </c>
      <c r="D398" s="43" t="s">
        <v>384</v>
      </c>
      <c r="E398" s="35" t="s">
        <v>384</v>
      </c>
      <c r="F398" s="79" t="s">
        <v>1779</v>
      </c>
      <c r="G398" s="30" t="s">
        <v>1780</v>
      </c>
      <c r="H398" s="30" t="s">
        <v>1781</v>
      </c>
      <c r="I398" s="47" t="s">
        <v>5244</v>
      </c>
      <c r="J398" s="73" t="s">
        <v>3039</v>
      </c>
      <c r="K398" s="23" t="s">
        <v>4468</v>
      </c>
      <c r="L398" s="60" t="s">
        <v>3289</v>
      </c>
      <c r="M398" s="60" t="s">
        <v>3289</v>
      </c>
      <c r="N398" s="60" t="s">
        <v>3289</v>
      </c>
      <c r="O398" s="60"/>
      <c r="P398" s="60" t="s">
        <v>5495</v>
      </c>
      <c r="Q398" s="20">
        <v>2</v>
      </c>
    </row>
    <row r="399" spans="1:17" ht="64" x14ac:dyDescent="0.2">
      <c r="A399" s="71">
        <v>398</v>
      </c>
      <c r="B399" s="107" t="str">
        <f>HYPERLINK("https://www.ncbi.nlm.nih.gov/gene/3480", "3480")</f>
        <v>3480</v>
      </c>
      <c r="C399" s="109" t="str">
        <f>HYPERLINK("https://www.uniprot.org/uniprot/P08069", "P08069")</f>
        <v>P08069</v>
      </c>
      <c r="D399" s="43" t="s">
        <v>385</v>
      </c>
      <c r="E399" s="35" t="s">
        <v>385</v>
      </c>
      <c r="F399" s="79"/>
      <c r="G399" s="30" t="s">
        <v>1782</v>
      </c>
      <c r="H399" s="30" t="s">
        <v>1783</v>
      </c>
      <c r="I399" s="47" t="s">
        <v>5244</v>
      </c>
      <c r="J399" s="73">
        <v>28545426</v>
      </c>
      <c r="K399" s="23" t="s">
        <v>4469</v>
      </c>
      <c r="L399" s="60" t="s">
        <v>3289</v>
      </c>
      <c r="M399" s="60" t="s">
        <v>3289</v>
      </c>
      <c r="N399" s="60" t="s">
        <v>3289</v>
      </c>
      <c r="O399" s="60" t="s">
        <v>5509</v>
      </c>
      <c r="P399" s="60" t="s">
        <v>5495</v>
      </c>
      <c r="Q399" s="20">
        <v>2</v>
      </c>
    </row>
    <row r="400" spans="1:17" ht="96" x14ac:dyDescent="0.2">
      <c r="A400" s="71">
        <v>399</v>
      </c>
      <c r="B400" s="107" t="str">
        <f>HYPERLINK("https://www.ncbi.nlm.nih.gov/gene/3481", "3481")</f>
        <v>3481</v>
      </c>
      <c r="C400" s="109" t="str">
        <f>HYPERLINK("https://www.uniprot.org/uniprot/P01344", "P01344")</f>
        <v>P01344</v>
      </c>
      <c r="D400" s="43" t="s">
        <v>386</v>
      </c>
      <c r="E400" s="35" t="s">
        <v>386</v>
      </c>
      <c r="F400" s="79"/>
      <c r="G400" s="30" t="s">
        <v>1784</v>
      </c>
      <c r="H400" s="30" t="s">
        <v>1785</v>
      </c>
      <c r="I400" s="47" t="s">
        <v>2849</v>
      </c>
      <c r="J400" s="73" t="s">
        <v>3680</v>
      </c>
      <c r="K400" s="23" t="s">
        <v>4470</v>
      </c>
      <c r="L400" s="60" t="s">
        <v>3291</v>
      </c>
      <c r="M400" s="60" t="s">
        <v>3289</v>
      </c>
      <c r="N400" s="60" t="s">
        <v>3291</v>
      </c>
      <c r="O400" s="60"/>
      <c r="P400" s="60" t="s">
        <v>3323</v>
      </c>
      <c r="Q400" s="20">
        <v>1</v>
      </c>
    </row>
    <row r="401" spans="1:17" ht="128" x14ac:dyDescent="0.2">
      <c r="A401" s="71">
        <v>400</v>
      </c>
      <c r="B401" s="107" t="str">
        <f>HYPERLINK("https://www.ncbi.nlm.nih.gov/gene/10642", "10642")</f>
        <v>10642</v>
      </c>
      <c r="C401" s="113" t="str">
        <f>HYPERLINK("https://www.uniprot.org/uniprot/Q9NZI8", "Q9NZI8")</f>
        <v>Q9NZI8</v>
      </c>
      <c r="D401" s="43" t="s">
        <v>387</v>
      </c>
      <c r="E401" s="35" t="s">
        <v>387</v>
      </c>
      <c r="F401" s="79" t="s">
        <v>1786</v>
      </c>
      <c r="G401" s="47" t="s">
        <v>1787</v>
      </c>
      <c r="H401" s="47" t="s">
        <v>4030</v>
      </c>
      <c r="I401" s="47" t="s">
        <v>5245</v>
      </c>
      <c r="J401" s="73" t="s">
        <v>3040</v>
      </c>
      <c r="K401" s="23" t="s">
        <v>4471</v>
      </c>
      <c r="L401" s="60" t="s">
        <v>3291</v>
      </c>
      <c r="M401" s="60" t="s">
        <v>3289</v>
      </c>
      <c r="N401" s="60" t="s">
        <v>3291</v>
      </c>
      <c r="O401" s="60"/>
      <c r="P401" s="60" t="s">
        <v>3323</v>
      </c>
      <c r="Q401" s="64">
        <v>1</v>
      </c>
    </row>
    <row r="402" spans="1:17" ht="96" x14ac:dyDescent="0.2">
      <c r="A402" s="71">
        <v>401</v>
      </c>
      <c r="B402" s="107" t="str">
        <f>HYPERLINK("https://www.ncbi.nlm.nih.gov/gene/10643", "10643")</f>
        <v>10643</v>
      </c>
      <c r="C402" s="117" t="str">
        <f>HYPERLINK("https://www.uniprot.org/uniprot/O00425", "O00425")</f>
        <v>O00425</v>
      </c>
      <c r="D402" s="44" t="s">
        <v>388</v>
      </c>
      <c r="E402" s="35" t="s">
        <v>388</v>
      </c>
      <c r="F402" s="79" t="s">
        <v>1788</v>
      </c>
      <c r="G402" s="30" t="s">
        <v>1789</v>
      </c>
      <c r="H402" s="30" t="s">
        <v>1790</v>
      </c>
      <c r="I402" s="47" t="s">
        <v>5246</v>
      </c>
      <c r="J402" s="73">
        <v>26158423</v>
      </c>
      <c r="K402" s="23" t="s">
        <v>4472</v>
      </c>
      <c r="L402" s="60" t="s">
        <v>3289</v>
      </c>
      <c r="M402" s="60" t="s">
        <v>3289</v>
      </c>
      <c r="N402" s="60" t="s">
        <v>3291</v>
      </c>
      <c r="O402" s="60"/>
      <c r="P402" s="60" t="s">
        <v>5493</v>
      </c>
      <c r="Q402" s="20">
        <v>4</v>
      </c>
    </row>
    <row r="403" spans="1:17" ht="80" x14ac:dyDescent="0.2">
      <c r="A403" s="71">
        <v>402</v>
      </c>
      <c r="B403" s="118" t="str">
        <f>HYPERLINK("https://www.ncbi.nlm.nih.gov/gene/3482", "3482")</f>
        <v>3482</v>
      </c>
      <c r="C403" s="119" t="str">
        <f>HYPERLINK("https://www.uniprot.org/uniprot/P11717", "P11717")</f>
        <v>P11717</v>
      </c>
      <c r="D403" s="43" t="s">
        <v>3681</v>
      </c>
      <c r="E403" s="35" t="s">
        <v>3681</v>
      </c>
      <c r="F403" s="79" t="s">
        <v>3682</v>
      </c>
      <c r="G403" s="47" t="s">
        <v>3683</v>
      </c>
      <c r="H403" s="47" t="s">
        <v>3684</v>
      </c>
      <c r="I403" s="47" t="s">
        <v>2849</v>
      </c>
      <c r="J403" s="73">
        <v>25402559</v>
      </c>
      <c r="K403" s="23" t="s">
        <v>4473</v>
      </c>
      <c r="L403" s="60" t="s">
        <v>3292</v>
      </c>
      <c r="M403" s="60" t="s">
        <v>3292</v>
      </c>
      <c r="N403" s="60" t="s">
        <v>3291</v>
      </c>
      <c r="O403" s="60"/>
      <c r="P403" s="60" t="s">
        <v>5493</v>
      </c>
      <c r="Q403" s="64">
        <v>4</v>
      </c>
    </row>
    <row r="404" spans="1:17" ht="112" x14ac:dyDescent="0.2">
      <c r="A404" s="71">
        <v>403</v>
      </c>
      <c r="B404" s="107" t="str">
        <f>HYPERLINK("https://www.ncbi.nlm.nih.gov/gene/3551", "3551")</f>
        <v>3551</v>
      </c>
      <c r="C404" s="120" t="str">
        <f>HYPERLINK("https://www.uniprot.org/uniprot/O14920", "O14920")</f>
        <v>O14920</v>
      </c>
      <c r="D404" s="45" t="s">
        <v>3484</v>
      </c>
      <c r="E404" s="35" t="s">
        <v>3484</v>
      </c>
      <c r="F404" s="79" t="s">
        <v>3485</v>
      </c>
      <c r="G404" s="30" t="s">
        <v>3486</v>
      </c>
      <c r="H404" s="30" t="s">
        <v>4031</v>
      </c>
      <c r="I404" s="47" t="s">
        <v>5247</v>
      </c>
      <c r="J404" s="73" t="s">
        <v>3487</v>
      </c>
      <c r="K404" s="23" t="s">
        <v>4474</v>
      </c>
      <c r="L404" s="60" t="s">
        <v>3289</v>
      </c>
      <c r="M404" s="60" t="s">
        <v>3289</v>
      </c>
      <c r="N404" s="60" t="s">
        <v>3289</v>
      </c>
      <c r="O404" s="60"/>
      <c r="P404" s="60" t="s">
        <v>5495</v>
      </c>
      <c r="Q404" s="20">
        <v>2</v>
      </c>
    </row>
    <row r="405" spans="1:17" ht="80" x14ac:dyDescent="0.2">
      <c r="A405" s="71">
        <v>404</v>
      </c>
      <c r="B405" s="107" t="str">
        <f>HYPERLINK("https://www.ncbi.nlm.nih.gov/gene/9641", "9641")</f>
        <v>9641</v>
      </c>
      <c r="C405" s="109" t="str">
        <f>HYPERLINK("https://www.uniprot.org/uniprot/Q14164", "Q14164")</f>
        <v>Q14164</v>
      </c>
      <c r="D405" s="43" t="s">
        <v>389</v>
      </c>
      <c r="E405" s="35" t="s">
        <v>389</v>
      </c>
      <c r="F405" s="79" t="s">
        <v>1791</v>
      </c>
      <c r="G405" s="30" t="s">
        <v>1792</v>
      </c>
      <c r="H405" s="30" t="s">
        <v>1793</v>
      </c>
      <c r="I405" s="47" t="s">
        <v>2834</v>
      </c>
      <c r="J405" s="73">
        <v>19497997</v>
      </c>
      <c r="K405" s="23" t="s">
        <v>4475</v>
      </c>
      <c r="L405" s="60" t="s">
        <v>3289</v>
      </c>
      <c r="M405" s="60" t="s">
        <v>3289</v>
      </c>
      <c r="N405" s="60" t="s">
        <v>3291</v>
      </c>
      <c r="O405" s="60"/>
      <c r="P405" s="60" t="s">
        <v>5493</v>
      </c>
      <c r="Q405" s="20">
        <v>4</v>
      </c>
    </row>
    <row r="406" spans="1:17" ht="80" x14ac:dyDescent="0.2">
      <c r="A406" s="71">
        <v>405</v>
      </c>
      <c r="B406" s="107" t="str">
        <f>HYPERLINK("https://www.ncbi.nlm.nih.gov/gene/3589", "3589")</f>
        <v>3589</v>
      </c>
      <c r="C406" s="109" t="str">
        <f>HYPERLINK("https://www.uniprot.org/uniprot/P20809", "P20809")</f>
        <v>P20809</v>
      </c>
      <c r="D406" s="43" t="s">
        <v>390</v>
      </c>
      <c r="E406" s="35" t="s">
        <v>390</v>
      </c>
      <c r="F406" s="79"/>
      <c r="G406" s="30" t="s">
        <v>1794</v>
      </c>
      <c r="H406" s="30" t="s">
        <v>1795</v>
      </c>
      <c r="I406" s="47" t="s">
        <v>2842</v>
      </c>
      <c r="J406" s="73">
        <v>29662190</v>
      </c>
      <c r="K406" s="23" t="s">
        <v>4476</v>
      </c>
      <c r="L406" s="60" t="s">
        <v>3289</v>
      </c>
      <c r="M406" s="60" t="s">
        <v>3289</v>
      </c>
      <c r="N406" s="60" t="s">
        <v>3291</v>
      </c>
      <c r="O406" s="60"/>
      <c r="P406" s="60" t="s">
        <v>5493</v>
      </c>
      <c r="Q406" s="20">
        <v>4</v>
      </c>
    </row>
    <row r="407" spans="1:17" ht="160" x14ac:dyDescent="0.2">
      <c r="A407" s="71">
        <v>406</v>
      </c>
      <c r="B407" s="107" t="str">
        <f>HYPERLINK("https://www.ncbi.nlm.nih.gov/gene/3605", "3605")</f>
        <v>3605</v>
      </c>
      <c r="C407" s="109" t="str">
        <f>HYPERLINK("https://www.uniprot.org/uniprot/Q16552", "Q16552")</f>
        <v>Q16552</v>
      </c>
      <c r="D407" s="43" t="s">
        <v>393</v>
      </c>
      <c r="E407" s="35" t="s">
        <v>393</v>
      </c>
      <c r="F407" s="79" t="s">
        <v>1802</v>
      </c>
      <c r="G407" s="30" t="s">
        <v>1803</v>
      </c>
      <c r="H407" s="30" t="s">
        <v>1804</v>
      </c>
      <c r="I407" s="47" t="s">
        <v>2842</v>
      </c>
      <c r="J407" s="73">
        <v>30655852</v>
      </c>
      <c r="K407" s="23" t="s">
        <v>4477</v>
      </c>
      <c r="L407" s="60" t="s">
        <v>3289</v>
      </c>
      <c r="M407" s="60" t="s">
        <v>3289</v>
      </c>
      <c r="N407" s="60" t="s">
        <v>3291</v>
      </c>
      <c r="O407" s="60" t="s">
        <v>5509</v>
      </c>
      <c r="P407" s="60" t="s">
        <v>3323</v>
      </c>
      <c r="Q407" s="20">
        <v>1</v>
      </c>
    </row>
    <row r="408" spans="1:17" ht="96" x14ac:dyDescent="0.2">
      <c r="A408" s="71">
        <v>407</v>
      </c>
      <c r="B408" s="107" t="str">
        <f>HYPERLINK("https://www.ncbi.nlm.nih.gov/gene/3552", "3552")</f>
        <v>3552</v>
      </c>
      <c r="C408" s="109" t="str">
        <f>HYPERLINK("https://www.uniprot.org/uniprot/P01583", "P01583")</f>
        <v>P01583</v>
      </c>
      <c r="D408" s="43" t="s">
        <v>391</v>
      </c>
      <c r="E408" s="35" t="s">
        <v>391</v>
      </c>
      <c r="F408" s="79" t="s">
        <v>1796</v>
      </c>
      <c r="G408" s="30" t="s">
        <v>1797</v>
      </c>
      <c r="H408" s="30" t="s">
        <v>1798</v>
      </c>
      <c r="I408" s="47" t="s">
        <v>5248</v>
      </c>
      <c r="J408" s="73" t="s">
        <v>3041</v>
      </c>
      <c r="K408" s="23" t="s">
        <v>4478</v>
      </c>
      <c r="L408" s="60" t="s">
        <v>3291</v>
      </c>
      <c r="M408" s="60" t="s">
        <v>3290</v>
      </c>
      <c r="N408" s="60" t="s">
        <v>3291</v>
      </c>
      <c r="O408" s="60"/>
      <c r="P408" s="60" t="s">
        <v>5495</v>
      </c>
      <c r="Q408" s="20">
        <v>2</v>
      </c>
    </row>
    <row r="409" spans="1:17" ht="112" x14ac:dyDescent="0.2">
      <c r="A409" s="71">
        <v>408</v>
      </c>
      <c r="B409" s="107" t="str">
        <f>HYPERLINK("https://www.ncbi.nlm.nih.gov/gene/3553", "3553")</f>
        <v>3553</v>
      </c>
      <c r="C409" s="113" t="str">
        <f>HYPERLINK("https://www.uniprot.org/uniprot/P01584", "P01584")</f>
        <v>P01584</v>
      </c>
      <c r="D409" s="43" t="s">
        <v>392</v>
      </c>
      <c r="E409" s="35" t="s">
        <v>392</v>
      </c>
      <c r="F409" s="79" t="s">
        <v>1799</v>
      </c>
      <c r="G409" s="47" t="s">
        <v>1800</v>
      </c>
      <c r="H409" s="47" t="s">
        <v>1801</v>
      </c>
      <c r="I409" s="47" t="s">
        <v>2842</v>
      </c>
      <c r="J409" s="73">
        <v>30641908</v>
      </c>
      <c r="K409" s="23" t="s">
        <v>4479</v>
      </c>
      <c r="L409" s="60" t="s">
        <v>3289</v>
      </c>
      <c r="M409" s="60" t="s">
        <v>3289</v>
      </c>
      <c r="N409" s="60" t="s">
        <v>3291</v>
      </c>
      <c r="O409" s="60" t="s">
        <v>5509</v>
      </c>
      <c r="P409" s="60" t="s">
        <v>3323</v>
      </c>
      <c r="Q409" s="64">
        <v>1</v>
      </c>
    </row>
    <row r="410" spans="1:17" ht="80" x14ac:dyDescent="0.2">
      <c r="A410" s="71">
        <v>409</v>
      </c>
      <c r="B410" s="107" t="str">
        <f>HYPERLINK("https://www.ncbi.nlm.nih.gov/gene/50616", "50616")</f>
        <v>50616</v>
      </c>
      <c r="C410" s="109" t="str">
        <f>HYPERLINK("https://www.uniprot.org/uniprot/Q9GZX6", "Q9GZX6")</f>
        <v>Q9GZX6</v>
      </c>
      <c r="D410" s="43" t="s">
        <v>394</v>
      </c>
      <c r="E410" s="35" t="s">
        <v>394</v>
      </c>
      <c r="F410" s="79" t="s">
        <v>1805</v>
      </c>
      <c r="G410" s="30" t="s">
        <v>1806</v>
      </c>
      <c r="H410" s="30" t="s">
        <v>1807</v>
      </c>
      <c r="I410" s="47" t="s">
        <v>2842</v>
      </c>
      <c r="J410" s="73">
        <v>32010312</v>
      </c>
      <c r="K410" s="23" t="s">
        <v>4480</v>
      </c>
      <c r="L410" s="60" t="s">
        <v>3289</v>
      </c>
      <c r="M410" s="60" t="s">
        <v>3289</v>
      </c>
      <c r="N410" s="60" t="s">
        <v>3291</v>
      </c>
      <c r="O410" s="60"/>
      <c r="P410" s="60" t="s">
        <v>3323</v>
      </c>
      <c r="Q410" s="20">
        <v>1</v>
      </c>
    </row>
    <row r="411" spans="1:17" ht="80" x14ac:dyDescent="0.2">
      <c r="A411" s="71">
        <v>410</v>
      </c>
      <c r="B411" s="107" t="str">
        <f>HYPERLINK("https://www.ncbi.nlm.nih.gov/gene/11009", "11009")</f>
        <v>11009</v>
      </c>
      <c r="C411" s="109" t="str">
        <f>HYPERLINK("https://www.uniprot.org/uniprot/Q13007", "Q13007")</f>
        <v>Q13007</v>
      </c>
      <c r="D411" s="43" t="s">
        <v>3496</v>
      </c>
      <c r="E411" s="35" t="s">
        <v>3496</v>
      </c>
      <c r="F411" s="79" t="s">
        <v>3497</v>
      </c>
      <c r="G411" s="30" t="s">
        <v>3498</v>
      </c>
      <c r="H411" s="30" t="s">
        <v>3499</v>
      </c>
      <c r="I411" s="47" t="s">
        <v>2842</v>
      </c>
      <c r="J411" s="73" t="s">
        <v>3504</v>
      </c>
      <c r="K411" s="23" t="s">
        <v>4481</v>
      </c>
      <c r="L411" s="60" t="s">
        <v>3292</v>
      </c>
      <c r="M411" s="60" t="s">
        <v>3292</v>
      </c>
      <c r="N411" s="60" t="s">
        <v>3291</v>
      </c>
      <c r="O411" s="60"/>
      <c r="P411" s="60" t="s">
        <v>3323</v>
      </c>
      <c r="Q411" s="20">
        <v>1</v>
      </c>
    </row>
    <row r="412" spans="1:17" ht="64" x14ac:dyDescent="0.2">
      <c r="A412" s="71">
        <v>411</v>
      </c>
      <c r="B412" s="107" t="str">
        <f>HYPERLINK("https://www.ncbi.nlm.nih.gov/gene/64806", "64806")</f>
        <v>64806</v>
      </c>
      <c r="C412" s="109" t="str">
        <f>HYPERLINK("https://www.uniprot.org/uniprot/Q9H293", "Q9H293")</f>
        <v>Q9H293</v>
      </c>
      <c r="D412" s="43" t="s">
        <v>395</v>
      </c>
      <c r="E412" s="35" t="s">
        <v>395</v>
      </c>
      <c r="F412" s="79" t="s">
        <v>1808</v>
      </c>
      <c r="G412" s="30" t="s">
        <v>1809</v>
      </c>
      <c r="H412" s="30" t="s">
        <v>1810</v>
      </c>
      <c r="I412" s="47" t="s">
        <v>2842</v>
      </c>
      <c r="J412" s="73">
        <v>31044552</v>
      </c>
      <c r="K412" s="23" t="s">
        <v>4482</v>
      </c>
      <c r="L412" s="60" t="s">
        <v>3289</v>
      </c>
      <c r="M412" s="60" t="s">
        <v>3289</v>
      </c>
      <c r="N412" s="60" t="s">
        <v>3291</v>
      </c>
      <c r="O412" s="60"/>
      <c r="P412" s="60" t="s">
        <v>5495</v>
      </c>
      <c r="Q412" s="20">
        <v>2</v>
      </c>
    </row>
    <row r="413" spans="1:17" ht="176" x14ac:dyDescent="0.2">
      <c r="A413" s="71">
        <v>412</v>
      </c>
      <c r="B413" s="107" t="str">
        <f>HYPERLINK("https://www.ncbi.nlm.nih.gov/gene/3569", "3569")</f>
        <v>3569</v>
      </c>
      <c r="C413" s="109" t="str">
        <f>HYPERLINK("https://www.uniprot.org/uniprot/P05231", "P05231")</f>
        <v>P05231</v>
      </c>
      <c r="D413" s="43" t="s">
        <v>396</v>
      </c>
      <c r="E413" s="16" t="s">
        <v>396</v>
      </c>
      <c r="F413" s="74" t="s">
        <v>1811</v>
      </c>
      <c r="G413" s="28" t="s">
        <v>1812</v>
      </c>
      <c r="H413" s="28" t="s">
        <v>1813</v>
      </c>
      <c r="I413" s="31" t="s">
        <v>2842</v>
      </c>
      <c r="J413" s="73" t="s">
        <v>3894</v>
      </c>
      <c r="K413" s="30" t="s">
        <v>4483</v>
      </c>
      <c r="L413" s="60" t="s">
        <v>3289</v>
      </c>
      <c r="M413" s="60" t="s">
        <v>3289</v>
      </c>
      <c r="N413" s="60" t="s">
        <v>3291</v>
      </c>
      <c r="O413" s="60" t="s">
        <v>5509</v>
      </c>
      <c r="P413" s="60" t="s">
        <v>5499</v>
      </c>
      <c r="Q413" s="20">
        <v>5</v>
      </c>
    </row>
    <row r="414" spans="1:17" ht="96" x14ac:dyDescent="0.2">
      <c r="A414" s="71">
        <v>413</v>
      </c>
      <c r="B414" s="107" t="str">
        <f>HYPERLINK("https://www.ncbi.nlm.nih.gov/gene/3570", "3570")</f>
        <v>3570</v>
      </c>
      <c r="C414" s="109" t="str">
        <f>HYPERLINK("https://www.uniprot.org/uniprot/P08887", "P08887")</f>
        <v>P08887</v>
      </c>
      <c r="D414" s="43" t="s">
        <v>397</v>
      </c>
      <c r="E414" s="35" t="s">
        <v>397</v>
      </c>
      <c r="F414" s="79"/>
      <c r="G414" s="30" t="s">
        <v>1814</v>
      </c>
      <c r="H414" s="30" t="s">
        <v>4032</v>
      </c>
      <c r="I414" s="47" t="s">
        <v>2842</v>
      </c>
      <c r="J414" s="73">
        <v>28388577</v>
      </c>
      <c r="K414" s="23" t="s">
        <v>4484</v>
      </c>
      <c r="L414" s="60" t="s">
        <v>3289</v>
      </c>
      <c r="M414" s="60" t="s">
        <v>3289</v>
      </c>
      <c r="N414" s="60" t="s">
        <v>3291</v>
      </c>
      <c r="O414" s="60" t="s">
        <v>5509</v>
      </c>
      <c r="P414" s="60" t="s">
        <v>5499</v>
      </c>
      <c r="Q414" s="20">
        <v>5</v>
      </c>
    </row>
    <row r="415" spans="1:17" ht="128" x14ac:dyDescent="0.2">
      <c r="A415" s="71">
        <v>414</v>
      </c>
      <c r="B415" s="107" t="str">
        <f>HYPERLINK("https://www.ncbi.nlm.nih.gov/gene/3574", "3574")</f>
        <v>3574</v>
      </c>
      <c r="C415" s="109" t="str">
        <f>HYPERLINK("https://www.uniprot.org/uniprot/P13232", "P13232")</f>
        <v>P13232</v>
      </c>
      <c r="D415" s="43" t="s">
        <v>398</v>
      </c>
      <c r="E415" s="35" t="s">
        <v>398</v>
      </c>
      <c r="F415" s="79"/>
      <c r="G415" s="30" t="s">
        <v>1815</v>
      </c>
      <c r="H415" s="30" t="s">
        <v>1816</v>
      </c>
      <c r="I415" s="47" t="s">
        <v>2842</v>
      </c>
      <c r="J415" s="73" t="s">
        <v>3605</v>
      </c>
      <c r="K415" s="23" t="s">
        <v>4485</v>
      </c>
      <c r="L415" s="60" t="s">
        <v>3289</v>
      </c>
      <c r="M415" s="60" t="s">
        <v>3290</v>
      </c>
      <c r="N415" s="60" t="s">
        <v>3291</v>
      </c>
      <c r="O415" s="60"/>
      <c r="P415" s="60" t="s">
        <v>5492</v>
      </c>
      <c r="Q415" s="20">
        <v>4</v>
      </c>
    </row>
    <row r="416" spans="1:17" ht="80" x14ac:dyDescent="0.2">
      <c r="A416" s="71">
        <v>415</v>
      </c>
      <c r="B416" s="107" t="str">
        <f>HYPERLINK("https://www.ncbi.nlm.nih.gov/gene/3611", "3611")</f>
        <v>3611</v>
      </c>
      <c r="C416" s="111" t="str">
        <f>HYPERLINK("https://www.uniprot.org/uniprot/Q13418", "Q13418")</f>
        <v>Q13418</v>
      </c>
      <c r="D416" s="43" t="s">
        <v>399</v>
      </c>
      <c r="E416" s="35" t="s">
        <v>399</v>
      </c>
      <c r="F416" s="79" t="s">
        <v>1817</v>
      </c>
      <c r="G416" s="30" t="s">
        <v>1818</v>
      </c>
      <c r="H416" s="30" t="s">
        <v>1819</v>
      </c>
      <c r="I416" s="47" t="s">
        <v>2830</v>
      </c>
      <c r="J416" s="73">
        <v>25760437</v>
      </c>
      <c r="K416" s="23" t="s">
        <v>4486</v>
      </c>
      <c r="L416" s="60" t="s">
        <v>3291</v>
      </c>
      <c r="M416" s="60" t="s">
        <v>3289</v>
      </c>
      <c r="N416" s="60" t="s">
        <v>3291</v>
      </c>
      <c r="O416" s="60"/>
      <c r="P416" s="60" t="s">
        <v>3323</v>
      </c>
      <c r="Q416" s="20">
        <v>1</v>
      </c>
    </row>
    <row r="417" spans="1:17" ht="96" x14ac:dyDescent="0.2">
      <c r="A417" s="71">
        <v>416</v>
      </c>
      <c r="B417" s="107" t="str">
        <f>HYPERLINK("https://www.ncbi.nlm.nih.gov/gene/3659", "3659")</f>
        <v>3659</v>
      </c>
      <c r="C417" s="109" t="str">
        <f>HYPERLINK("https://www.uniprot.org/uniprot/P10914", "P10914")</f>
        <v>P10914</v>
      </c>
      <c r="D417" s="43" t="s">
        <v>401</v>
      </c>
      <c r="E417" s="35" t="s">
        <v>401</v>
      </c>
      <c r="F417" s="79" t="s">
        <v>1823</v>
      </c>
      <c r="G417" s="30" t="s">
        <v>1824</v>
      </c>
      <c r="H417" s="30" t="s">
        <v>1825</v>
      </c>
      <c r="I417" s="47" t="s">
        <v>5249</v>
      </c>
      <c r="J417" s="73" t="s">
        <v>3042</v>
      </c>
      <c r="K417" s="23" t="s">
        <v>4487</v>
      </c>
      <c r="L417" s="60" t="s">
        <v>3292</v>
      </c>
      <c r="M417" s="60" t="s">
        <v>3290</v>
      </c>
      <c r="N417" s="60" t="s">
        <v>3289</v>
      </c>
      <c r="O417" s="60"/>
      <c r="P417" s="60" t="s">
        <v>5493</v>
      </c>
      <c r="Q417" s="20">
        <v>4</v>
      </c>
    </row>
    <row r="418" spans="1:17" ht="176" x14ac:dyDescent="0.2">
      <c r="A418" s="71">
        <v>417</v>
      </c>
      <c r="B418" s="107" t="str">
        <f>HYPERLINK("https://www.ncbi.nlm.nih.gov/gene/3678", "3678")</f>
        <v>3678</v>
      </c>
      <c r="C418" s="113" t="str">
        <f>HYPERLINK("https://www.uniprot.org/uniprot/P08648", "P08648")</f>
        <v>P08648</v>
      </c>
      <c r="D418" s="43" t="s">
        <v>402</v>
      </c>
      <c r="E418" s="16" t="s">
        <v>402</v>
      </c>
      <c r="F418" s="74" t="s">
        <v>1826</v>
      </c>
      <c r="G418" s="31" t="s">
        <v>1827</v>
      </c>
      <c r="H418" s="31" t="s">
        <v>1828</v>
      </c>
      <c r="I418" s="31" t="s">
        <v>5250</v>
      </c>
      <c r="J418" s="73" t="s">
        <v>3892</v>
      </c>
      <c r="K418" s="23" t="s">
        <v>4488</v>
      </c>
      <c r="L418" s="60" t="s">
        <v>3289</v>
      </c>
      <c r="M418" s="60" t="s">
        <v>3289</v>
      </c>
      <c r="N418" s="60" t="s">
        <v>3291</v>
      </c>
      <c r="O418" s="60"/>
      <c r="P418" s="60" t="s">
        <v>5501</v>
      </c>
      <c r="Q418" s="64">
        <v>4</v>
      </c>
    </row>
    <row r="419" spans="1:17" ht="64" x14ac:dyDescent="0.2">
      <c r="A419" s="71">
        <v>418</v>
      </c>
      <c r="B419" s="107" t="str">
        <f>HYPERLINK("https://www.ncbi.nlm.nih.gov/gene/3655", "3655")</f>
        <v>3655</v>
      </c>
      <c r="C419" s="109" t="str">
        <f>HYPERLINK("https://www.uniprot.org/uniprot/P23229", "P23229")</f>
        <v>P23229</v>
      </c>
      <c r="D419" s="43" t="s">
        <v>403</v>
      </c>
      <c r="E419" s="35" t="s">
        <v>403</v>
      </c>
      <c r="F419" s="79" t="s">
        <v>1829</v>
      </c>
      <c r="G419" s="30" t="s">
        <v>1830</v>
      </c>
      <c r="H419" s="30" t="s">
        <v>1831</v>
      </c>
      <c r="I419" s="47" t="s">
        <v>5131</v>
      </c>
      <c r="J419" s="73" t="s">
        <v>3043</v>
      </c>
      <c r="K419" s="23" t="s">
        <v>4489</v>
      </c>
      <c r="L419" s="60" t="s">
        <v>3289</v>
      </c>
      <c r="M419" s="60" t="s">
        <v>3289</v>
      </c>
      <c r="N419" s="60" t="s">
        <v>3291</v>
      </c>
      <c r="O419" s="60"/>
      <c r="P419" s="60" t="s">
        <v>5493</v>
      </c>
      <c r="Q419" s="20">
        <v>4</v>
      </c>
    </row>
    <row r="420" spans="1:17" ht="128" x14ac:dyDescent="0.2">
      <c r="A420" s="71">
        <v>419</v>
      </c>
      <c r="B420" s="107" t="str">
        <f>HYPERLINK("https://www.ncbi.nlm.nih.gov/gene/3688", "3688")</f>
        <v>3688</v>
      </c>
      <c r="C420" s="111" t="str">
        <f>HYPERLINK("https://www.uniprot.org/uniprot/P05556", "P05556")</f>
        <v>P05556</v>
      </c>
      <c r="D420" s="43" t="s">
        <v>404</v>
      </c>
      <c r="E420" s="35" t="s">
        <v>404</v>
      </c>
      <c r="F420" s="79" t="s">
        <v>1832</v>
      </c>
      <c r="G420" s="30" t="s">
        <v>1833</v>
      </c>
      <c r="H420" s="30" t="s">
        <v>4033</v>
      </c>
      <c r="I420" s="47" t="s">
        <v>2830</v>
      </c>
      <c r="J420" s="73" t="s">
        <v>3044</v>
      </c>
      <c r="K420" s="23" t="s">
        <v>4490</v>
      </c>
      <c r="L420" s="60" t="s">
        <v>3289</v>
      </c>
      <c r="M420" s="60" t="s">
        <v>3289</v>
      </c>
      <c r="N420" s="60" t="s">
        <v>3291</v>
      </c>
      <c r="O420" s="60"/>
      <c r="P420" s="60" t="s">
        <v>5493</v>
      </c>
      <c r="Q420" s="20">
        <v>4</v>
      </c>
    </row>
    <row r="421" spans="1:17" ht="96" x14ac:dyDescent="0.2">
      <c r="A421" s="71">
        <v>420</v>
      </c>
      <c r="B421" s="107" t="str">
        <f>HYPERLINK("https://www.ncbi.nlm.nih.gov/gene/3693", "3693")</f>
        <v>3693</v>
      </c>
      <c r="C421" s="109" t="str">
        <f>HYPERLINK("https://www.uniprot.org/uniprot/P18084", "P18084")</f>
        <v>P18084</v>
      </c>
      <c r="D421" s="43" t="s">
        <v>405</v>
      </c>
      <c r="E421" s="16" t="s">
        <v>405</v>
      </c>
      <c r="F421" s="74"/>
      <c r="G421" s="28" t="s">
        <v>1834</v>
      </c>
      <c r="H421" s="28" t="s">
        <v>4034</v>
      </c>
      <c r="I421" s="31" t="s">
        <v>5250</v>
      </c>
      <c r="J421" s="73" t="s">
        <v>3045</v>
      </c>
      <c r="K421" s="23" t="s">
        <v>4491</v>
      </c>
      <c r="L421" s="60" t="s">
        <v>3289</v>
      </c>
      <c r="M421" s="60" t="s">
        <v>3289</v>
      </c>
      <c r="N421" s="60" t="s">
        <v>3292</v>
      </c>
      <c r="O421" s="60"/>
      <c r="P421" s="60" t="s">
        <v>5495</v>
      </c>
      <c r="Q421" s="20">
        <v>2</v>
      </c>
    </row>
    <row r="422" spans="1:17" ht="112" x14ac:dyDescent="0.2">
      <c r="A422" s="71">
        <v>421</v>
      </c>
      <c r="B422" s="107" t="str">
        <f>HYPERLINK("https://www.ncbi.nlm.nih.gov/gene/3694", "3694")</f>
        <v>3694</v>
      </c>
      <c r="C422" s="109" t="str">
        <f>HYPERLINK("https://www.uniprot.org/uniprot/P18564", "P18564")</f>
        <v>P18564</v>
      </c>
      <c r="D422" s="43" t="s">
        <v>3493</v>
      </c>
      <c r="E422" s="35" t="s">
        <v>3493</v>
      </c>
      <c r="F422" s="79"/>
      <c r="G422" s="30" t="s">
        <v>3494</v>
      </c>
      <c r="H422" s="30" t="s">
        <v>3495</v>
      </c>
      <c r="I422" s="47" t="s">
        <v>2830</v>
      </c>
      <c r="J422" s="73" t="s">
        <v>3893</v>
      </c>
      <c r="K422" s="23" t="s">
        <v>4492</v>
      </c>
      <c r="L422" s="60" t="s">
        <v>3291</v>
      </c>
      <c r="M422" s="60" t="s">
        <v>3289</v>
      </c>
      <c r="N422" s="60" t="s">
        <v>3291</v>
      </c>
      <c r="O422" s="60"/>
      <c r="P422" s="60" t="s">
        <v>3323</v>
      </c>
      <c r="Q422" s="20">
        <v>1</v>
      </c>
    </row>
    <row r="423" spans="1:17" ht="64" x14ac:dyDescent="0.2">
      <c r="A423" s="71">
        <v>422</v>
      </c>
      <c r="B423" s="107" t="str">
        <f>HYPERLINK("https://www.ncbi.nlm.nih.gov/gene/3696", "3696")</f>
        <v>3696</v>
      </c>
      <c r="C423" s="109" t="str">
        <f>HYPERLINK("https://www.uniprot.org/uniprot/P26012", "P26012")</f>
        <v>P26012</v>
      </c>
      <c r="D423" s="43" t="s">
        <v>406</v>
      </c>
      <c r="E423" s="35" t="s">
        <v>406</v>
      </c>
      <c r="F423" s="79"/>
      <c r="G423" s="30" t="s">
        <v>1835</v>
      </c>
      <c r="H423" s="30" t="s">
        <v>4035</v>
      </c>
      <c r="I423" s="47" t="s">
        <v>2830</v>
      </c>
      <c r="J423" s="73">
        <v>29436681</v>
      </c>
      <c r="K423" s="23" t="s">
        <v>4493</v>
      </c>
      <c r="L423" s="60" t="s">
        <v>3289</v>
      </c>
      <c r="M423" s="60" t="s">
        <v>3289</v>
      </c>
      <c r="N423" s="60" t="s">
        <v>3291</v>
      </c>
      <c r="O423" s="60"/>
      <c r="P423" s="60" t="s">
        <v>5495</v>
      </c>
      <c r="Q423" s="20">
        <v>2</v>
      </c>
    </row>
    <row r="424" spans="1:17" ht="96" x14ac:dyDescent="0.2">
      <c r="A424" s="71">
        <v>423</v>
      </c>
      <c r="B424" s="107" t="str">
        <f>HYPERLINK("https://www.ncbi.nlm.nih.gov/gene/9452", "9452")</f>
        <v>9452</v>
      </c>
      <c r="C424" s="109" t="str">
        <f>HYPERLINK("https://www.uniprot.org/uniprot/O43736", "O43736")</f>
        <v>O43736</v>
      </c>
      <c r="D424" s="43" t="s">
        <v>407</v>
      </c>
      <c r="E424" s="35" t="s">
        <v>407</v>
      </c>
      <c r="F424" s="79" t="s">
        <v>1836</v>
      </c>
      <c r="G424" s="30" t="s">
        <v>1837</v>
      </c>
      <c r="H424" s="30" t="s">
        <v>4036</v>
      </c>
      <c r="I424" s="47" t="s">
        <v>5251</v>
      </c>
      <c r="J424" s="73">
        <v>26691219</v>
      </c>
      <c r="K424" s="23" t="s">
        <v>4494</v>
      </c>
      <c r="L424" s="60" t="s">
        <v>3292</v>
      </c>
      <c r="M424" s="60" t="s">
        <v>3292</v>
      </c>
      <c r="N424" s="60" t="s">
        <v>3291</v>
      </c>
      <c r="O424" s="60"/>
      <c r="P424" s="60" t="s">
        <v>5494</v>
      </c>
      <c r="Q424" s="20">
        <v>5</v>
      </c>
    </row>
    <row r="425" spans="1:17" ht="64" x14ac:dyDescent="0.2">
      <c r="A425" s="71">
        <v>424</v>
      </c>
      <c r="B425" s="107" t="str">
        <f>HYPERLINK("https://www.ncbi.nlm.nih.gov/gene/3708", "3708")</f>
        <v>3708</v>
      </c>
      <c r="C425" s="109" t="str">
        <f>HYPERLINK("https://www.uniprot.org/uniprot/Q14643", "Q14643")</f>
        <v>Q14643</v>
      </c>
      <c r="D425" s="43" t="s">
        <v>400</v>
      </c>
      <c r="E425" s="35" t="s">
        <v>925</v>
      </c>
      <c r="F425" s="10" t="s">
        <v>1820</v>
      </c>
      <c r="G425" s="30" t="s">
        <v>1821</v>
      </c>
      <c r="H425" s="30" t="s">
        <v>1822</v>
      </c>
      <c r="I425" s="47" t="s">
        <v>5069</v>
      </c>
      <c r="J425" s="73">
        <v>15608674</v>
      </c>
      <c r="K425" s="23" t="s">
        <v>4495</v>
      </c>
      <c r="L425" s="60" t="s">
        <v>3292</v>
      </c>
      <c r="M425" s="60" t="s">
        <v>3292</v>
      </c>
      <c r="N425" s="60" t="s">
        <v>3291</v>
      </c>
      <c r="O425" s="60"/>
      <c r="P425" s="60" t="s">
        <v>3323</v>
      </c>
      <c r="Q425" s="20">
        <v>1</v>
      </c>
    </row>
    <row r="426" spans="1:17" ht="64" x14ac:dyDescent="0.2">
      <c r="A426" s="71">
        <v>425</v>
      </c>
      <c r="B426" s="107" t="str">
        <f>HYPERLINK("https://www.ncbi.nlm.nih.gov/gene/182", "182")</f>
        <v>182</v>
      </c>
      <c r="C426" s="109" t="str">
        <f>HYPERLINK("https://www.uniprot.org/uniprot/P78504", "P78504")</f>
        <v>P78504</v>
      </c>
      <c r="D426" s="43" t="s">
        <v>408</v>
      </c>
      <c r="E426" s="35" t="s">
        <v>408</v>
      </c>
      <c r="F426" s="79" t="s">
        <v>1838</v>
      </c>
      <c r="G426" s="30" t="s">
        <v>1839</v>
      </c>
      <c r="H426" s="30" t="s">
        <v>1840</v>
      </c>
      <c r="I426" s="47" t="s">
        <v>5252</v>
      </c>
      <c r="J426" s="73">
        <v>24659709</v>
      </c>
      <c r="K426" s="23" t="s">
        <v>4496</v>
      </c>
      <c r="L426" s="60" t="s">
        <v>3289</v>
      </c>
      <c r="M426" s="60" t="s">
        <v>3289</v>
      </c>
      <c r="N426" s="60" t="s">
        <v>3291</v>
      </c>
      <c r="O426" s="60"/>
      <c r="P426" s="60" t="s">
        <v>5499</v>
      </c>
      <c r="Q426" s="20">
        <v>5</v>
      </c>
    </row>
    <row r="427" spans="1:17" ht="96" x14ac:dyDescent="0.2">
      <c r="A427" s="71">
        <v>426</v>
      </c>
      <c r="B427" s="107" t="str">
        <f>HYPERLINK("https://www.ncbi.nlm.nih.gov/gene/3717", "3717")</f>
        <v>3717</v>
      </c>
      <c r="C427" s="109" t="str">
        <f>HYPERLINK("https://www.uniprot.org/uniprot/O60674", "O60674")</f>
        <v>O60674</v>
      </c>
      <c r="D427" s="43" t="s">
        <v>409</v>
      </c>
      <c r="E427" s="16" t="s">
        <v>409</v>
      </c>
      <c r="F427" s="74"/>
      <c r="G427" s="28" t="s">
        <v>4989</v>
      </c>
      <c r="H427" s="28" t="s">
        <v>1841</v>
      </c>
      <c r="I427" s="31" t="s">
        <v>2842</v>
      </c>
      <c r="J427" s="73" t="s">
        <v>3046</v>
      </c>
      <c r="K427" s="23" t="s">
        <v>4497</v>
      </c>
      <c r="L427" s="60" t="s">
        <v>3289</v>
      </c>
      <c r="M427" s="60" t="s">
        <v>3289</v>
      </c>
      <c r="N427" s="60" t="s">
        <v>3289</v>
      </c>
      <c r="O427" s="60" t="s">
        <v>5509</v>
      </c>
      <c r="P427" s="60" t="s">
        <v>5494</v>
      </c>
      <c r="Q427" s="20">
        <v>5</v>
      </c>
    </row>
    <row r="428" spans="1:17" ht="144" x14ac:dyDescent="0.2">
      <c r="A428" s="71">
        <v>427</v>
      </c>
      <c r="B428" s="107" t="str">
        <f>HYPERLINK("https://www.ncbi.nlm.nih.gov/gene/3725", "3725")</f>
        <v>3725</v>
      </c>
      <c r="C428" s="109" t="str">
        <f>HYPERLINK("https://www.uniprot.org/uniprot/P05412", "P05412")</f>
        <v>P05412</v>
      </c>
      <c r="D428" s="43" t="s">
        <v>410</v>
      </c>
      <c r="E428" s="16" t="s">
        <v>410</v>
      </c>
      <c r="F428" s="74" t="s">
        <v>1842</v>
      </c>
      <c r="G428" s="28" t="s">
        <v>1843</v>
      </c>
      <c r="H428" s="28" t="s">
        <v>1844</v>
      </c>
      <c r="I428" s="31" t="s">
        <v>5253</v>
      </c>
      <c r="J428" s="73" t="s">
        <v>3890</v>
      </c>
      <c r="K428" s="23" t="s">
        <v>4498</v>
      </c>
      <c r="L428" s="60" t="s">
        <v>3295</v>
      </c>
      <c r="M428" s="60" t="s">
        <v>3290</v>
      </c>
      <c r="N428" s="60" t="s">
        <v>3291</v>
      </c>
      <c r="O428" s="60"/>
      <c r="P428" s="60" t="s">
        <v>5499</v>
      </c>
      <c r="Q428" s="20">
        <v>5</v>
      </c>
    </row>
    <row r="429" spans="1:17" ht="32" x14ac:dyDescent="0.2">
      <c r="A429" s="71">
        <v>428</v>
      </c>
      <c r="B429" s="107" t="str">
        <f>HYPERLINK("https://www.ncbi.nlm.nih.gov/gene/3726", "3726")</f>
        <v>3726</v>
      </c>
      <c r="C429" s="109" t="str">
        <f>HYPERLINK("https://www.uniprot.org/uniprot/P17275", "P17275")</f>
        <v>P17275</v>
      </c>
      <c r="D429" s="43" t="s">
        <v>411</v>
      </c>
      <c r="E429" s="35" t="s">
        <v>411</v>
      </c>
      <c r="F429" s="79"/>
      <c r="G429" s="30" t="s">
        <v>4990</v>
      </c>
      <c r="H429" s="30" t="s">
        <v>1845</v>
      </c>
      <c r="I429" s="47" t="s">
        <v>5253</v>
      </c>
      <c r="J429" s="73" t="s">
        <v>3047</v>
      </c>
      <c r="K429" s="23" t="s">
        <v>3048</v>
      </c>
      <c r="L429" s="60" t="s">
        <v>3289</v>
      </c>
      <c r="M429" s="60" t="s">
        <v>3290</v>
      </c>
      <c r="N429" s="60" t="s">
        <v>3291</v>
      </c>
      <c r="O429" s="60"/>
      <c r="P429" s="60" t="s">
        <v>5495</v>
      </c>
      <c r="Q429" s="20">
        <v>2</v>
      </c>
    </row>
    <row r="430" spans="1:17" ht="96" x14ac:dyDescent="0.2">
      <c r="A430" s="71">
        <v>429</v>
      </c>
      <c r="B430" s="107" t="str">
        <f>HYPERLINK("https://www.ncbi.nlm.nih.gov/gene/3727", "3727")</f>
        <v>3727</v>
      </c>
      <c r="C430" s="109" t="str">
        <f>HYPERLINK("https://www.uniprot.org/uniprot/P17535", "P17535")</f>
        <v>P17535</v>
      </c>
      <c r="D430" s="43" t="s">
        <v>412</v>
      </c>
      <c r="E430" s="35" t="s">
        <v>412</v>
      </c>
      <c r="F430" s="79"/>
      <c r="G430" s="30" t="s">
        <v>4991</v>
      </c>
      <c r="H430" s="30" t="s">
        <v>1845</v>
      </c>
      <c r="I430" s="47" t="s">
        <v>5253</v>
      </c>
      <c r="J430" s="73">
        <v>23942796</v>
      </c>
      <c r="K430" s="30" t="s">
        <v>4499</v>
      </c>
      <c r="L430" s="60" t="s">
        <v>3291</v>
      </c>
      <c r="M430" s="60" t="s">
        <v>3290</v>
      </c>
      <c r="N430" s="60" t="s">
        <v>3291</v>
      </c>
      <c r="O430" s="60"/>
      <c r="P430" s="60" t="s">
        <v>3323</v>
      </c>
      <c r="Q430" s="20">
        <v>1</v>
      </c>
    </row>
    <row r="431" spans="1:17" ht="128" x14ac:dyDescent="0.2">
      <c r="A431" s="71">
        <v>430</v>
      </c>
      <c r="B431" s="107" t="str">
        <f>HYPERLINK("https://www.ncbi.nlm.nih.gov/gene/8850", "8850")</f>
        <v>8850</v>
      </c>
      <c r="C431" s="109" t="str">
        <f>HYPERLINK("https://www.uniprot.org/uniprot/Q92831", "Q92831")</f>
        <v>Q92831</v>
      </c>
      <c r="D431" s="43" t="s">
        <v>413</v>
      </c>
      <c r="E431" s="35" t="s">
        <v>413</v>
      </c>
      <c r="F431" s="79" t="s">
        <v>1846</v>
      </c>
      <c r="G431" s="30" t="s">
        <v>4992</v>
      </c>
      <c r="H431" s="30" t="s">
        <v>4037</v>
      </c>
      <c r="I431" s="47" t="s">
        <v>5254</v>
      </c>
      <c r="J431" s="73" t="s">
        <v>3049</v>
      </c>
      <c r="K431" s="23" t="s">
        <v>4500</v>
      </c>
      <c r="L431" s="60" t="s">
        <v>3289</v>
      </c>
      <c r="M431" s="60" t="s">
        <v>3289</v>
      </c>
      <c r="N431" s="60" t="s">
        <v>3291</v>
      </c>
      <c r="O431" s="60"/>
      <c r="P431" s="60" t="s">
        <v>3323</v>
      </c>
      <c r="Q431" s="20">
        <v>1</v>
      </c>
    </row>
    <row r="432" spans="1:17" ht="176" x14ac:dyDescent="0.2">
      <c r="A432" s="71">
        <v>431</v>
      </c>
      <c r="B432" s="107" t="str">
        <f>HYPERLINK("https://www.ncbi.nlm.nih.gov/gene/10524", "10524")</f>
        <v>10524</v>
      </c>
      <c r="C432" s="109" t="str">
        <f>HYPERLINK("https://www.uniprot.org/uniprot/Q92993", "Q92993")</f>
        <v>Q92993</v>
      </c>
      <c r="D432" s="43" t="s">
        <v>414</v>
      </c>
      <c r="E432" s="35" t="s">
        <v>414</v>
      </c>
      <c r="F432" s="79" t="s">
        <v>1847</v>
      </c>
      <c r="G432" s="30" t="s">
        <v>4993</v>
      </c>
      <c r="H432" s="30" t="s">
        <v>4038</v>
      </c>
      <c r="I432" s="47" t="s">
        <v>5255</v>
      </c>
      <c r="J432" s="73" t="s">
        <v>3050</v>
      </c>
      <c r="K432" s="23" t="s">
        <v>4501</v>
      </c>
      <c r="L432" s="60" t="s">
        <v>3289</v>
      </c>
      <c r="M432" s="60" t="s">
        <v>3290</v>
      </c>
      <c r="N432" s="60" t="s">
        <v>3289</v>
      </c>
      <c r="O432" s="60"/>
      <c r="P432" s="60" t="s">
        <v>3323</v>
      </c>
      <c r="Q432" s="20">
        <v>1</v>
      </c>
    </row>
    <row r="433" spans="1:17" ht="112" x14ac:dyDescent="0.2">
      <c r="A433" s="71">
        <v>432</v>
      </c>
      <c r="B433" s="107" t="str">
        <f>HYPERLINK("https://www.ncbi.nlm.nih.gov/gene/84148", "84148")</f>
        <v>84148</v>
      </c>
      <c r="C433" s="109" t="str">
        <f>HYPERLINK("https://www.uniprot.org/uniprot/Q9H7Z6", "Q9H7Z6")</f>
        <v>Q9H7Z6</v>
      </c>
      <c r="D433" s="43" t="s">
        <v>415</v>
      </c>
      <c r="E433" s="35" t="s">
        <v>415</v>
      </c>
      <c r="F433" s="79" t="s">
        <v>1848</v>
      </c>
      <c r="G433" s="30" t="s">
        <v>1849</v>
      </c>
      <c r="H433" s="30" t="s">
        <v>4039</v>
      </c>
      <c r="I433" s="47" t="s">
        <v>5256</v>
      </c>
      <c r="J433" s="73">
        <v>29298824</v>
      </c>
      <c r="K433" s="23" t="s">
        <v>4502</v>
      </c>
      <c r="L433" s="60" t="s">
        <v>3291</v>
      </c>
      <c r="M433" s="60" t="s">
        <v>3289</v>
      </c>
      <c r="N433" s="60" t="s">
        <v>3291</v>
      </c>
      <c r="O433" s="60"/>
      <c r="P433" s="60" t="s">
        <v>3323</v>
      </c>
      <c r="Q433" s="20">
        <v>1</v>
      </c>
    </row>
    <row r="434" spans="1:17" ht="80" x14ac:dyDescent="0.2">
      <c r="A434" s="71">
        <v>433</v>
      </c>
      <c r="B434" s="107" t="str">
        <f>HYPERLINK("https://www.ncbi.nlm.nih.gov/gene/3778", "3778")</f>
        <v>3778</v>
      </c>
      <c r="C434" s="109" t="str">
        <f>HYPERLINK("https://www.uniprot.org/uniprot/Q12791", "Q12791")</f>
        <v>Q12791</v>
      </c>
      <c r="D434" s="43" t="s">
        <v>416</v>
      </c>
      <c r="E434" s="35" t="s">
        <v>416</v>
      </c>
      <c r="F434" s="79" t="s">
        <v>1850</v>
      </c>
      <c r="G434" s="30" t="s">
        <v>1851</v>
      </c>
      <c r="H434" s="30" t="s">
        <v>1852</v>
      </c>
      <c r="I434" s="47" t="s">
        <v>2824</v>
      </c>
      <c r="J434" s="73">
        <v>26386726</v>
      </c>
      <c r="K434" s="23" t="s">
        <v>4503</v>
      </c>
      <c r="L434" s="60" t="s">
        <v>3292</v>
      </c>
      <c r="M434" s="60" t="s">
        <v>3292</v>
      </c>
      <c r="N434" s="60" t="s">
        <v>3291</v>
      </c>
      <c r="O434" s="60" t="s">
        <v>5509</v>
      </c>
      <c r="P434" s="60" t="s">
        <v>5493</v>
      </c>
      <c r="Q434" s="20">
        <v>4</v>
      </c>
    </row>
    <row r="435" spans="1:17" ht="112" x14ac:dyDescent="0.2">
      <c r="A435" s="71">
        <v>434</v>
      </c>
      <c r="B435" s="107" t="str">
        <f>HYPERLINK("https://www.ncbi.nlm.nih.gov/gene/55818", "55818")</f>
        <v>55818</v>
      </c>
      <c r="C435" s="109" t="str">
        <f>HYPERLINK("https://www.uniprot.org/uniprot/Q9Y4C1", "Q9Y4C1")</f>
        <v>Q9Y4C1</v>
      </c>
      <c r="D435" s="43" t="s">
        <v>417</v>
      </c>
      <c r="E435" s="35" t="s">
        <v>417</v>
      </c>
      <c r="F435" s="79" t="s">
        <v>1853</v>
      </c>
      <c r="G435" s="30" t="s">
        <v>1854</v>
      </c>
      <c r="H435" s="30" t="s">
        <v>1855</v>
      </c>
      <c r="I435" s="47" t="s">
        <v>5257</v>
      </c>
      <c r="J435" s="73">
        <v>27694900</v>
      </c>
      <c r="K435" s="23" t="s">
        <v>4504</v>
      </c>
      <c r="L435" s="60" t="s">
        <v>3289</v>
      </c>
      <c r="M435" s="60" t="s">
        <v>3289</v>
      </c>
      <c r="N435" s="60" t="s">
        <v>3291</v>
      </c>
      <c r="O435" s="60"/>
      <c r="P435" s="60" t="s">
        <v>5495</v>
      </c>
      <c r="Q435" s="20">
        <v>2</v>
      </c>
    </row>
    <row r="436" spans="1:17" ht="128" x14ac:dyDescent="0.2">
      <c r="A436" s="71">
        <v>435</v>
      </c>
      <c r="B436" s="107" t="str">
        <f>HYPERLINK("https://www.ncbi.nlm.nih.gov/gene/5927", "5927")</f>
        <v>5927</v>
      </c>
      <c r="C436" s="109" t="str">
        <f>HYPERLINK("https://www.uniprot.org/uniprot/P29375", "P29375")</f>
        <v>P29375</v>
      </c>
      <c r="D436" s="43" t="s">
        <v>418</v>
      </c>
      <c r="E436" s="35" t="s">
        <v>418</v>
      </c>
      <c r="F436" s="79" t="s">
        <v>1856</v>
      </c>
      <c r="G436" s="30" t="s">
        <v>1857</v>
      </c>
      <c r="H436" s="30" t="s">
        <v>4040</v>
      </c>
      <c r="I436" s="47" t="s">
        <v>5258</v>
      </c>
      <c r="J436" s="73">
        <v>20371346</v>
      </c>
      <c r="K436" s="23" t="s">
        <v>4505</v>
      </c>
      <c r="L436" s="60" t="s">
        <v>3289</v>
      </c>
      <c r="M436" s="60" t="s">
        <v>3289</v>
      </c>
      <c r="N436" s="60" t="s">
        <v>3291</v>
      </c>
      <c r="O436" s="60"/>
      <c r="P436" s="60" t="s">
        <v>3323</v>
      </c>
      <c r="Q436" s="20">
        <v>1</v>
      </c>
    </row>
    <row r="437" spans="1:17" ht="112" x14ac:dyDescent="0.2">
      <c r="A437" s="71">
        <v>436</v>
      </c>
      <c r="B437" s="107" t="str">
        <f>HYPERLINK("https://www.ncbi.nlm.nih.gov/gene/3791", "3791")</f>
        <v>3791</v>
      </c>
      <c r="C437" s="109" t="str">
        <f>HYPERLINK("https://www.uniprot.org/uniprot/P35968", "P35968")</f>
        <v>P35968</v>
      </c>
      <c r="D437" s="43" t="s">
        <v>419</v>
      </c>
      <c r="E437" s="35" t="s">
        <v>419</v>
      </c>
      <c r="F437" s="79" t="s">
        <v>1858</v>
      </c>
      <c r="G437" s="30" t="s">
        <v>1859</v>
      </c>
      <c r="H437" s="30" t="s">
        <v>4041</v>
      </c>
      <c r="I437" s="47" t="s">
        <v>3327</v>
      </c>
      <c r="J437" s="73" t="s">
        <v>3051</v>
      </c>
      <c r="K437" s="23" t="s">
        <v>4506</v>
      </c>
      <c r="L437" s="60" t="s">
        <v>3289</v>
      </c>
      <c r="M437" s="60" t="s">
        <v>3289</v>
      </c>
      <c r="N437" s="60" t="s">
        <v>3291</v>
      </c>
      <c r="O437" s="60" t="s">
        <v>5509</v>
      </c>
      <c r="P437" s="60" t="s">
        <v>3323</v>
      </c>
      <c r="Q437" s="20">
        <v>1</v>
      </c>
    </row>
    <row r="438" spans="1:17" ht="160" x14ac:dyDescent="0.2">
      <c r="A438" s="71">
        <v>437</v>
      </c>
      <c r="B438" s="107" t="str">
        <f>HYPERLINK("https://www.ncbi.nlm.nih.gov/gene/9817", "9817")</f>
        <v>9817</v>
      </c>
      <c r="C438" s="109" t="str">
        <f>HYPERLINK("https://www.uniprot.org/uniprot/Q14145", "Q14145")</f>
        <v>Q14145</v>
      </c>
      <c r="D438" s="43" t="s">
        <v>420</v>
      </c>
      <c r="E438" s="35" t="s">
        <v>420</v>
      </c>
      <c r="F438" s="79" t="s">
        <v>1860</v>
      </c>
      <c r="G438" s="30" t="s">
        <v>1861</v>
      </c>
      <c r="H438" s="30" t="s">
        <v>4042</v>
      </c>
      <c r="I438" s="47" t="s">
        <v>5259</v>
      </c>
      <c r="J438" s="73" t="s">
        <v>3839</v>
      </c>
      <c r="K438" s="23" t="s">
        <v>4507</v>
      </c>
      <c r="L438" s="60" t="s">
        <v>3292</v>
      </c>
      <c r="M438" s="60" t="s">
        <v>3292</v>
      </c>
      <c r="N438" s="60" t="s">
        <v>3291</v>
      </c>
      <c r="O438" s="60" t="s">
        <v>5509</v>
      </c>
      <c r="P438" s="60" t="s">
        <v>5493</v>
      </c>
      <c r="Q438" s="20">
        <v>4</v>
      </c>
    </row>
    <row r="439" spans="1:17" ht="128" x14ac:dyDescent="0.2">
      <c r="A439" s="71">
        <v>438</v>
      </c>
      <c r="B439" s="107" t="str">
        <f>HYPERLINK("https://www.ncbi.nlm.nih.gov/gene/10112", "10112")</f>
        <v>10112</v>
      </c>
      <c r="C439" s="109" t="str">
        <f>HYPERLINK("https://www.uniprot.org/uniprot/O95235", "O95235")</f>
        <v>O95235</v>
      </c>
      <c r="D439" s="43" t="s">
        <v>421</v>
      </c>
      <c r="E439" s="35" t="s">
        <v>421</v>
      </c>
      <c r="F439" s="79" t="s">
        <v>1862</v>
      </c>
      <c r="G439" s="30" t="s">
        <v>1863</v>
      </c>
      <c r="H439" s="30" t="s">
        <v>4043</v>
      </c>
      <c r="I439" s="47" t="s">
        <v>5260</v>
      </c>
      <c r="J439" s="73">
        <v>30254487</v>
      </c>
      <c r="K439" s="23" t="s">
        <v>4508</v>
      </c>
      <c r="L439" s="60" t="s">
        <v>3289</v>
      </c>
      <c r="M439" s="60" t="s">
        <v>3289</v>
      </c>
      <c r="N439" s="60" t="s">
        <v>3291</v>
      </c>
      <c r="O439" s="60"/>
      <c r="P439" s="60" t="s">
        <v>5493</v>
      </c>
      <c r="Q439" s="20">
        <v>4</v>
      </c>
    </row>
    <row r="440" spans="1:17" ht="112" x14ac:dyDescent="0.2">
      <c r="A440" s="71">
        <v>439</v>
      </c>
      <c r="B440" s="107" t="str">
        <f>HYPERLINK("https://www.ncbi.nlm.nih.gov/gene/3814", "3814")</f>
        <v>3814</v>
      </c>
      <c r="C440" s="109" t="str">
        <f>HYPERLINK("https://www.uniprot.org/uniprot/Q15726", "Q15726")</f>
        <v>Q15726</v>
      </c>
      <c r="D440" s="43" t="s">
        <v>422</v>
      </c>
      <c r="E440" s="35" t="s">
        <v>422</v>
      </c>
      <c r="F440" s="79"/>
      <c r="G440" s="30" t="s">
        <v>4994</v>
      </c>
      <c r="H440" s="30" t="s">
        <v>3565</v>
      </c>
      <c r="I440" s="47" t="s">
        <v>5261</v>
      </c>
      <c r="J440" s="73">
        <v>21383688</v>
      </c>
      <c r="K440" s="23" t="s">
        <v>4509</v>
      </c>
      <c r="L440" s="60" t="s">
        <v>3292</v>
      </c>
      <c r="M440" s="60" t="s">
        <v>3292</v>
      </c>
      <c r="N440" s="60" t="s">
        <v>3291</v>
      </c>
      <c r="O440" s="60"/>
      <c r="P440" s="60" t="s">
        <v>5496</v>
      </c>
      <c r="Q440" s="20">
        <v>4</v>
      </c>
    </row>
    <row r="441" spans="1:17" ht="80" x14ac:dyDescent="0.2">
      <c r="A441" s="71">
        <v>440</v>
      </c>
      <c r="B441" s="107" t="str">
        <f>HYPERLINK("https://www.ncbi.nlm.nih.gov/gene/3815", "3815")</f>
        <v>3815</v>
      </c>
      <c r="C441" s="109" t="str">
        <f>HYPERLINK("https://www.uniprot.org/uniprot/P10721", "P10721")</f>
        <v>P10721</v>
      </c>
      <c r="D441" s="43" t="s">
        <v>423</v>
      </c>
      <c r="E441" s="16" t="s">
        <v>423</v>
      </c>
      <c r="F441" s="28" t="s">
        <v>1864</v>
      </c>
      <c r="G441" s="28" t="s">
        <v>4995</v>
      </c>
      <c r="H441" s="28" t="s">
        <v>4044</v>
      </c>
      <c r="I441" s="31" t="s">
        <v>2827</v>
      </c>
      <c r="J441" s="73">
        <v>21787767</v>
      </c>
      <c r="K441" s="30" t="s">
        <v>3616</v>
      </c>
      <c r="L441" s="60" t="s">
        <v>3289</v>
      </c>
      <c r="M441" s="60" t="s">
        <v>3289</v>
      </c>
      <c r="N441" s="60" t="s">
        <v>3291</v>
      </c>
      <c r="O441" s="60" t="s">
        <v>5509</v>
      </c>
      <c r="P441" s="60" t="s">
        <v>5494</v>
      </c>
      <c r="Q441" s="20">
        <v>5</v>
      </c>
    </row>
    <row r="442" spans="1:17" ht="112" x14ac:dyDescent="0.2">
      <c r="A442" s="71">
        <v>441</v>
      </c>
      <c r="B442" s="107" t="str">
        <f>HYPERLINK("https://www.ncbi.nlm.nih.gov/gene/9314", "9314")</f>
        <v>9314</v>
      </c>
      <c r="C442" s="109" t="str">
        <f>HYPERLINK("https://www.uniprot.org/uniprot/O43474", "O43474")</f>
        <v>O43474</v>
      </c>
      <c r="D442" s="43" t="s">
        <v>424</v>
      </c>
      <c r="E442" s="16" t="s">
        <v>424</v>
      </c>
      <c r="F442" s="74" t="s">
        <v>1865</v>
      </c>
      <c r="G442" s="28" t="s">
        <v>1866</v>
      </c>
      <c r="H442" s="28" t="s">
        <v>1867</v>
      </c>
      <c r="I442" s="31" t="s">
        <v>5262</v>
      </c>
      <c r="J442" s="73" t="s">
        <v>3052</v>
      </c>
      <c r="K442" s="23" t="s">
        <v>4510</v>
      </c>
      <c r="L442" s="60" t="s">
        <v>3292</v>
      </c>
      <c r="M442" s="60" t="s">
        <v>3292</v>
      </c>
      <c r="N442" s="60" t="s">
        <v>3291</v>
      </c>
      <c r="O442" s="60"/>
      <c r="P442" s="60" t="s">
        <v>5493</v>
      </c>
      <c r="Q442" s="20">
        <v>4</v>
      </c>
    </row>
    <row r="443" spans="1:17" ht="96" x14ac:dyDescent="0.2">
      <c r="A443" s="71">
        <v>442</v>
      </c>
      <c r="B443" s="107" t="str">
        <f>HYPERLINK("https://www.ncbi.nlm.nih.gov/gene/688", "688")</f>
        <v>688</v>
      </c>
      <c r="C443" s="109" t="str">
        <f>HYPERLINK("https://www.uniprot.org/uniprot/Q13887", "Q13887")</f>
        <v>Q13887</v>
      </c>
      <c r="D443" s="43" t="s">
        <v>425</v>
      </c>
      <c r="E443" s="16" t="s">
        <v>425</v>
      </c>
      <c r="F443" s="74" t="s">
        <v>1868</v>
      </c>
      <c r="G443" s="28" t="s">
        <v>1869</v>
      </c>
      <c r="H443" s="28" t="s">
        <v>4045</v>
      </c>
      <c r="I443" s="31" t="s">
        <v>5263</v>
      </c>
      <c r="J443" s="73" t="s">
        <v>3360</v>
      </c>
      <c r="K443" s="23" t="s">
        <v>4511</v>
      </c>
      <c r="L443" s="60" t="s">
        <v>3289</v>
      </c>
      <c r="M443" s="60" t="s">
        <v>3289</v>
      </c>
      <c r="N443" s="60" t="s">
        <v>3291</v>
      </c>
      <c r="O443" s="60"/>
      <c r="P443" s="60" t="s">
        <v>5493</v>
      </c>
      <c r="Q443" s="20">
        <v>4</v>
      </c>
    </row>
    <row r="444" spans="1:17" ht="48" x14ac:dyDescent="0.2">
      <c r="A444" s="71">
        <v>443</v>
      </c>
      <c r="B444" s="107" t="str">
        <f>HYPERLINK("https://www.ncbi.nlm.nih.gov/gene/9757", "9757")</f>
        <v>9757</v>
      </c>
      <c r="C444" s="109" t="str">
        <f>HYPERLINK("https://www.uniprot.org/uniprot/Q9UMN6", "Q9UMN6")</f>
        <v>Q9UMN6</v>
      </c>
      <c r="D444" s="43" t="s">
        <v>489</v>
      </c>
      <c r="E444" s="16" t="s">
        <v>489</v>
      </c>
      <c r="F444" s="74" t="s">
        <v>1997</v>
      </c>
      <c r="G444" s="28" t="s">
        <v>5061</v>
      </c>
      <c r="H444" s="28" t="s">
        <v>1998</v>
      </c>
      <c r="I444" s="31" t="s">
        <v>3333</v>
      </c>
      <c r="J444" s="73">
        <v>27443740</v>
      </c>
      <c r="K444" s="23" t="s">
        <v>4512</v>
      </c>
      <c r="L444" s="60" t="s">
        <v>3291</v>
      </c>
      <c r="M444" s="60" t="s">
        <v>3292</v>
      </c>
      <c r="N444" s="60" t="s">
        <v>3291</v>
      </c>
      <c r="O444" s="60"/>
      <c r="P444" s="60" t="s">
        <v>3323</v>
      </c>
      <c r="Q444" s="20">
        <v>1</v>
      </c>
    </row>
    <row r="445" spans="1:17" ht="112" x14ac:dyDescent="0.2">
      <c r="A445" s="71">
        <v>444</v>
      </c>
      <c r="B445" s="107" t="str">
        <f>HYPERLINK("https://www.ncbi.nlm.nih.gov/gene/58508", "58508")</f>
        <v>58508</v>
      </c>
      <c r="C445" s="110" t="str">
        <f>HYPERLINK("https://www.uniprot.org/uniprot/Q8NEZ4", "Q8NEZ4")</f>
        <v>Q8NEZ4</v>
      </c>
      <c r="D445" s="43" t="s">
        <v>488</v>
      </c>
      <c r="E445" s="16" t="s">
        <v>488</v>
      </c>
      <c r="F445" s="74" t="s">
        <v>1994</v>
      </c>
      <c r="G445" s="28" t="s">
        <v>1995</v>
      </c>
      <c r="H445" s="28" t="s">
        <v>1996</v>
      </c>
      <c r="I445" s="31" t="s">
        <v>3332</v>
      </c>
      <c r="J445" s="73" t="s">
        <v>3077</v>
      </c>
      <c r="K445" s="23" t="s">
        <v>4513</v>
      </c>
      <c r="L445" s="60" t="s">
        <v>3291</v>
      </c>
      <c r="M445" s="60" t="s">
        <v>3290</v>
      </c>
      <c r="N445" s="60" t="s">
        <v>3291</v>
      </c>
      <c r="O445" s="60"/>
      <c r="P445" s="60" t="s">
        <v>3323</v>
      </c>
      <c r="Q445" s="20">
        <v>1</v>
      </c>
    </row>
    <row r="446" spans="1:17" ht="96" x14ac:dyDescent="0.2">
      <c r="A446" s="71">
        <v>445</v>
      </c>
      <c r="B446" s="107" t="str">
        <f>HYPERLINK("https://www.ncbi.nlm.nih.gov/gene/3845", "3845")</f>
        <v>3845</v>
      </c>
      <c r="C446" s="109" t="str">
        <f>HYPERLINK("https://www.uniprot.org/uniprot/P01116", "P01116")</f>
        <v>P01116</v>
      </c>
      <c r="D446" s="43" t="s">
        <v>426</v>
      </c>
      <c r="E446" s="16" t="s">
        <v>426</v>
      </c>
      <c r="F446" s="74" t="s">
        <v>1870</v>
      </c>
      <c r="G446" s="28" t="s">
        <v>1871</v>
      </c>
      <c r="H446" s="28" t="s">
        <v>1872</v>
      </c>
      <c r="I446" s="31" t="s">
        <v>5264</v>
      </c>
      <c r="J446" s="73">
        <v>22139083</v>
      </c>
      <c r="K446" s="23" t="s">
        <v>4514</v>
      </c>
      <c r="L446" s="60" t="s">
        <v>3310</v>
      </c>
      <c r="M446" s="60" t="s">
        <v>3292</v>
      </c>
      <c r="N446" s="60" t="s">
        <v>3291</v>
      </c>
      <c r="O446" s="60"/>
      <c r="P446" s="60" t="s">
        <v>5493</v>
      </c>
      <c r="Q446" s="20">
        <v>4</v>
      </c>
    </row>
    <row r="447" spans="1:17" ht="64" x14ac:dyDescent="0.2">
      <c r="A447" s="71">
        <v>446</v>
      </c>
      <c r="B447" s="107" t="str">
        <f>HYPERLINK("https://www.ncbi.nlm.nih.gov/gene/3848", "3848")</f>
        <v>3848</v>
      </c>
      <c r="C447" s="109" t="str">
        <f>HYPERLINK("https://www.uniprot.org/uniprot/P04264", "P04264")</f>
        <v>P04264</v>
      </c>
      <c r="D447" s="43" t="s">
        <v>427</v>
      </c>
      <c r="E447" s="34" t="s">
        <v>427</v>
      </c>
      <c r="F447" s="79" t="s">
        <v>1873</v>
      </c>
      <c r="G447" s="30" t="s">
        <v>1874</v>
      </c>
      <c r="H447" s="30" t="s">
        <v>1875</v>
      </c>
      <c r="I447" s="47" t="s">
        <v>2830</v>
      </c>
      <c r="J447" s="73">
        <v>22348822</v>
      </c>
      <c r="K447" s="23" t="s">
        <v>4515</v>
      </c>
      <c r="L447" s="60" t="s">
        <v>3289</v>
      </c>
      <c r="M447" s="60" t="s">
        <v>3289</v>
      </c>
      <c r="N447" s="60" t="s">
        <v>3291</v>
      </c>
      <c r="O447" s="60"/>
      <c r="P447" s="60" t="s">
        <v>3323</v>
      </c>
      <c r="Q447" s="63">
        <v>1</v>
      </c>
    </row>
    <row r="448" spans="1:17" ht="64" x14ac:dyDescent="0.2">
      <c r="A448" s="71">
        <v>447</v>
      </c>
      <c r="B448" s="107" t="str">
        <f>HYPERLINK("https://www.ncbi.nlm.nih.gov/gene/3858", "3858")</f>
        <v>3858</v>
      </c>
      <c r="C448" s="109" t="str">
        <f>HYPERLINK("https://www.uniprot.org/uniprot/P13645", "P13645")</f>
        <v>P13645</v>
      </c>
      <c r="D448" s="43" t="s">
        <v>428</v>
      </c>
      <c r="E448" s="16" t="s">
        <v>428</v>
      </c>
      <c r="F448" s="74" t="s">
        <v>1876</v>
      </c>
      <c r="G448" s="28" t="s">
        <v>1877</v>
      </c>
      <c r="H448" s="28" t="s">
        <v>4046</v>
      </c>
      <c r="I448" s="31" t="s">
        <v>5265</v>
      </c>
      <c r="J448" s="73" t="s">
        <v>3053</v>
      </c>
      <c r="K448" s="23" t="s">
        <v>4516</v>
      </c>
      <c r="L448" s="60" t="s">
        <v>3291</v>
      </c>
      <c r="M448" s="60" t="s">
        <v>3292</v>
      </c>
      <c r="N448" s="60" t="s">
        <v>3289</v>
      </c>
      <c r="O448" s="60"/>
      <c r="P448" s="60" t="s">
        <v>3323</v>
      </c>
      <c r="Q448" s="20">
        <v>1</v>
      </c>
    </row>
    <row r="449" spans="1:17" ht="112" x14ac:dyDescent="0.2">
      <c r="A449" s="71">
        <v>448</v>
      </c>
      <c r="B449" s="107" t="str">
        <f>HYPERLINK("https://www.ncbi.nlm.nih.gov/gene/3875", "3875")</f>
        <v>3875</v>
      </c>
      <c r="C449" s="109" t="str">
        <f>HYPERLINK("https://www.uniprot.org/uniprot/P05783", "P05783")</f>
        <v>P05783</v>
      </c>
      <c r="D449" s="43" t="s">
        <v>429</v>
      </c>
      <c r="E449" s="16" t="s">
        <v>429</v>
      </c>
      <c r="F449" s="74" t="s">
        <v>1878</v>
      </c>
      <c r="G449" s="28" t="s">
        <v>1879</v>
      </c>
      <c r="H449" s="28" t="s">
        <v>3549</v>
      </c>
      <c r="I449" s="31" t="s">
        <v>5266</v>
      </c>
      <c r="J449" s="73" t="s">
        <v>3054</v>
      </c>
      <c r="K449" s="23" t="s">
        <v>4517</v>
      </c>
      <c r="L449" s="60" t="s">
        <v>3289</v>
      </c>
      <c r="M449" s="60" t="s">
        <v>3289</v>
      </c>
      <c r="N449" s="60" t="s">
        <v>3291</v>
      </c>
      <c r="O449" s="60"/>
      <c r="P449" s="60" t="s">
        <v>5492</v>
      </c>
      <c r="Q449" s="20">
        <v>4</v>
      </c>
    </row>
    <row r="450" spans="1:17" ht="128" x14ac:dyDescent="0.2">
      <c r="A450" s="71">
        <v>449</v>
      </c>
      <c r="B450" s="107" t="str">
        <f>HYPERLINK("https://www.ncbi.nlm.nih.gov/gene/3852", "3852")</f>
        <v>3852</v>
      </c>
      <c r="C450" s="116" t="str">
        <f>HYPERLINK("https://www.uniprot.org/uniprot/P13647", "P13647")</f>
        <v>P13647</v>
      </c>
      <c r="D450" s="43" t="s">
        <v>430</v>
      </c>
      <c r="E450" s="16" t="s">
        <v>430</v>
      </c>
      <c r="F450" s="74" t="s">
        <v>1880</v>
      </c>
      <c r="G450" s="31" t="s">
        <v>1881</v>
      </c>
      <c r="H450" s="31" t="s">
        <v>1882</v>
      </c>
      <c r="I450" s="31" t="s">
        <v>2830</v>
      </c>
      <c r="J450" s="73" t="s">
        <v>3055</v>
      </c>
      <c r="K450" s="23" t="s">
        <v>4518</v>
      </c>
      <c r="L450" s="60" t="s">
        <v>3289</v>
      </c>
      <c r="M450" s="60" t="s">
        <v>3289</v>
      </c>
      <c r="N450" s="60" t="s">
        <v>3291</v>
      </c>
      <c r="O450" s="60"/>
      <c r="P450" s="60" t="s">
        <v>5493</v>
      </c>
      <c r="Q450" s="64">
        <v>4</v>
      </c>
    </row>
    <row r="451" spans="1:17" ht="80" x14ac:dyDescent="0.2">
      <c r="A451" s="71">
        <v>450</v>
      </c>
      <c r="B451" s="107" t="str">
        <f>HYPERLINK("https://www.ncbi.nlm.nih.gov/gene/3856", "3856")</f>
        <v>3856</v>
      </c>
      <c r="C451" s="109" t="str">
        <f>HYPERLINK("https://www.uniprot.org/uniprot/P05787", "P05787")</f>
        <v>P05787</v>
      </c>
      <c r="D451" s="43" t="s">
        <v>431</v>
      </c>
      <c r="E451" s="16" t="s">
        <v>431</v>
      </c>
      <c r="F451" s="74" t="s">
        <v>1883</v>
      </c>
      <c r="G451" s="28" t="s">
        <v>1884</v>
      </c>
      <c r="H451" s="28" t="s">
        <v>4047</v>
      </c>
      <c r="I451" s="31" t="s">
        <v>5266</v>
      </c>
      <c r="J451" s="73" t="s">
        <v>3056</v>
      </c>
      <c r="K451" s="23" t="s">
        <v>4519</v>
      </c>
      <c r="L451" s="60" t="s">
        <v>3289</v>
      </c>
      <c r="M451" s="60" t="s">
        <v>3289</v>
      </c>
      <c r="N451" s="60" t="s">
        <v>3291</v>
      </c>
      <c r="O451" s="60"/>
      <c r="P451" s="60" t="s">
        <v>5495</v>
      </c>
      <c r="Q451" s="20">
        <v>2</v>
      </c>
    </row>
    <row r="452" spans="1:17" ht="112" x14ac:dyDescent="0.2">
      <c r="A452" s="71">
        <v>451</v>
      </c>
      <c r="B452" s="107" t="str">
        <f>HYPERLINK("https://www.ncbi.nlm.nih.gov/gene/3897", "3897")</f>
        <v>3897</v>
      </c>
      <c r="C452" s="109" t="str">
        <f>HYPERLINK("https://www.uniprot.org/uniprot/P32004", "P32004")</f>
        <v>P32004</v>
      </c>
      <c r="D452" s="43" t="s">
        <v>432</v>
      </c>
      <c r="E452" s="16" t="s">
        <v>432</v>
      </c>
      <c r="F452" s="74" t="s">
        <v>1885</v>
      </c>
      <c r="G452" s="28" t="s">
        <v>1886</v>
      </c>
      <c r="H452" s="28" t="s">
        <v>1887</v>
      </c>
      <c r="I452" s="31" t="s">
        <v>5267</v>
      </c>
      <c r="J452" s="73" t="s">
        <v>3057</v>
      </c>
      <c r="K452" s="16" t="s">
        <v>3776</v>
      </c>
      <c r="L452" s="60" t="s">
        <v>3289</v>
      </c>
      <c r="M452" s="60" t="s">
        <v>3289</v>
      </c>
      <c r="N452" s="60" t="s">
        <v>3291</v>
      </c>
      <c r="O452" s="60"/>
      <c r="P452" s="60" t="s">
        <v>5493</v>
      </c>
      <c r="Q452" s="20">
        <v>4</v>
      </c>
    </row>
    <row r="453" spans="1:17" ht="96" x14ac:dyDescent="0.2">
      <c r="A453" s="71">
        <v>452</v>
      </c>
      <c r="B453" s="107" t="str">
        <f>HYPERLINK("https://www.ncbi.nlm.nih.gov/gene/10542", "10542")</f>
        <v>10542</v>
      </c>
      <c r="C453" s="109" t="str">
        <f>HYPERLINK("https://www.uniprot.org/uniprot/O43504", "O43504")</f>
        <v>O43504</v>
      </c>
      <c r="D453" s="43" t="s">
        <v>433</v>
      </c>
      <c r="E453" s="16" t="s">
        <v>433</v>
      </c>
      <c r="F453" s="74" t="s">
        <v>1888</v>
      </c>
      <c r="G453" s="28" t="s">
        <v>1889</v>
      </c>
      <c r="H453" s="28" t="s">
        <v>4048</v>
      </c>
      <c r="I453" s="31" t="s">
        <v>2837</v>
      </c>
      <c r="J453" s="73">
        <v>28056551</v>
      </c>
      <c r="K453" s="16" t="s">
        <v>3777</v>
      </c>
      <c r="L453" s="60" t="s">
        <v>3289</v>
      </c>
      <c r="M453" s="60" t="s">
        <v>3289</v>
      </c>
      <c r="N453" s="60" t="s">
        <v>3291</v>
      </c>
      <c r="O453" s="60"/>
      <c r="P453" s="60" t="s">
        <v>5499</v>
      </c>
      <c r="Q453" s="20">
        <v>5</v>
      </c>
    </row>
    <row r="454" spans="1:17" ht="112" x14ac:dyDescent="0.2">
      <c r="A454" s="71">
        <v>453</v>
      </c>
      <c r="B454" s="107" t="str">
        <f>HYPERLINK("https://www.ncbi.nlm.nih.gov/gene/9113", "9113")</f>
        <v>9113</v>
      </c>
      <c r="C454" s="109" t="str">
        <f>HYPERLINK("https://www.uniprot.org/uniprot/O95835", "O95835")</f>
        <v>O95835</v>
      </c>
      <c r="D454" s="43" t="s">
        <v>434</v>
      </c>
      <c r="E454" s="35" t="s">
        <v>434</v>
      </c>
      <c r="F454" s="79" t="s">
        <v>1890</v>
      </c>
      <c r="G454" s="30" t="s">
        <v>1891</v>
      </c>
      <c r="H454" s="30" t="s">
        <v>4049</v>
      </c>
      <c r="I454" s="47" t="s">
        <v>2845</v>
      </c>
      <c r="J454" s="73" t="s">
        <v>3058</v>
      </c>
      <c r="K454" s="23" t="s">
        <v>4520</v>
      </c>
      <c r="L454" s="60" t="s">
        <v>3292</v>
      </c>
      <c r="M454" s="60" t="s">
        <v>3291</v>
      </c>
      <c r="N454" s="60" t="s">
        <v>3292</v>
      </c>
      <c r="O454" s="60"/>
      <c r="P454" s="60" t="s">
        <v>3323</v>
      </c>
      <c r="Q454" s="20">
        <v>1</v>
      </c>
    </row>
    <row r="455" spans="1:17" ht="96" x14ac:dyDescent="0.2">
      <c r="A455" s="71">
        <v>454</v>
      </c>
      <c r="B455" s="107" t="str">
        <f>HYPERLINK("https://www.ncbi.nlm.nih.gov/gene/3932", "3932")</f>
        <v>3932</v>
      </c>
      <c r="C455" s="109" t="str">
        <f>HYPERLINK("https://www.uniprot.org/uniprot/P06239", "P06239")</f>
        <v>P06239</v>
      </c>
      <c r="D455" s="43" t="s">
        <v>435</v>
      </c>
      <c r="E455" s="35" t="s">
        <v>435</v>
      </c>
      <c r="F455" s="79"/>
      <c r="G455" s="30" t="s">
        <v>1892</v>
      </c>
      <c r="H455" s="30" t="s">
        <v>1893</v>
      </c>
      <c r="I455" s="47" t="s">
        <v>5268</v>
      </c>
      <c r="J455" s="73">
        <v>28838952</v>
      </c>
      <c r="K455" s="23" t="s">
        <v>4521</v>
      </c>
      <c r="L455" s="60" t="s">
        <v>3295</v>
      </c>
      <c r="M455" s="60" t="s">
        <v>3295</v>
      </c>
      <c r="N455" s="60" t="s">
        <v>3291</v>
      </c>
      <c r="O455" s="60" t="s">
        <v>5509</v>
      </c>
      <c r="P455" s="60" t="s">
        <v>3323</v>
      </c>
      <c r="Q455" s="20">
        <v>1</v>
      </c>
    </row>
    <row r="456" spans="1:17" ht="112" x14ac:dyDescent="0.2">
      <c r="A456" s="71">
        <v>455</v>
      </c>
      <c r="B456" s="107" t="str">
        <f>HYPERLINK("https://www.ncbi.nlm.nih.gov/gene/3949", "3949")</f>
        <v>3949</v>
      </c>
      <c r="C456" s="109" t="str">
        <f>HYPERLINK("https://www.uniprot.org/uniprot/P01130", "P01130")</f>
        <v>P01130</v>
      </c>
      <c r="D456" s="43" t="s">
        <v>3400</v>
      </c>
      <c r="E456" s="35" t="s">
        <v>3400</v>
      </c>
      <c r="F456" s="79"/>
      <c r="G456" s="30" t="s">
        <v>3401</v>
      </c>
      <c r="H456" s="30" t="s">
        <v>3402</v>
      </c>
      <c r="I456" s="47" t="s">
        <v>5269</v>
      </c>
      <c r="J456" s="73" t="s">
        <v>3403</v>
      </c>
      <c r="K456" s="23" t="s">
        <v>4522</v>
      </c>
      <c r="L456" s="60" t="s">
        <v>3289</v>
      </c>
      <c r="M456" s="60" t="s">
        <v>3289</v>
      </c>
      <c r="N456" s="60" t="s">
        <v>3291</v>
      </c>
      <c r="O456" s="60"/>
      <c r="P456" s="60" t="s">
        <v>5499</v>
      </c>
      <c r="Q456" s="20">
        <v>4</v>
      </c>
    </row>
    <row r="457" spans="1:17" ht="128" x14ac:dyDescent="0.2">
      <c r="A457" s="71">
        <v>456</v>
      </c>
      <c r="B457" s="107" t="str">
        <f>HYPERLINK("https://www.ncbi.nlm.nih.gov/gene/3958", "3958")</f>
        <v>3958</v>
      </c>
      <c r="C457" s="109" t="str">
        <f>HYPERLINK("https://www.uniprot.org/uniprot/P17931", "P17931")</f>
        <v>P17931</v>
      </c>
      <c r="D457" s="43" t="s">
        <v>436</v>
      </c>
      <c r="E457" s="35" t="s">
        <v>436</v>
      </c>
      <c r="F457" s="79" t="s">
        <v>1894</v>
      </c>
      <c r="G457" s="30" t="s">
        <v>1895</v>
      </c>
      <c r="H457" s="30" t="s">
        <v>4050</v>
      </c>
      <c r="I457" s="47" t="s">
        <v>5270</v>
      </c>
      <c r="J457" s="73">
        <v>27626163</v>
      </c>
      <c r="K457" s="23" t="s">
        <v>4523</v>
      </c>
      <c r="L457" s="60" t="s">
        <v>3291</v>
      </c>
      <c r="M457" s="60" t="s">
        <v>3289</v>
      </c>
      <c r="N457" s="60" t="s">
        <v>3291</v>
      </c>
      <c r="O457" s="60"/>
      <c r="P457" s="60" t="s">
        <v>3323</v>
      </c>
      <c r="Q457" s="20">
        <v>1</v>
      </c>
    </row>
    <row r="458" spans="1:17" ht="64" x14ac:dyDescent="0.2">
      <c r="A458" s="71">
        <v>457</v>
      </c>
      <c r="B458" s="107" t="str">
        <f>HYPERLINK("https://www.ncbi.nlm.nih.gov/gene/3980", "3980")</f>
        <v>3980</v>
      </c>
      <c r="C458" s="109" t="str">
        <f>HYPERLINK("https://www.uniprot.org/uniprot/P49916", "P49916")</f>
        <v>P49916</v>
      </c>
      <c r="D458" s="43" t="s">
        <v>437</v>
      </c>
      <c r="E458" s="16" t="s">
        <v>437</v>
      </c>
      <c r="F458" s="28"/>
      <c r="G458" s="28" t="s">
        <v>4996</v>
      </c>
      <c r="H458" s="28" t="s">
        <v>1896</v>
      </c>
      <c r="I458" s="31" t="s">
        <v>5271</v>
      </c>
      <c r="J458" s="73" t="s">
        <v>3059</v>
      </c>
      <c r="K458" s="30" t="s">
        <v>4524</v>
      </c>
      <c r="L458" s="60" t="s">
        <v>3291</v>
      </c>
      <c r="M458" s="60" t="s">
        <v>3289</v>
      </c>
      <c r="N458" s="60" t="s">
        <v>3291</v>
      </c>
      <c r="O458" s="60"/>
      <c r="P458" s="60" t="s">
        <v>3323</v>
      </c>
      <c r="Q458" s="20">
        <v>1</v>
      </c>
    </row>
    <row r="459" spans="1:17" ht="64" x14ac:dyDescent="0.2">
      <c r="A459" s="71">
        <v>458</v>
      </c>
      <c r="B459" s="107" t="str">
        <f>HYPERLINK("https://www.ncbi.nlm.nih.gov/gene/3981", "3981")</f>
        <v>3981</v>
      </c>
      <c r="C459" s="109" t="str">
        <f>HYPERLINK("https://www.uniprot.org/uniprot/P49917", "P49917")</f>
        <v>P49917</v>
      </c>
      <c r="D459" s="43" t="s">
        <v>438</v>
      </c>
      <c r="E459" s="16" t="s">
        <v>438</v>
      </c>
      <c r="F459" s="74"/>
      <c r="G459" s="28" t="s">
        <v>3548</v>
      </c>
      <c r="H459" s="28" t="s">
        <v>1897</v>
      </c>
      <c r="I459" s="31" t="s">
        <v>3335</v>
      </c>
      <c r="J459" s="73" t="s">
        <v>3060</v>
      </c>
      <c r="K459" s="23" t="s">
        <v>4525</v>
      </c>
      <c r="L459" s="60" t="s">
        <v>3291</v>
      </c>
      <c r="M459" s="60" t="s">
        <v>3289</v>
      </c>
      <c r="N459" s="60" t="s">
        <v>3291</v>
      </c>
      <c r="O459" s="60"/>
      <c r="P459" s="60" t="s">
        <v>3323</v>
      </c>
      <c r="Q459" s="20">
        <v>1</v>
      </c>
    </row>
    <row r="460" spans="1:17" ht="112" x14ac:dyDescent="0.2">
      <c r="A460" s="71">
        <v>459</v>
      </c>
      <c r="B460" s="107" t="str">
        <f>HYPERLINK("https://www.ncbi.nlm.nih.gov/gene/79727", "79727")</f>
        <v>79727</v>
      </c>
      <c r="C460" s="109" t="str">
        <f>HYPERLINK("https://www.uniprot.org/uniprot/Q9H9Z2", "Q9H9Z2")</f>
        <v>Q9H9Z2</v>
      </c>
      <c r="D460" s="43" t="s">
        <v>439</v>
      </c>
      <c r="E460" s="16" t="s">
        <v>439</v>
      </c>
      <c r="F460" s="74" t="s">
        <v>1898</v>
      </c>
      <c r="G460" s="28" t="s">
        <v>4997</v>
      </c>
      <c r="H460" s="28" t="s">
        <v>1899</v>
      </c>
      <c r="I460" s="31" t="s">
        <v>5272</v>
      </c>
      <c r="J460" s="73">
        <v>25318762</v>
      </c>
      <c r="K460" s="23" t="s">
        <v>4526</v>
      </c>
      <c r="L460" s="60" t="s">
        <v>3289</v>
      </c>
      <c r="M460" s="60" t="s">
        <v>3289</v>
      </c>
      <c r="N460" s="60" t="s">
        <v>3291</v>
      </c>
      <c r="O460" s="60"/>
      <c r="P460" s="60" t="s">
        <v>5493</v>
      </c>
      <c r="Q460" s="20">
        <v>4</v>
      </c>
    </row>
    <row r="461" spans="1:17" ht="128" x14ac:dyDescent="0.2">
      <c r="A461" s="71">
        <v>460</v>
      </c>
      <c r="B461" s="107" t="str">
        <f>HYPERLINK("https://www.ncbi.nlm.nih.gov/gene/389421", "389421")</f>
        <v>389421</v>
      </c>
      <c r="C461" s="109" t="str">
        <f>HYPERLINK("https://www.uniprot.org/uniprot/Q6ZN17", "Q6ZN17")</f>
        <v>Q6ZN17</v>
      </c>
      <c r="D461" s="43" t="s">
        <v>440</v>
      </c>
      <c r="E461" s="16" t="s">
        <v>440</v>
      </c>
      <c r="F461" s="74" t="s">
        <v>1900</v>
      </c>
      <c r="G461" s="28" t="s">
        <v>1901</v>
      </c>
      <c r="H461" s="28" t="s">
        <v>4051</v>
      </c>
      <c r="I461" s="31" t="s">
        <v>5273</v>
      </c>
      <c r="J461" s="73">
        <v>26158423</v>
      </c>
      <c r="K461" s="30" t="s">
        <v>4472</v>
      </c>
      <c r="L461" s="60" t="s">
        <v>3289</v>
      </c>
      <c r="M461" s="60" t="s">
        <v>3289</v>
      </c>
      <c r="N461" s="60" t="s">
        <v>3291</v>
      </c>
      <c r="O461" s="60"/>
      <c r="P461" s="60" t="s">
        <v>5493</v>
      </c>
      <c r="Q461" s="20">
        <v>4</v>
      </c>
    </row>
    <row r="462" spans="1:17" ht="64" x14ac:dyDescent="0.2">
      <c r="A462" s="71">
        <v>461</v>
      </c>
      <c r="B462" s="107" t="str">
        <f>HYPERLINK("https://www.ncbi.nlm.nih.gov/gene/8543", "8543")</f>
        <v>8543</v>
      </c>
      <c r="C462" s="109" t="str">
        <f>HYPERLINK("https://www.uniprot.org/uniprot/P61968", "P61968")</f>
        <v>P61968</v>
      </c>
      <c r="D462" s="43" t="s">
        <v>441</v>
      </c>
      <c r="E462" s="16" t="s">
        <v>441</v>
      </c>
      <c r="F462" s="74"/>
      <c r="G462" s="28" t="s">
        <v>4998</v>
      </c>
      <c r="H462" s="28" t="s">
        <v>1902</v>
      </c>
      <c r="I462" s="31" t="s">
        <v>5274</v>
      </c>
      <c r="J462" s="73">
        <v>25501662</v>
      </c>
      <c r="K462" s="23" t="s">
        <v>4527</v>
      </c>
      <c r="L462" s="60" t="s">
        <v>3289</v>
      </c>
      <c r="M462" s="60" t="s">
        <v>3289</v>
      </c>
      <c r="N462" s="60" t="s">
        <v>3292</v>
      </c>
      <c r="O462" s="60"/>
      <c r="P462" s="60" t="s">
        <v>3323</v>
      </c>
      <c r="Q462" s="20">
        <v>1</v>
      </c>
    </row>
    <row r="463" spans="1:17" ht="96" x14ac:dyDescent="0.2">
      <c r="A463" s="71">
        <v>462</v>
      </c>
      <c r="B463" s="107" t="str">
        <f>HYPERLINK("https://www.ncbi.nlm.nih.gov/gene/4012", "4012")</f>
        <v>4012</v>
      </c>
      <c r="C463" s="109" t="str">
        <f>HYPERLINK("https://www.uniprot.org/uniprot/Q9UIQ6", "Q9UIQ6")</f>
        <v>Q9UIQ6</v>
      </c>
      <c r="D463" s="43" t="s">
        <v>442</v>
      </c>
      <c r="E463" s="35" t="s">
        <v>442</v>
      </c>
      <c r="F463" s="79" t="s">
        <v>1903</v>
      </c>
      <c r="G463" s="30" t="s">
        <v>1904</v>
      </c>
      <c r="H463" s="30" t="s">
        <v>4052</v>
      </c>
      <c r="I463" s="47" t="s">
        <v>2849</v>
      </c>
      <c r="J463" s="73">
        <v>15491750</v>
      </c>
      <c r="K463" s="23" t="s">
        <v>4528</v>
      </c>
      <c r="L463" s="60" t="s">
        <v>3289</v>
      </c>
      <c r="M463" s="60" t="s">
        <v>3289</v>
      </c>
      <c r="N463" s="60" t="s">
        <v>3291</v>
      </c>
      <c r="O463" s="60"/>
      <c r="P463" s="60" t="s">
        <v>5492</v>
      </c>
      <c r="Q463" s="20">
        <v>4</v>
      </c>
    </row>
    <row r="464" spans="1:17" ht="64" x14ac:dyDescent="0.2">
      <c r="A464" s="71">
        <v>463</v>
      </c>
      <c r="B464" s="107" t="str">
        <f>HYPERLINK("https://www.ncbi.nlm.nih.gov/gene/4035", "4035")</f>
        <v>4035</v>
      </c>
      <c r="C464" s="109" t="str">
        <f>HYPERLINK("https://www.uniprot.org/uniprot/Q07954", "Q07954")</f>
        <v>Q07954</v>
      </c>
      <c r="D464" s="43" t="s">
        <v>443</v>
      </c>
      <c r="E464" s="34" t="s">
        <v>443</v>
      </c>
      <c r="F464" s="79" t="s">
        <v>1905</v>
      </c>
      <c r="G464" s="30" t="s">
        <v>1906</v>
      </c>
      <c r="H464" s="30" t="s">
        <v>4053</v>
      </c>
      <c r="I464" s="47" t="s">
        <v>5275</v>
      </c>
      <c r="J464" s="73">
        <v>30089260</v>
      </c>
      <c r="K464" s="23" t="s">
        <v>4529</v>
      </c>
      <c r="L464" s="60" t="s">
        <v>3291</v>
      </c>
      <c r="M464" s="60" t="s">
        <v>3289</v>
      </c>
      <c r="N464" s="60" t="s">
        <v>3289</v>
      </c>
      <c r="O464" s="60"/>
      <c r="P464" s="60" t="s">
        <v>3323</v>
      </c>
      <c r="Q464" s="20">
        <v>1</v>
      </c>
    </row>
    <row r="465" spans="1:17" ht="96" x14ac:dyDescent="0.2">
      <c r="A465" s="71">
        <v>464</v>
      </c>
      <c r="B465" s="107" t="str">
        <f>HYPERLINK("https://www.ncbi.nlm.nih.gov/gene/56262", "56262")</f>
        <v>56262</v>
      </c>
      <c r="C465" s="109" t="str">
        <f>HYPERLINK("https://www.uniprot.org/uniprot/Q8IWT6", "Q8IWT6")</f>
        <v>Q8IWT6</v>
      </c>
      <c r="D465" s="43" t="s">
        <v>444</v>
      </c>
      <c r="E465" s="16" t="s">
        <v>444</v>
      </c>
      <c r="F465" s="74" t="s">
        <v>1907</v>
      </c>
      <c r="G465" s="28" t="s">
        <v>4999</v>
      </c>
      <c r="H465" s="28" t="s">
        <v>1908</v>
      </c>
      <c r="I465" s="31" t="s">
        <v>3844</v>
      </c>
      <c r="J465" s="73" t="s">
        <v>3061</v>
      </c>
      <c r="K465" s="23" t="s">
        <v>4530</v>
      </c>
      <c r="L465" s="60" t="s">
        <v>3292</v>
      </c>
      <c r="M465" s="60" t="s">
        <v>3292</v>
      </c>
      <c r="N465" s="60" t="s">
        <v>3291</v>
      </c>
      <c r="O465" s="60"/>
      <c r="P465" s="60" t="s">
        <v>5493</v>
      </c>
      <c r="Q465" s="20">
        <v>4</v>
      </c>
    </row>
    <row r="466" spans="1:17" ht="80" x14ac:dyDescent="0.2">
      <c r="A466" s="71">
        <v>465</v>
      </c>
      <c r="B466" s="107" t="str">
        <f>HYPERLINK("https://www.ncbi.nlm.nih.gov/gene/55144", "55144")</f>
        <v>55144</v>
      </c>
      <c r="C466" s="109" t="str">
        <f>HYPERLINK("https://www.uniprot.org/uniprot/Q7L1W4", "Q7L1W4")</f>
        <v>Q7L1W4</v>
      </c>
      <c r="D466" s="43" t="s">
        <v>445</v>
      </c>
      <c r="E466" s="16" t="s">
        <v>445</v>
      </c>
      <c r="F466" s="74" t="s">
        <v>1909</v>
      </c>
      <c r="G466" s="28" t="s">
        <v>5000</v>
      </c>
      <c r="H466" s="28" t="s">
        <v>1910</v>
      </c>
      <c r="I466" s="31" t="s">
        <v>3844</v>
      </c>
      <c r="J466" s="73">
        <v>26530471</v>
      </c>
      <c r="K466" s="23" t="s">
        <v>4531</v>
      </c>
      <c r="L466" s="60" t="s">
        <v>3292</v>
      </c>
      <c r="M466" s="60" t="s">
        <v>3292</v>
      </c>
      <c r="N466" s="60" t="s">
        <v>3291</v>
      </c>
      <c r="O466" s="60"/>
      <c r="P466" s="60" t="s">
        <v>5493</v>
      </c>
      <c r="Q466" s="20">
        <v>4</v>
      </c>
    </row>
    <row r="467" spans="1:17" ht="80" x14ac:dyDescent="0.2">
      <c r="A467" s="71">
        <v>466</v>
      </c>
      <c r="B467" s="107" t="str">
        <f>HYPERLINK("https://www.ncbi.nlm.nih.gov/gene/9208", "9208")</f>
        <v>9208</v>
      </c>
      <c r="C467" s="109" t="str">
        <f>HYPERLINK("https://www.uniprot.org/uniprot/Q32MZ4", "Q32MZ4")</f>
        <v>Q32MZ4</v>
      </c>
      <c r="D467" s="43" t="s">
        <v>446</v>
      </c>
      <c r="E467" s="16" t="s">
        <v>446</v>
      </c>
      <c r="F467" s="74" t="s">
        <v>1911</v>
      </c>
      <c r="G467" s="28" t="s">
        <v>1912</v>
      </c>
      <c r="H467" s="28" t="s">
        <v>1913</v>
      </c>
      <c r="I467" s="31" t="s">
        <v>5276</v>
      </c>
      <c r="J467" s="73">
        <v>22571463</v>
      </c>
      <c r="K467" s="23" t="s">
        <v>4532</v>
      </c>
      <c r="L467" s="60" t="s">
        <v>3289</v>
      </c>
      <c r="M467" s="60" t="s">
        <v>3289</v>
      </c>
      <c r="N467" s="60" t="s">
        <v>3291</v>
      </c>
      <c r="O467" s="60"/>
      <c r="P467" s="60" t="s">
        <v>3323</v>
      </c>
      <c r="Q467" s="20">
        <v>1</v>
      </c>
    </row>
    <row r="468" spans="1:17" ht="112" x14ac:dyDescent="0.2">
      <c r="A468" s="71">
        <v>467</v>
      </c>
      <c r="B468" s="107" t="str">
        <f>HYPERLINK("https://www.ncbi.nlm.nih.gov/gene/56413", "56413")</f>
        <v>56413</v>
      </c>
      <c r="C468" s="109" t="str">
        <f>HYPERLINK("https://www.uniprot.org/uniprot/Q9NPC1", "Q9NPC1")</f>
        <v>Q9NPC1</v>
      </c>
      <c r="D468" s="43" t="s">
        <v>447</v>
      </c>
      <c r="E468" s="35" t="s">
        <v>447</v>
      </c>
      <c r="F468" s="79" t="s">
        <v>1914</v>
      </c>
      <c r="G468" s="30" t="s">
        <v>1915</v>
      </c>
      <c r="H468" s="30" t="s">
        <v>1916</v>
      </c>
      <c r="I468" s="47" t="s">
        <v>2842</v>
      </c>
      <c r="J468" s="73" t="s">
        <v>3062</v>
      </c>
      <c r="K468" s="23" t="s">
        <v>4533</v>
      </c>
      <c r="L468" s="60" t="s">
        <v>3289</v>
      </c>
      <c r="M468" s="60" t="s">
        <v>3289</v>
      </c>
      <c r="N468" s="60" t="s">
        <v>3291</v>
      </c>
      <c r="O468" s="60"/>
      <c r="P468" s="60" t="s">
        <v>5495</v>
      </c>
      <c r="Q468" s="20">
        <v>2</v>
      </c>
    </row>
    <row r="469" spans="1:17" ht="48" x14ac:dyDescent="0.2">
      <c r="A469" s="71">
        <v>468</v>
      </c>
      <c r="B469" s="107" t="str">
        <f>HYPERLINK("https://www.ncbi.nlm.nih.gov/gene/51747", "51747")</f>
        <v>51747</v>
      </c>
      <c r="C469" s="109" t="str">
        <f>HYPERLINK("https://www.uniprot.org/uniprot/O95232", "O95232")</f>
        <v>O95232</v>
      </c>
      <c r="D469" s="43" t="s">
        <v>448</v>
      </c>
      <c r="E469" s="16" t="s">
        <v>448</v>
      </c>
      <c r="F469" s="74" t="s">
        <v>1917</v>
      </c>
      <c r="G469" s="28" t="s">
        <v>1918</v>
      </c>
      <c r="H469" s="28" t="s">
        <v>1919</v>
      </c>
      <c r="I469" s="31" t="s">
        <v>2850</v>
      </c>
      <c r="J469" s="73" t="s">
        <v>3063</v>
      </c>
      <c r="K469" s="23" t="s">
        <v>4534</v>
      </c>
      <c r="L469" s="60" t="s">
        <v>3289</v>
      </c>
      <c r="M469" s="60" t="s">
        <v>3291</v>
      </c>
      <c r="N469" s="60" t="s">
        <v>3291</v>
      </c>
      <c r="O469" s="60"/>
      <c r="P469" s="60" t="s">
        <v>3323</v>
      </c>
      <c r="Q469" s="20">
        <v>1</v>
      </c>
    </row>
    <row r="470" spans="1:17" ht="80" x14ac:dyDescent="0.2">
      <c r="A470" s="71">
        <v>469</v>
      </c>
      <c r="B470" s="107" t="str">
        <f>HYPERLINK("https://www.ncbi.nlm.nih.gov/gene/346389", "346389")</f>
        <v>346389</v>
      </c>
      <c r="C470" s="109" t="str">
        <f>HYPERLINK("https://www.uniprot.org/uniprot/Q6ZN28", "Q6ZN28")</f>
        <v>Q6ZN28</v>
      </c>
      <c r="D470" s="43" t="s">
        <v>449</v>
      </c>
      <c r="E470" s="35" t="s">
        <v>449</v>
      </c>
      <c r="F470" s="79"/>
      <c r="G470" s="30" t="s">
        <v>1920</v>
      </c>
      <c r="H470" s="30" t="s">
        <v>1921</v>
      </c>
      <c r="I470" s="47" t="s">
        <v>2853</v>
      </c>
      <c r="J470" s="73" t="s">
        <v>3064</v>
      </c>
      <c r="K470" s="23" t="s">
        <v>4535</v>
      </c>
      <c r="L470" s="60" t="s">
        <v>3289</v>
      </c>
      <c r="M470" s="60" t="s">
        <v>3289</v>
      </c>
      <c r="N470" s="60" t="s">
        <v>3291</v>
      </c>
      <c r="O470" s="60"/>
      <c r="P470" s="60" t="s">
        <v>3323</v>
      </c>
      <c r="Q470" s="20">
        <v>1</v>
      </c>
    </row>
    <row r="471" spans="1:17" ht="96" x14ac:dyDescent="0.2">
      <c r="A471" s="71">
        <v>470</v>
      </c>
      <c r="B471" s="107" t="str">
        <f>HYPERLINK("https://www.ncbi.nlm.nih.gov/gene/10459", "10459")</f>
        <v>10459</v>
      </c>
      <c r="C471" s="109" t="str">
        <f>HYPERLINK("https://www.uniprot.org/uniprot/Q9UI95", "Q9UI95")</f>
        <v>Q9UI95</v>
      </c>
      <c r="D471" s="43" t="s">
        <v>450</v>
      </c>
      <c r="E471" s="35" t="s">
        <v>450</v>
      </c>
      <c r="F471" s="79" t="s">
        <v>1922</v>
      </c>
      <c r="G471" s="30" t="s">
        <v>1923</v>
      </c>
      <c r="H471" s="30" t="s">
        <v>4054</v>
      </c>
      <c r="I471" s="47" t="s">
        <v>3337</v>
      </c>
      <c r="J471" s="73">
        <v>24597627</v>
      </c>
      <c r="K471" s="23" t="s">
        <v>4536</v>
      </c>
      <c r="L471" s="60" t="s">
        <v>3291</v>
      </c>
      <c r="M471" s="60" t="s">
        <v>3289</v>
      </c>
      <c r="N471" s="60" t="s">
        <v>3291</v>
      </c>
      <c r="O471" s="60"/>
      <c r="P471" s="60" t="s">
        <v>5495</v>
      </c>
      <c r="Q471" s="20">
        <v>2</v>
      </c>
    </row>
    <row r="472" spans="1:17" ht="96" x14ac:dyDescent="0.2">
      <c r="A472" s="71">
        <v>471</v>
      </c>
      <c r="B472" s="107" t="str">
        <f>HYPERLINK("https://www.ncbi.nlm.nih.gov/gene/4097", "4097")</f>
        <v>4097</v>
      </c>
      <c r="C472" s="109" t="str">
        <f>HYPERLINK("https://www.uniprot.org/uniprot/O15525", "O15525")</f>
        <v>O15525</v>
      </c>
      <c r="D472" s="43" t="s">
        <v>451</v>
      </c>
      <c r="E472" s="35" t="s">
        <v>451</v>
      </c>
      <c r="F472" s="79"/>
      <c r="G472" s="30" t="s">
        <v>5001</v>
      </c>
      <c r="H472" s="30" t="s">
        <v>4055</v>
      </c>
      <c r="I472" s="47" t="s">
        <v>2836</v>
      </c>
      <c r="J472" s="73">
        <v>29158814</v>
      </c>
      <c r="K472" s="23" t="s">
        <v>4537</v>
      </c>
      <c r="L472" s="60" t="s">
        <v>3289</v>
      </c>
      <c r="M472" s="60" t="s">
        <v>3289</v>
      </c>
      <c r="N472" s="60" t="s">
        <v>3291</v>
      </c>
      <c r="O472" s="60"/>
      <c r="P472" s="60" t="s">
        <v>5493</v>
      </c>
      <c r="Q472" s="20">
        <v>4</v>
      </c>
    </row>
    <row r="473" spans="1:17" ht="96" x14ac:dyDescent="0.2">
      <c r="A473" s="71">
        <v>472</v>
      </c>
      <c r="B473" s="107" t="str">
        <f>HYPERLINK("https://www.ncbi.nlm.nih.gov/gene/4118", "4118")</f>
        <v>4118</v>
      </c>
      <c r="C473" s="109" t="str">
        <f>HYPERLINK("https://www.uniprot.org/uniprot/P21145", "P21145")</f>
        <v>P21145</v>
      </c>
      <c r="D473" s="43" t="s">
        <v>452</v>
      </c>
      <c r="E473" s="35" t="s">
        <v>452</v>
      </c>
      <c r="F473" s="79"/>
      <c r="G473" s="30" t="s">
        <v>1924</v>
      </c>
      <c r="H473" s="30" t="s">
        <v>4056</v>
      </c>
      <c r="I473" s="47" t="s">
        <v>2827</v>
      </c>
      <c r="J473" s="73" t="s">
        <v>3065</v>
      </c>
      <c r="K473" s="23" t="s">
        <v>4538</v>
      </c>
      <c r="L473" s="60" t="s">
        <v>3289</v>
      </c>
      <c r="M473" s="60" t="s">
        <v>3289</v>
      </c>
      <c r="N473" s="60" t="s">
        <v>3291</v>
      </c>
      <c r="O473" s="60"/>
      <c r="P473" s="60" t="s">
        <v>5493</v>
      </c>
      <c r="Q473" s="20">
        <v>4</v>
      </c>
    </row>
    <row r="474" spans="1:17" ht="80" x14ac:dyDescent="0.2">
      <c r="A474" s="71">
        <v>473</v>
      </c>
      <c r="B474" s="107" t="str">
        <f>HYPERLINK("https://www.ncbi.nlm.nih.gov/gene/10892", "10892")</f>
        <v>10892</v>
      </c>
      <c r="C474" s="109" t="str">
        <f>HYPERLINK("https://www.uniprot.org/uniprot/Q9UDY8", "Q9UDY8")</f>
        <v>Q9UDY8</v>
      </c>
      <c r="D474" s="43" t="s">
        <v>453</v>
      </c>
      <c r="E474" s="35" t="s">
        <v>453</v>
      </c>
      <c r="F474" s="79" t="s">
        <v>1925</v>
      </c>
      <c r="G474" s="30" t="s">
        <v>1926</v>
      </c>
      <c r="H474" s="30" t="s">
        <v>1927</v>
      </c>
      <c r="I474" s="47" t="s">
        <v>2834</v>
      </c>
      <c r="J474" s="73">
        <v>23358872</v>
      </c>
      <c r="K474" s="23" t="s">
        <v>4539</v>
      </c>
      <c r="L474" s="60" t="s">
        <v>3289</v>
      </c>
      <c r="M474" s="60" t="s">
        <v>3289</v>
      </c>
      <c r="N474" s="60" t="s">
        <v>3291</v>
      </c>
      <c r="O474" s="60"/>
      <c r="P474" s="60" t="s">
        <v>3323</v>
      </c>
      <c r="Q474" s="20">
        <v>1</v>
      </c>
    </row>
    <row r="475" spans="1:17" ht="64" x14ac:dyDescent="0.2">
      <c r="A475" s="71">
        <v>474</v>
      </c>
      <c r="B475" s="107" t="str">
        <f>HYPERLINK("https://www.ncbi.nlm.nih.gov/gene/84557", "84557")</f>
        <v>84557</v>
      </c>
      <c r="C475" s="109" t="str">
        <f>HYPERLINK("https://www.uniprot.org/uniprot/Q9H492", "Q9H492")</f>
        <v>Q9H492</v>
      </c>
      <c r="D475" s="43" t="s">
        <v>454</v>
      </c>
      <c r="E475" s="35" t="s">
        <v>454</v>
      </c>
      <c r="F475" s="79" t="s">
        <v>1928</v>
      </c>
      <c r="G475" s="30" t="s">
        <v>1929</v>
      </c>
      <c r="H475" s="30" t="s">
        <v>1930</v>
      </c>
      <c r="I475" s="47" t="s">
        <v>2838</v>
      </c>
      <c r="J475" s="73">
        <v>28382796</v>
      </c>
      <c r="K475" s="23" t="s">
        <v>4540</v>
      </c>
      <c r="L475" s="60" t="s">
        <v>3289</v>
      </c>
      <c r="M475" s="60" t="s">
        <v>3289</v>
      </c>
      <c r="N475" s="60" t="s">
        <v>3291</v>
      </c>
      <c r="O475" s="60"/>
      <c r="P475" s="60" t="s">
        <v>5493</v>
      </c>
      <c r="Q475" s="20">
        <v>4</v>
      </c>
    </row>
    <row r="476" spans="1:17" ht="48" x14ac:dyDescent="0.2">
      <c r="A476" s="71">
        <v>475</v>
      </c>
      <c r="B476" s="107" t="str">
        <f>HYPERLINK("https://www.ncbi.nlm.nih.gov/gene/81631", "81631")</f>
        <v>81631</v>
      </c>
      <c r="C476" s="109" t="str">
        <f>HYPERLINK("https://www.uniprot.org/uniprot/Q9GZQ8", "Q9GZQ8")</f>
        <v>Q9GZQ8</v>
      </c>
      <c r="D476" s="43" t="s">
        <v>455</v>
      </c>
      <c r="E476" s="35" t="s">
        <v>455</v>
      </c>
      <c r="F476" s="79" t="s">
        <v>1931</v>
      </c>
      <c r="G476" s="30" t="s">
        <v>1932</v>
      </c>
      <c r="H476" s="30" t="s">
        <v>1933</v>
      </c>
      <c r="I476" s="47" t="s">
        <v>2838</v>
      </c>
      <c r="J476" s="73">
        <v>26553068</v>
      </c>
      <c r="K476" s="23" t="s">
        <v>4541</v>
      </c>
      <c r="L476" s="60" t="s">
        <v>3290</v>
      </c>
      <c r="M476" s="60" t="s">
        <v>3289</v>
      </c>
      <c r="N476" s="60" t="s">
        <v>3291</v>
      </c>
      <c r="O476" s="60"/>
      <c r="P476" s="60" t="s">
        <v>3323</v>
      </c>
      <c r="Q476" s="20">
        <v>1</v>
      </c>
    </row>
    <row r="477" spans="1:17" ht="96" x14ac:dyDescent="0.2">
      <c r="A477" s="71">
        <v>476</v>
      </c>
      <c r="B477" s="107" t="str">
        <f>HYPERLINK("https://www.ncbi.nlm.nih.gov/gene/5604", "5604")</f>
        <v>5604</v>
      </c>
      <c r="C477" s="109" t="str">
        <f>HYPERLINK("https://www.uniprot.org/uniprot/Q02750", "Q02750")</f>
        <v>Q02750</v>
      </c>
      <c r="D477" s="43" t="s">
        <v>456</v>
      </c>
      <c r="E477" s="35" t="s">
        <v>456</v>
      </c>
      <c r="F477" s="79" t="s">
        <v>1934</v>
      </c>
      <c r="G477" s="30" t="s">
        <v>1935</v>
      </c>
      <c r="H477" s="30" t="s">
        <v>1936</v>
      </c>
      <c r="I477" s="47" t="s">
        <v>5277</v>
      </c>
      <c r="J477" s="73">
        <v>25408231</v>
      </c>
      <c r="K477" s="23" t="s">
        <v>4542</v>
      </c>
      <c r="L477" s="60" t="s">
        <v>3289</v>
      </c>
      <c r="M477" s="60" t="s">
        <v>3289</v>
      </c>
      <c r="N477" s="60" t="s">
        <v>3291</v>
      </c>
      <c r="O477" s="60" t="s">
        <v>5509</v>
      </c>
      <c r="P477" s="60" t="s">
        <v>5493</v>
      </c>
      <c r="Q477" s="20">
        <v>4</v>
      </c>
    </row>
    <row r="478" spans="1:17" ht="96" x14ac:dyDescent="0.2">
      <c r="A478" s="71">
        <v>477</v>
      </c>
      <c r="B478" s="107" t="str">
        <f>HYPERLINK("https://www.ncbi.nlm.nih.gov/gene/5606", "5606")</f>
        <v>5606</v>
      </c>
      <c r="C478" s="109" t="str">
        <f>HYPERLINK("https://www.uniprot.org/uniprot/P46734", "P46734")</f>
        <v>P46734</v>
      </c>
      <c r="D478" s="43" t="s">
        <v>457</v>
      </c>
      <c r="E478" s="16" t="s">
        <v>457</v>
      </c>
      <c r="F478" s="74" t="s">
        <v>1937</v>
      </c>
      <c r="G478" s="28" t="s">
        <v>1938</v>
      </c>
      <c r="H478" s="28" t="s">
        <v>3419</v>
      </c>
      <c r="I478" s="31" t="s">
        <v>5277</v>
      </c>
      <c r="J478" s="73" t="s">
        <v>3066</v>
      </c>
      <c r="K478" s="23" t="s">
        <v>4543</v>
      </c>
      <c r="L478" s="60" t="s">
        <v>3291</v>
      </c>
      <c r="M478" s="60" t="s">
        <v>3292</v>
      </c>
      <c r="N478" s="60" t="s">
        <v>3295</v>
      </c>
      <c r="O478" s="60"/>
      <c r="P478" s="60" t="s">
        <v>3323</v>
      </c>
      <c r="Q478" s="20">
        <v>1</v>
      </c>
    </row>
    <row r="479" spans="1:17" ht="80" x14ac:dyDescent="0.2">
      <c r="A479" s="71">
        <v>478</v>
      </c>
      <c r="B479" s="107" t="str">
        <f>HYPERLINK("https://www.ncbi.nlm.nih.gov/gene/6416", "6416")</f>
        <v>6416</v>
      </c>
      <c r="C479" s="109" t="str">
        <f>HYPERLINK("https://www.uniprot.org/uniprot/P45985", "P45985")</f>
        <v>P45985</v>
      </c>
      <c r="D479" s="43" t="s">
        <v>458</v>
      </c>
      <c r="E479" s="16" t="s">
        <v>458</v>
      </c>
      <c r="F479" s="74" t="s">
        <v>1939</v>
      </c>
      <c r="G479" s="28" t="s">
        <v>1940</v>
      </c>
      <c r="H479" s="28" t="s">
        <v>3420</v>
      </c>
      <c r="I479" s="31" t="s">
        <v>5277</v>
      </c>
      <c r="J479" s="73" t="s">
        <v>3067</v>
      </c>
      <c r="K479" s="23" t="s">
        <v>4544</v>
      </c>
      <c r="L479" s="60" t="s">
        <v>3291</v>
      </c>
      <c r="M479" s="60" t="s">
        <v>3292</v>
      </c>
      <c r="N479" s="60" t="s">
        <v>3295</v>
      </c>
      <c r="O479" s="60"/>
      <c r="P479" s="60" t="s">
        <v>3323</v>
      </c>
      <c r="Q479" s="20">
        <v>1</v>
      </c>
    </row>
    <row r="480" spans="1:17" ht="48" x14ac:dyDescent="0.2">
      <c r="A480" s="71">
        <v>479</v>
      </c>
      <c r="B480" s="107" t="str">
        <f>HYPERLINK("https://www.ncbi.nlm.nih.gov/gene/4214", "4214")</f>
        <v>4214</v>
      </c>
      <c r="C480" s="109" t="str">
        <f>HYPERLINK("https://www.uniprot.org/uniprot/Q13233", "Q13233")</f>
        <v>Q13233</v>
      </c>
      <c r="D480" s="43" t="s">
        <v>459</v>
      </c>
      <c r="E480" s="16" t="s">
        <v>459</v>
      </c>
      <c r="F480" s="74" t="s">
        <v>1941</v>
      </c>
      <c r="G480" s="28" t="s">
        <v>1942</v>
      </c>
      <c r="H480" s="28" t="s">
        <v>3421</v>
      </c>
      <c r="I480" s="31" t="s">
        <v>5277</v>
      </c>
      <c r="J480" s="73">
        <v>23678002</v>
      </c>
      <c r="K480" s="23" t="s">
        <v>4545</v>
      </c>
      <c r="L480" s="60" t="s">
        <v>3291</v>
      </c>
      <c r="M480" s="60" t="s">
        <v>3292</v>
      </c>
      <c r="N480" s="60" t="s">
        <v>3295</v>
      </c>
      <c r="O480" s="60"/>
      <c r="P480" s="60" t="s">
        <v>3323</v>
      </c>
      <c r="Q480" s="20">
        <v>1</v>
      </c>
    </row>
    <row r="481" spans="1:17" ht="64" x14ac:dyDescent="0.2">
      <c r="A481" s="71">
        <v>480</v>
      </c>
      <c r="B481" s="107" t="str">
        <f>HYPERLINK("https://www.ncbi.nlm.nih.gov/gene/4217", "4217")</f>
        <v>4217</v>
      </c>
      <c r="C481" s="109" t="str">
        <f>HYPERLINK("https://www.uniprot.org/uniprot/Q99683", "Q99683")</f>
        <v>Q99683</v>
      </c>
      <c r="D481" s="43" t="s">
        <v>460</v>
      </c>
      <c r="E481" s="16" t="s">
        <v>460</v>
      </c>
      <c r="F481" s="74" t="s">
        <v>1943</v>
      </c>
      <c r="G481" s="28" t="s">
        <v>1944</v>
      </c>
      <c r="H481" s="28" t="s">
        <v>4057</v>
      </c>
      <c r="I481" s="31" t="s">
        <v>5278</v>
      </c>
      <c r="J481" s="73">
        <v>9926932</v>
      </c>
      <c r="K481" s="23" t="s">
        <v>4546</v>
      </c>
      <c r="L481" s="60" t="s">
        <v>3291</v>
      </c>
      <c r="M481" s="60" t="s">
        <v>3292</v>
      </c>
      <c r="N481" s="60" t="s">
        <v>3295</v>
      </c>
      <c r="O481" s="60"/>
      <c r="P481" s="60" t="s">
        <v>3323</v>
      </c>
      <c r="Q481" s="20">
        <v>1</v>
      </c>
    </row>
    <row r="482" spans="1:17" ht="80" x14ac:dyDescent="0.2">
      <c r="A482" s="71">
        <v>481</v>
      </c>
      <c r="B482" s="107" t="str">
        <f>HYPERLINK("https://www.ncbi.nlm.nih.gov/gene/6885", "6885")</f>
        <v>6885</v>
      </c>
      <c r="C482" s="109" t="str">
        <f>HYPERLINK("https://www.uniprot.org/uniprot/O43318", "O43318")</f>
        <v>O43318</v>
      </c>
      <c r="D482" s="43" t="s">
        <v>461</v>
      </c>
      <c r="E482" s="16" t="s">
        <v>461</v>
      </c>
      <c r="F482" s="74" t="s">
        <v>1945</v>
      </c>
      <c r="G482" s="28" t="s">
        <v>1946</v>
      </c>
      <c r="H482" s="28" t="s">
        <v>4058</v>
      </c>
      <c r="I482" s="31" t="s">
        <v>5279</v>
      </c>
      <c r="J482" s="73">
        <v>25277189</v>
      </c>
      <c r="K482" s="23" t="s">
        <v>4547</v>
      </c>
      <c r="L482" s="60" t="s">
        <v>3291</v>
      </c>
      <c r="M482" s="60" t="s">
        <v>3289</v>
      </c>
      <c r="N482" s="60" t="s">
        <v>3291</v>
      </c>
      <c r="O482" s="60"/>
      <c r="P482" s="60" t="s">
        <v>3323</v>
      </c>
      <c r="Q482" s="20">
        <v>1</v>
      </c>
    </row>
    <row r="483" spans="1:17" ht="144" x14ac:dyDescent="0.2">
      <c r="A483" s="71">
        <v>482</v>
      </c>
      <c r="B483" s="107" t="str">
        <f>HYPERLINK("https://www.ncbi.nlm.nih.gov/gene/5594", "5594")</f>
        <v>5594</v>
      </c>
      <c r="C483" s="109" t="str">
        <f>HYPERLINK("https://www.uniprot.org/uniprot/P28482", "P28482")</f>
        <v>P28482</v>
      </c>
      <c r="D483" s="43" t="s">
        <v>462</v>
      </c>
      <c r="E483" s="16" t="s">
        <v>462</v>
      </c>
      <c r="F483" s="74" t="s">
        <v>1947</v>
      </c>
      <c r="G483" s="28" t="s">
        <v>1948</v>
      </c>
      <c r="H483" s="28" t="s">
        <v>3422</v>
      </c>
      <c r="I483" s="31" t="s">
        <v>5280</v>
      </c>
      <c r="J483" s="73" t="s">
        <v>3068</v>
      </c>
      <c r="K483" s="23" t="s">
        <v>4548</v>
      </c>
      <c r="L483" s="60" t="s">
        <v>3291</v>
      </c>
      <c r="M483" s="60" t="s">
        <v>3290</v>
      </c>
      <c r="N483" s="60" t="s">
        <v>3295</v>
      </c>
      <c r="O483" s="60"/>
      <c r="P483" s="60" t="s">
        <v>3323</v>
      </c>
      <c r="Q483" s="20">
        <v>1</v>
      </c>
    </row>
    <row r="484" spans="1:17" ht="96" x14ac:dyDescent="0.2">
      <c r="A484" s="71">
        <v>483</v>
      </c>
      <c r="B484" s="107" t="str">
        <f>HYPERLINK("https://www.ncbi.nlm.nih.gov/gene/5600", "5600")</f>
        <v>5600</v>
      </c>
      <c r="C484" s="109" t="str">
        <f>HYPERLINK("https://www.uniprot.org/uniprot/Q15759", "Q15759")</f>
        <v>Q15759</v>
      </c>
      <c r="D484" s="43" t="s">
        <v>463</v>
      </c>
      <c r="E484" s="16" t="s">
        <v>463</v>
      </c>
      <c r="F484" s="74" t="s">
        <v>1949</v>
      </c>
      <c r="G484" s="28" t="s">
        <v>5002</v>
      </c>
      <c r="H484" s="28" t="s">
        <v>1950</v>
      </c>
      <c r="I484" s="31" t="s">
        <v>5277</v>
      </c>
      <c r="J484" s="73" t="s">
        <v>3656</v>
      </c>
      <c r="K484" s="23" t="s">
        <v>4549</v>
      </c>
      <c r="L484" s="60" t="s">
        <v>3303</v>
      </c>
      <c r="M484" s="60" t="s">
        <v>3290</v>
      </c>
      <c r="N484" s="60" t="s">
        <v>5525</v>
      </c>
      <c r="O484" s="60" t="s">
        <v>5509</v>
      </c>
      <c r="P484" s="60" t="s">
        <v>3323</v>
      </c>
      <c r="Q484" s="20">
        <v>1</v>
      </c>
    </row>
    <row r="485" spans="1:17" ht="64" x14ac:dyDescent="0.2">
      <c r="A485" s="71">
        <v>484</v>
      </c>
      <c r="B485" s="107" t="str">
        <f>HYPERLINK("https://www.ncbi.nlm.nih.gov/gene/6300", "6300")</f>
        <v>6300</v>
      </c>
      <c r="C485" s="109" t="str">
        <f>HYPERLINK("https://www.uniprot.org/uniprot/P53778", "P53778")</f>
        <v>P53778</v>
      </c>
      <c r="D485" s="43" t="s">
        <v>464</v>
      </c>
      <c r="E485" s="16" t="s">
        <v>464</v>
      </c>
      <c r="F485" s="74" t="s">
        <v>1951</v>
      </c>
      <c r="G485" s="28" t="s">
        <v>5003</v>
      </c>
      <c r="H485" s="28" t="s">
        <v>1950</v>
      </c>
      <c r="I485" s="31" t="s">
        <v>5277</v>
      </c>
      <c r="J485" s="73" t="s">
        <v>3657</v>
      </c>
      <c r="K485" s="23" t="s">
        <v>4550</v>
      </c>
      <c r="L485" s="60" t="s">
        <v>3290</v>
      </c>
      <c r="M485" s="60" t="s">
        <v>3290</v>
      </c>
      <c r="N485" s="60" t="s">
        <v>5525</v>
      </c>
      <c r="O485" s="60"/>
      <c r="P485" s="60" t="s">
        <v>3323</v>
      </c>
      <c r="Q485" s="20">
        <v>1</v>
      </c>
    </row>
    <row r="486" spans="1:17" ht="32" x14ac:dyDescent="0.2">
      <c r="A486" s="71">
        <v>485</v>
      </c>
      <c r="B486" s="107" t="str">
        <f>HYPERLINK("https://www.ncbi.nlm.nih.gov/gene/5603", "5603")</f>
        <v>5603</v>
      </c>
      <c r="C486" s="109" t="str">
        <f>HYPERLINK("https://www.uniprot.org/uniprot/O15264", "O15264")</f>
        <v>O15264</v>
      </c>
      <c r="D486" s="43" t="s">
        <v>465</v>
      </c>
      <c r="E486" s="16" t="s">
        <v>465</v>
      </c>
      <c r="F486" s="74" t="s">
        <v>1952</v>
      </c>
      <c r="G486" s="28" t="s">
        <v>5004</v>
      </c>
      <c r="H486" s="28" t="s">
        <v>1950</v>
      </c>
      <c r="I486" s="31" t="s">
        <v>5277</v>
      </c>
      <c r="J486" s="73" t="s">
        <v>3658</v>
      </c>
      <c r="K486" s="23" t="s">
        <v>4551</v>
      </c>
      <c r="L486" s="60" t="s">
        <v>3303</v>
      </c>
      <c r="M486" s="60" t="s">
        <v>3292</v>
      </c>
      <c r="N486" s="60" t="s">
        <v>5525</v>
      </c>
      <c r="O486" s="60"/>
      <c r="P486" s="60" t="s">
        <v>3323</v>
      </c>
      <c r="Q486" s="20">
        <v>1</v>
      </c>
    </row>
    <row r="487" spans="1:17" ht="48" x14ac:dyDescent="0.2">
      <c r="A487" s="71">
        <v>486</v>
      </c>
      <c r="B487" s="107" t="str">
        <f>HYPERLINK("https://www.ncbi.nlm.nih.gov/gene/1432", "1432")</f>
        <v>1432</v>
      </c>
      <c r="C487" s="109" t="str">
        <f>HYPERLINK("https://www.uniprot.org/uniprot/Q16539", "Q16539")</f>
        <v>Q16539</v>
      </c>
      <c r="D487" s="43" t="s">
        <v>466</v>
      </c>
      <c r="E487" s="16" t="s">
        <v>466</v>
      </c>
      <c r="F487" s="74" t="s">
        <v>1953</v>
      </c>
      <c r="G487" s="28" t="s">
        <v>5005</v>
      </c>
      <c r="H487" s="28" t="s">
        <v>1950</v>
      </c>
      <c r="I487" s="31" t="s">
        <v>5277</v>
      </c>
      <c r="J487" s="73" t="s">
        <v>3659</v>
      </c>
      <c r="K487" s="23" t="s">
        <v>4552</v>
      </c>
      <c r="L487" s="60" t="s">
        <v>3303</v>
      </c>
      <c r="M487" s="60" t="s">
        <v>3292</v>
      </c>
      <c r="N487" s="60" t="s">
        <v>5525</v>
      </c>
      <c r="O487" s="60"/>
      <c r="P487" s="60" t="s">
        <v>3323</v>
      </c>
      <c r="Q487" s="20">
        <v>1</v>
      </c>
    </row>
    <row r="488" spans="1:17" ht="112" x14ac:dyDescent="0.2">
      <c r="A488" s="71">
        <v>487</v>
      </c>
      <c r="B488" s="107" t="str">
        <f>HYPERLINK("https://www.ncbi.nlm.nih.gov/gene/5595", "5595")</f>
        <v>5595</v>
      </c>
      <c r="C488" s="109" t="str">
        <f>HYPERLINK("https://www.uniprot.org/uniprot/P27361", "P27361")</f>
        <v>P27361</v>
      </c>
      <c r="D488" s="43" t="s">
        <v>467</v>
      </c>
      <c r="E488" s="16" t="s">
        <v>467</v>
      </c>
      <c r="F488" s="74" t="s">
        <v>1954</v>
      </c>
      <c r="G488" s="28" t="s">
        <v>1955</v>
      </c>
      <c r="H488" s="28" t="s">
        <v>3422</v>
      </c>
      <c r="I488" s="31" t="s">
        <v>5280</v>
      </c>
      <c r="J488" s="73" t="s">
        <v>3069</v>
      </c>
      <c r="K488" s="23" t="s">
        <v>4553</v>
      </c>
      <c r="L488" s="60" t="s">
        <v>3291</v>
      </c>
      <c r="M488" s="60" t="s">
        <v>3290</v>
      </c>
      <c r="N488" s="60" t="s">
        <v>3289</v>
      </c>
      <c r="O488" s="60"/>
      <c r="P488" s="60" t="s">
        <v>3323</v>
      </c>
      <c r="Q488" s="20">
        <v>1</v>
      </c>
    </row>
    <row r="489" spans="1:17" ht="160" x14ac:dyDescent="0.2">
      <c r="A489" s="71">
        <v>488</v>
      </c>
      <c r="B489" s="107" t="str">
        <f>HYPERLINK("https://www.ncbi.nlm.nih.gov/gene/5599", "5599")</f>
        <v>5599</v>
      </c>
      <c r="C489" s="109" t="str">
        <f>HYPERLINK("https://www.uniprot.org/uniprot/P45983", "P45983")</f>
        <v>P45983</v>
      </c>
      <c r="D489" s="43" t="s">
        <v>468</v>
      </c>
      <c r="E489" s="16" t="s">
        <v>468</v>
      </c>
      <c r="F489" s="74" t="s">
        <v>1956</v>
      </c>
      <c r="G489" s="28" t="s">
        <v>1957</v>
      </c>
      <c r="H489" s="28" t="s">
        <v>4059</v>
      </c>
      <c r="I489" s="31" t="s">
        <v>5277</v>
      </c>
      <c r="J489" s="73" t="s">
        <v>3660</v>
      </c>
      <c r="K489" s="23" t="s">
        <v>4554</v>
      </c>
      <c r="L489" s="60" t="s">
        <v>3291</v>
      </c>
      <c r="M489" s="60" t="s">
        <v>3290</v>
      </c>
      <c r="N489" s="60" t="s">
        <v>3295</v>
      </c>
      <c r="O489" s="60"/>
      <c r="P489" s="60" t="s">
        <v>3323</v>
      </c>
      <c r="Q489" s="20">
        <v>1</v>
      </c>
    </row>
    <row r="490" spans="1:17" ht="144" x14ac:dyDescent="0.2">
      <c r="A490" s="71">
        <v>489</v>
      </c>
      <c r="B490" s="107" t="str">
        <f>HYPERLINK("https://www.ncbi.nlm.nih.gov/gene/5601", "5601")</f>
        <v>5601</v>
      </c>
      <c r="C490" s="109" t="str">
        <f>HYPERLINK("https://www.uniprot.org/uniprot/P45984", "P45984")</f>
        <v>P45984</v>
      </c>
      <c r="D490" s="43" t="s">
        <v>469</v>
      </c>
      <c r="E490" s="16" t="s">
        <v>469</v>
      </c>
      <c r="F490" s="74" t="s">
        <v>1958</v>
      </c>
      <c r="G490" s="28" t="s">
        <v>1959</v>
      </c>
      <c r="H490" s="28" t="s">
        <v>4060</v>
      </c>
      <c r="I490" s="31" t="s">
        <v>5281</v>
      </c>
      <c r="J490" s="73" t="s">
        <v>3661</v>
      </c>
      <c r="K490" s="23" t="s">
        <v>4555</v>
      </c>
      <c r="L490" s="60" t="s">
        <v>3291</v>
      </c>
      <c r="M490" s="60" t="s">
        <v>3295</v>
      </c>
      <c r="N490" s="60" t="s">
        <v>3295</v>
      </c>
      <c r="O490" s="60"/>
      <c r="P490" s="60" t="s">
        <v>3323</v>
      </c>
      <c r="Q490" s="20">
        <v>1</v>
      </c>
    </row>
    <row r="491" spans="1:17" ht="144" x14ac:dyDescent="0.2">
      <c r="A491" s="71">
        <v>490</v>
      </c>
      <c r="B491" s="107" t="str">
        <f>HYPERLINK("https://www.ncbi.nlm.nih.gov/gene/22983", "22983")</f>
        <v>22983</v>
      </c>
      <c r="C491" s="109" t="str">
        <f>HYPERLINK("https://www.uniprot.org/uniprot/Q9Y2H9", "Q9Y2H9")</f>
        <v>Q9Y2H9</v>
      </c>
      <c r="D491" s="43" t="s">
        <v>470</v>
      </c>
      <c r="E491" s="16" t="s">
        <v>470</v>
      </c>
      <c r="F491" s="74" t="s">
        <v>1960</v>
      </c>
      <c r="G491" s="28" t="s">
        <v>1961</v>
      </c>
      <c r="H491" s="28" t="s">
        <v>1962</v>
      </c>
      <c r="I491" s="31" t="s">
        <v>5282</v>
      </c>
      <c r="J491" s="73">
        <v>30033091</v>
      </c>
      <c r="K491" s="23" t="s">
        <v>4556</v>
      </c>
      <c r="L491" s="60" t="s">
        <v>3289</v>
      </c>
      <c r="M491" s="60" t="s">
        <v>3289</v>
      </c>
      <c r="N491" s="60" t="s">
        <v>3295</v>
      </c>
      <c r="O491" s="60"/>
      <c r="P491" s="60" t="s">
        <v>5494</v>
      </c>
      <c r="Q491" s="20">
        <v>5</v>
      </c>
    </row>
    <row r="492" spans="1:17" ht="80" x14ac:dyDescent="0.2">
      <c r="A492" s="71">
        <v>491</v>
      </c>
      <c r="B492" s="107" t="str">
        <f>HYPERLINK("https://www.ncbi.nlm.nih.gov/gene/4154", "4154")</f>
        <v>4154</v>
      </c>
      <c r="C492" s="109" t="str">
        <f>HYPERLINK("https://www.uniprot.org/uniprot/Q9NR56", "Q9NR56")</f>
        <v>Q9NR56</v>
      </c>
      <c r="D492" s="43" t="s">
        <v>471</v>
      </c>
      <c r="E492" s="16" t="s">
        <v>471</v>
      </c>
      <c r="F492" s="74" t="s">
        <v>1963</v>
      </c>
      <c r="G492" s="28" t="s">
        <v>1964</v>
      </c>
      <c r="H492" s="28" t="s">
        <v>1965</v>
      </c>
      <c r="I492" s="31" t="s">
        <v>5283</v>
      </c>
      <c r="J492" s="73">
        <v>31791583</v>
      </c>
      <c r="K492" s="23" t="s">
        <v>4557</v>
      </c>
      <c r="L492" s="60" t="s">
        <v>3292</v>
      </c>
      <c r="M492" s="60" t="s">
        <v>3292</v>
      </c>
      <c r="N492" s="60" t="s">
        <v>3291</v>
      </c>
      <c r="O492" s="60"/>
      <c r="P492" s="60" t="s">
        <v>3323</v>
      </c>
      <c r="Q492" s="20">
        <v>1</v>
      </c>
    </row>
    <row r="493" spans="1:17" ht="160" x14ac:dyDescent="0.2">
      <c r="A493" s="71">
        <v>492</v>
      </c>
      <c r="B493" s="107" t="str">
        <f>HYPERLINK("https://www.ncbi.nlm.nih.gov/gene/4170", "4170")</f>
        <v>4170</v>
      </c>
      <c r="C493" s="109" t="str">
        <f>HYPERLINK("https://www.uniprot.org/uniprot/Q07820", "Q07820")</f>
        <v>Q07820</v>
      </c>
      <c r="D493" s="43" t="s">
        <v>472</v>
      </c>
      <c r="E493" s="16" t="s">
        <v>472</v>
      </c>
      <c r="F493" s="74" t="s">
        <v>1966</v>
      </c>
      <c r="G493" s="28" t="s">
        <v>1967</v>
      </c>
      <c r="H493" s="28" t="s">
        <v>4061</v>
      </c>
      <c r="I493" s="31" t="s">
        <v>2828</v>
      </c>
      <c r="J493" s="73" t="s">
        <v>3070</v>
      </c>
      <c r="K493" s="23" t="s">
        <v>4558</v>
      </c>
      <c r="L493" s="60" t="s">
        <v>3291</v>
      </c>
      <c r="M493" s="60" t="s">
        <v>3289</v>
      </c>
      <c r="N493" s="60" t="s">
        <v>3291</v>
      </c>
      <c r="O493" s="60"/>
      <c r="P493" s="60" t="s">
        <v>5493</v>
      </c>
      <c r="Q493" s="20">
        <v>4</v>
      </c>
    </row>
    <row r="494" spans="1:17" ht="112" x14ac:dyDescent="0.2">
      <c r="A494" s="71">
        <v>493</v>
      </c>
      <c r="B494" s="107" t="str">
        <f>HYPERLINK("https://www.ncbi.nlm.nih.gov/gene/84515", "84515")</f>
        <v>84515</v>
      </c>
      <c r="C494" s="109" t="str">
        <f>HYPERLINK("https://www.uniprot.org/uniprot/Q9UJA3", "Q9UJA3")</f>
        <v>Q9UJA3</v>
      </c>
      <c r="D494" s="43" t="s">
        <v>473</v>
      </c>
      <c r="E494" s="16" t="s">
        <v>473</v>
      </c>
      <c r="F494" s="74"/>
      <c r="G494" s="28" t="s">
        <v>1968</v>
      </c>
      <c r="H494" s="28" t="s">
        <v>1969</v>
      </c>
      <c r="I494" s="31" t="s">
        <v>3332</v>
      </c>
      <c r="J494" s="73" t="s">
        <v>4962</v>
      </c>
      <c r="K494" s="23" t="s">
        <v>4559</v>
      </c>
      <c r="L494" s="60" t="s">
        <v>3289</v>
      </c>
      <c r="M494" s="60" t="s">
        <v>3289</v>
      </c>
      <c r="N494" s="60" t="s">
        <v>3291</v>
      </c>
      <c r="O494" s="60"/>
      <c r="P494" s="60" t="s">
        <v>3323</v>
      </c>
      <c r="Q494" s="20">
        <v>1</v>
      </c>
    </row>
    <row r="495" spans="1:17" ht="112" x14ac:dyDescent="0.2">
      <c r="A495" s="71">
        <v>494</v>
      </c>
      <c r="B495" s="107" t="str">
        <f>HYPERLINK("https://www.ncbi.nlm.nih.gov/gene/254394", "254394")</f>
        <v>254394</v>
      </c>
      <c r="C495" s="109" t="str">
        <f>HYPERLINK("https://www.uniprot.org/uniprot/Q9NXL9", "Q9NXL9")</f>
        <v>Q9NXL9</v>
      </c>
      <c r="D495" s="43" t="s">
        <v>474</v>
      </c>
      <c r="E495" s="16" t="s">
        <v>474</v>
      </c>
      <c r="F495" s="74" t="s">
        <v>1970</v>
      </c>
      <c r="G495" s="28" t="s">
        <v>5063</v>
      </c>
      <c r="H495" s="28" t="s">
        <v>1969</v>
      </c>
      <c r="I495" s="31" t="s">
        <v>3332</v>
      </c>
      <c r="J495" s="73" t="s">
        <v>4962</v>
      </c>
      <c r="K495" s="23" t="s">
        <v>4559</v>
      </c>
      <c r="L495" s="60" t="s">
        <v>3289</v>
      </c>
      <c r="M495" s="60" t="s">
        <v>3289</v>
      </c>
      <c r="N495" s="60" t="s">
        <v>3291</v>
      </c>
      <c r="O495" s="60"/>
      <c r="P495" s="60" t="s">
        <v>5495</v>
      </c>
      <c r="Q495" s="20">
        <v>2</v>
      </c>
    </row>
    <row r="496" spans="1:17" ht="160" x14ac:dyDescent="0.2">
      <c r="A496" s="71">
        <v>495</v>
      </c>
      <c r="B496" s="107" t="str">
        <f>HYPERLINK("https://www.ncbi.nlm.nih.gov/gene/4193", "4193")</f>
        <v>4193</v>
      </c>
      <c r="C496" s="109" t="str">
        <f>HYPERLINK("https://www.uniprot.org/uniprot/Q00987", "Q00987")</f>
        <v>Q00987</v>
      </c>
      <c r="D496" s="43" t="s">
        <v>475</v>
      </c>
      <c r="E496" s="16" t="s">
        <v>475</v>
      </c>
      <c r="F496" s="74"/>
      <c r="G496" s="28" t="s">
        <v>1971</v>
      </c>
      <c r="H496" s="28" t="s">
        <v>1972</v>
      </c>
      <c r="I496" s="31" t="s">
        <v>2825</v>
      </c>
      <c r="J496" s="73" t="s">
        <v>3071</v>
      </c>
      <c r="K496" s="23" t="s">
        <v>4560</v>
      </c>
      <c r="L496" s="60" t="s">
        <v>3289</v>
      </c>
      <c r="M496" s="60" t="s">
        <v>3289</v>
      </c>
      <c r="N496" s="60" t="s">
        <v>3291</v>
      </c>
      <c r="O496" s="60"/>
      <c r="P496" s="60" t="s">
        <v>5493</v>
      </c>
      <c r="Q496" s="20">
        <v>4</v>
      </c>
    </row>
    <row r="497" spans="1:17" ht="112" x14ac:dyDescent="0.2">
      <c r="A497" s="71">
        <v>496</v>
      </c>
      <c r="B497" s="107" t="str">
        <f>HYPERLINK("https://www.ncbi.nlm.nih.gov/gene/4194", "4194")</f>
        <v>4194</v>
      </c>
      <c r="C497" s="109" t="str">
        <f>HYPERLINK("https://www.uniprot.org/uniprot/O15151", "O15151")</f>
        <v>O15151</v>
      </c>
      <c r="D497" s="43" t="s">
        <v>476</v>
      </c>
      <c r="E497" s="35" t="s">
        <v>476</v>
      </c>
      <c r="F497" s="79" t="s">
        <v>1973</v>
      </c>
      <c r="G497" s="30" t="s">
        <v>5006</v>
      </c>
      <c r="H497" s="30" t="s">
        <v>1974</v>
      </c>
      <c r="I497" s="47" t="s">
        <v>2825</v>
      </c>
      <c r="J497" s="73" t="s">
        <v>3072</v>
      </c>
      <c r="K497" s="23" t="s">
        <v>4561</v>
      </c>
      <c r="L497" s="60" t="s">
        <v>3289</v>
      </c>
      <c r="M497" s="60" t="s">
        <v>3289</v>
      </c>
      <c r="N497" s="60" t="s">
        <v>3291</v>
      </c>
      <c r="O497" s="60"/>
      <c r="P497" s="60" t="s">
        <v>3323</v>
      </c>
      <c r="Q497" s="20">
        <v>1</v>
      </c>
    </row>
    <row r="498" spans="1:17" ht="80" x14ac:dyDescent="0.2">
      <c r="A498" s="71">
        <v>497</v>
      </c>
      <c r="B498" s="107" t="str">
        <f>HYPERLINK("https://www.ncbi.nlm.nih.gov/gene/9833", "9833")</f>
        <v>9833</v>
      </c>
      <c r="C498" s="109" t="str">
        <f>HYPERLINK("https://www.uniprot.org/uniprot/Q14680", "Q14680")</f>
        <v>Q14680</v>
      </c>
      <c r="D498" s="43" t="s">
        <v>477</v>
      </c>
      <c r="E498" s="35" t="s">
        <v>477</v>
      </c>
      <c r="F498" s="79"/>
      <c r="G498" s="30" t="s">
        <v>1975</v>
      </c>
      <c r="H498" s="30" t="s">
        <v>1976</v>
      </c>
      <c r="I498" s="47" t="s">
        <v>5127</v>
      </c>
      <c r="J498" s="73" t="s">
        <v>3073</v>
      </c>
      <c r="K498" s="23" t="s">
        <v>4562</v>
      </c>
      <c r="L498" s="60" t="s">
        <v>3289</v>
      </c>
      <c r="M498" s="60" t="s">
        <v>3289</v>
      </c>
      <c r="N498" s="60" t="s">
        <v>3291</v>
      </c>
      <c r="O498" s="60"/>
      <c r="P498" s="60" t="s">
        <v>5493</v>
      </c>
      <c r="Q498" s="20">
        <v>4</v>
      </c>
    </row>
    <row r="499" spans="1:17" ht="80" x14ac:dyDescent="0.2">
      <c r="A499" s="71">
        <v>498</v>
      </c>
      <c r="B499" s="107" t="str">
        <f>HYPERLINK("https://www.ncbi.nlm.nih.gov/gene/4221", "4221")</f>
        <v>4221</v>
      </c>
      <c r="C499" s="109" t="str">
        <f>HYPERLINK("https://www.uniprot.org/uniprot/O00255", "O00255")</f>
        <v>O00255</v>
      </c>
      <c r="D499" s="43" t="s">
        <v>478</v>
      </c>
      <c r="E499" s="16" t="s">
        <v>478</v>
      </c>
      <c r="F499" s="11" t="s">
        <v>1977</v>
      </c>
      <c r="G499" s="28" t="s">
        <v>1978</v>
      </c>
      <c r="H499" s="6" t="s">
        <v>4062</v>
      </c>
      <c r="I499" s="49" t="s">
        <v>2847</v>
      </c>
      <c r="J499" s="73">
        <v>21127195</v>
      </c>
      <c r="K499" s="13" t="s">
        <v>3778</v>
      </c>
      <c r="L499" s="60" t="s">
        <v>3291</v>
      </c>
      <c r="M499" s="60" t="s">
        <v>3292</v>
      </c>
      <c r="N499" s="60" t="s">
        <v>3291</v>
      </c>
      <c r="O499" s="60"/>
      <c r="P499" s="60" t="s">
        <v>3323</v>
      </c>
      <c r="Q499" s="20">
        <v>1</v>
      </c>
    </row>
    <row r="500" spans="1:17" ht="112" x14ac:dyDescent="0.2">
      <c r="A500" s="71">
        <v>499</v>
      </c>
      <c r="B500" s="107" t="str">
        <f>HYPERLINK("https://www.ncbi.nlm.nih.gov/gene/4233", "4233")</f>
        <v>4233</v>
      </c>
      <c r="C500" s="109" t="str">
        <f>HYPERLINK("https://www.uniprot.org/uniprot/P08581", "P08581")</f>
        <v>P08581</v>
      </c>
      <c r="D500" s="43" t="s">
        <v>479</v>
      </c>
      <c r="E500" s="16" t="s">
        <v>479</v>
      </c>
      <c r="F500" s="90"/>
      <c r="G500" s="28" t="s">
        <v>1979</v>
      </c>
      <c r="H500" s="6" t="s">
        <v>4063</v>
      </c>
      <c r="I500" s="49" t="s">
        <v>2853</v>
      </c>
      <c r="J500" s="73" t="s">
        <v>3074</v>
      </c>
      <c r="K500" s="13" t="s">
        <v>3779</v>
      </c>
      <c r="L500" s="60" t="s">
        <v>3291</v>
      </c>
      <c r="M500" s="60" t="s">
        <v>3290</v>
      </c>
      <c r="N500" s="60" t="s">
        <v>3291</v>
      </c>
      <c r="O500" s="60" t="s">
        <v>5509</v>
      </c>
      <c r="P500" s="60" t="s">
        <v>3323</v>
      </c>
      <c r="Q500" s="20">
        <v>1</v>
      </c>
    </row>
    <row r="501" spans="1:17" ht="96" x14ac:dyDescent="0.2">
      <c r="A501" s="71">
        <v>500</v>
      </c>
      <c r="B501" s="107" t="str">
        <f>HYPERLINK("https://www.ncbi.nlm.nih.gov/gene/131965", "131965")</f>
        <v>131965</v>
      </c>
      <c r="C501" s="109" t="str">
        <f>HYPERLINK("https://www.uniprot.org/uniprot/Q8TCB7", "Q8TCB7")</f>
        <v>Q8TCB7</v>
      </c>
      <c r="D501" s="43" t="s">
        <v>480</v>
      </c>
      <c r="E501" s="35" t="s">
        <v>480</v>
      </c>
      <c r="F501" s="79"/>
      <c r="G501" s="30" t="s">
        <v>1980</v>
      </c>
      <c r="H501" s="30" t="s">
        <v>4064</v>
      </c>
      <c r="I501" s="47" t="s">
        <v>5284</v>
      </c>
      <c r="J501" s="73">
        <v>21775533</v>
      </c>
      <c r="K501" s="30" t="s">
        <v>4563</v>
      </c>
      <c r="L501" s="60" t="s">
        <v>3292</v>
      </c>
      <c r="M501" s="60" t="s">
        <v>3292</v>
      </c>
      <c r="N501" s="60" t="s">
        <v>3291</v>
      </c>
      <c r="O501" s="60"/>
      <c r="P501" s="60" t="s">
        <v>5492</v>
      </c>
      <c r="Q501" s="20">
        <v>4</v>
      </c>
    </row>
    <row r="502" spans="1:17" ht="96" x14ac:dyDescent="0.2">
      <c r="A502" s="71">
        <v>501</v>
      </c>
      <c r="B502" s="107" t="str">
        <f>HYPERLINK("https://www.ncbi.nlm.nih.gov/gene/4245", "4245")</f>
        <v>4245</v>
      </c>
      <c r="C502" s="109" t="str">
        <f>HYPERLINK("https://www.uniprot.org/uniprot/P26572", "P26572")</f>
        <v>P26572</v>
      </c>
      <c r="D502" s="43" t="s">
        <v>481</v>
      </c>
      <c r="E502" s="16" t="s">
        <v>481</v>
      </c>
      <c r="F502" s="90" t="s">
        <v>1981</v>
      </c>
      <c r="G502" s="28" t="s">
        <v>1982</v>
      </c>
      <c r="H502" s="6" t="s">
        <v>1983</v>
      </c>
      <c r="I502" s="49" t="s">
        <v>5214</v>
      </c>
      <c r="J502" s="73">
        <v>20005867</v>
      </c>
      <c r="K502" s="23" t="s">
        <v>4564</v>
      </c>
      <c r="L502" s="60" t="s">
        <v>3289</v>
      </c>
      <c r="M502" s="60" t="s">
        <v>3289</v>
      </c>
      <c r="N502" s="60" t="s">
        <v>3291</v>
      </c>
      <c r="O502" s="60"/>
      <c r="P502" s="60" t="s">
        <v>3323</v>
      </c>
      <c r="Q502" s="20">
        <v>1</v>
      </c>
    </row>
    <row r="503" spans="1:17" ht="96" x14ac:dyDescent="0.2">
      <c r="A503" s="71">
        <v>502</v>
      </c>
      <c r="B503" s="107" t="str">
        <f>HYPERLINK("https://www.ncbi.nlm.nih.gov/gene/4249", "4249")</f>
        <v>4249</v>
      </c>
      <c r="C503" s="109" t="str">
        <f>HYPERLINK("https://www.uniprot.org/uniprot/Q09328", "Q09328")</f>
        <v>Q09328</v>
      </c>
      <c r="D503" s="43" t="s">
        <v>482</v>
      </c>
      <c r="E503" s="16" t="s">
        <v>482</v>
      </c>
      <c r="F503" s="90" t="s">
        <v>1984</v>
      </c>
      <c r="G503" s="28" t="s">
        <v>1985</v>
      </c>
      <c r="H503" s="6" t="s">
        <v>1986</v>
      </c>
      <c r="I503" s="49" t="s">
        <v>5214</v>
      </c>
      <c r="J503" s="73">
        <v>20005867</v>
      </c>
      <c r="K503" s="23" t="s">
        <v>4564</v>
      </c>
      <c r="L503" s="60" t="s">
        <v>3289</v>
      </c>
      <c r="M503" s="60" t="s">
        <v>3289</v>
      </c>
      <c r="N503" s="60" t="s">
        <v>3291</v>
      </c>
      <c r="O503" s="60"/>
      <c r="P503" s="60" t="s">
        <v>3323</v>
      </c>
      <c r="Q503" s="20">
        <v>1</v>
      </c>
    </row>
    <row r="504" spans="1:17" ht="128" x14ac:dyDescent="0.2">
      <c r="A504" s="71">
        <v>503</v>
      </c>
      <c r="B504" s="107" t="str">
        <f>HYPERLINK("https://www.ncbi.nlm.nih.gov/gene/4255", "4255")</f>
        <v>4255</v>
      </c>
      <c r="C504" s="109" t="str">
        <f>HYPERLINK("https://www.uniprot.org/uniprot/P16455", "P16455")</f>
        <v>P16455</v>
      </c>
      <c r="D504" s="43" t="s">
        <v>483</v>
      </c>
      <c r="E504" s="16" t="s">
        <v>483</v>
      </c>
      <c r="F504" s="90"/>
      <c r="G504" s="28" t="s">
        <v>3423</v>
      </c>
      <c r="H504" s="6" t="s">
        <v>3424</v>
      </c>
      <c r="I504" s="49" t="s">
        <v>3330</v>
      </c>
      <c r="J504" s="73">
        <v>25693518</v>
      </c>
      <c r="K504" s="13" t="s">
        <v>3780</v>
      </c>
      <c r="L504" s="60" t="s">
        <v>3289</v>
      </c>
      <c r="M504" s="60" t="s">
        <v>3289</v>
      </c>
      <c r="N504" s="60" t="s">
        <v>3291</v>
      </c>
      <c r="O504" s="60"/>
      <c r="P504" s="60" t="s">
        <v>5492</v>
      </c>
      <c r="Q504" s="20">
        <v>4</v>
      </c>
    </row>
    <row r="505" spans="1:17" ht="160" x14ac:dyDescent="0.2">
      <c r="A505" s="71">
        <v>504</v>
      </c>
      <c r="B505" s="107" t="str">
        <f>HYPERLINK("https://www.ncbi.nlm.nih.gov/gene/10367", "10367")</f>
        <v>10367</v>
      </c>
      <c r="C505" s="109" t="str">
        <f>HYPERLINK("https://www.uniprot.org/uniprot/Q9BPX6", "Q9BPX6")</f>
        <v>Q9BPX6</v>
      </c>
      <c r="D505" s="43" t="s">
        <v>484</v>
      </c>
      <c r="E505" s="16" t="s">
        <v>484</v>
      </c>
      <c r="F505" s="11" t="s">
        <v>1987</v>
      </c>
      <c r="G505" s="28" t="s">
        <v>1988</v>
      </c>
      <c r="H505" s="6" t="s">
        <v>4065</v>
      </c>
      <c r="I505" s="49" t="s">
        <v>5285</v>
      </c>
      <c r="J505" s="73">
        <v>28530221</v>
      </c>
      <c r="K505" s="13" t="s">
        <v>3781</v>
      </c>
      <c r="L505" s="60" t="s">
        <v>3289</v>
      </c>
      <c r="M505" s="60" t="s">
        <v>3289</v>
      </c>
      <c r="N505" s="60" t="s">
        <v>3291</v>
      </c>
      <c r="O505" s="60"/>
      <c r="P505" s="60" t="s">
        <v>5502</v>
      </c>
      <c r="Q505" s="20">
        <v>5</v>
      </c>
    </row>
    <row r="506" spans="1:17" ht="64" x14ac:dyDescent="0.2">
      <c r="A506" s="71">
        <v>505</v>
      </c>
      <c r="B506" s="107" t="str">
        <f>HYPERLINK("https://www.ncbi.nlm.nih.gov/gene/84299", "84299")</f>
        <v>84299</v>
      </c>
      <c r="C506" s="109" t="str">
        <f>HYPERLINK("https://www.uniprot.org/uniprot/Q9BRT3", "Q9BRT3")</f>
        <v>Q9BRT3</v>
      </c>
      <c r="D506" s="43" t="s">
        <v>485</v>
      </c>
      <c r="E506" s="38" t="s">
        <v>485</v>
      </c>
      <c r="F506" s="32" t="s">
        <v>1989</v>
      </c>
      <c r="G506" s="28" t="s">
        <v>1990</v>
      </c>
      <c r="H506" s="6" t="s">
        <v>4066</v>
      </c>
      <c r="I506" s="49" t="s">
        <v>5286</v>
      </c>
      <c r="J506" s="73" t="s">
        <v>3075</v>
      </c>
      <c r="K506" s="13" t="s">
        <v>3782</v>
      </c>
      <c r="L506" s="60" t="s">
        <v>3291</v>
      </c>
      <c r="M506" s="60" t="s">
        <v>3289</v>
      </c>
      <c r="N506" s="60" t="s">
        <v>3291</v>
      </c>
      <c r="O506" s="60"/>
      <c r="P506" s="60" t="s">
        <v>3323</v>
      </c>
      <c r="Q506" s="20">
        <v>1</v>
      </c>
    </row>
    <row r="507" spans="1:17" ht="64" x14ac:dyDescent="0.2">
      <c r="A507" s="71">
        <v>506</v>
      </c>
      <c r="B507" s="107" t="str">
        <f>HYPERLINK("https://www.ncbi.nlm.nih.gov/gene/4286", "4286")</f>
        <v>4286</v>
      </c>
      <c r="C507" s="109" t="str">
        <f>HYPERLINK("https://www.uniprot.org/uniprot/O75030", "O75030")</f>
        <v>O75030</v>
      </c>
      <c r="D507" s="43" t="s">
        <v>486</v>
      </c>
      <c r="E507" s="16" t="s">
        <v>486</v>
      </c>
      <c r="F507" s="90" t="s">
        <v>1991</v>
      </c>
      <c r="G507" s="28" t="s">
        <v>1992</v>
      </c>
      <c r="H507" s="6" t="s">
        <v>4067</v>
      </c>
      <c r="I507" s="49" t="s">
        <v>5287</v>
      </c>
      <c r="J507" s="73" t="s">
        <v>3076</v>
      </c>
      <c r="K507" s="13" t="s">
        <v>3783</v>
      </c>
      <c r="L507" s="60" t="s">
        <v>3291</v>
      </c>
      <c r="M507" s="60" t="s">
        <v>3289</v>
      </c>
      <c r="N507" s="60" t="s">
        <v>3291</v>
      </c>
      <c r="O507" s="60"/>
      <c r="P507" s="60" t="s">
        <v>3323</v>
      </c>
      <c r="Q507" s="20">
        <v>1</v>
      </c>
    </row>
    <row r="508" spans="1:17" ht="160" x14ac:dyDescent="0.2">
      <c r="A508" s="71">
        <v>507</v>
      </c>
      <c r="B508" s="107" t="str">
        <f>HYPERLINK("https://www.ncbi.nlm.nih.gov/gene/4292", "4292")</f>
        <v>4292</v>
      </c>
      <c r="C508" s="109" t="str">
        <f>HYPERLINK("https://www.uniprot.org/uniprot/P40692", "P40692")</f>
        <v>P40692</v>
      </c>
      <c r="D508" s="43" t="s">
        <v>487</v>
      </c>
      <c r="E508" s="16" t="s">
        <v>487</v>
      </c>
      <c r="F508" s="11" t="s">
        <v>1993</v>
      </c>
      <c r="G508" s="28" t="s">
        <v>5007</v>
      </c>
      <c r="H508" s="6" t="s">
        <v>4068</v>
      </c>
      <c r="I508" s="49" t="s">
        <v>5288</v>
      </c>
      <c r="J508" s="73" t="s">
        <v>3668</v>
      </c>
      <c r="K508" s="16" t="s">
        <v>3667</v>
      </c>
      <c r="L508" s="60" t="s">
        <v>3292</v>
      </c>
      <c r="M508" s="60" t="s">
        <v>3292</v>
      </c>
      <c r="N508" s="60" t="s">
        <v>3291</v>
      </c>
      <c r="O508" s="60"/>
      <c r="P508" s="60" t="s">
        <v>5493</v>
      </c>
      <c r="Q508" s="20">
        <v>4</v>
      </c>
    </row>
    <row r="509" spans="1:17" ht="48" x14ac:dyDescent="0.2">
      <c r="A509" s="71">
        <v>508</v>
      </c>
      <c r="B509" s="107" t="str">
        <f>HYPERLINK("https://www.ncbi.nlm.nih.gov/gene/4311", "4311")</f>
        <v>4311</v>
      </c>
      <c r="C509" s="109" t="str">
        <f>HYPERLINK("https://www.uniprot.org/uniprot/P08473", "P08473")</f>
        <v>P08473</v>
      </c>
      <c r="D509" s="43" t="s">
        <v>490</v>
      </c>
      <c r="E509" s="35" t="s">
        <v>490</v>
      </c>
      <c r="F509" s="79" t="s">
        <v>1999</v>
      </c>
      <c r="G509" s="30" t="s">
        <v>2000</v>
      </c>
      <c r="H509" s="30" t="s">
        <v>4069</v>
      </c>
      <c r="I509" s="47" t="s">
        <v>2827</v>
      </c>
      <c r="J509" s="73">
        <v>29048400</v>
      </c>
      <c r="K509" s="23" t="s">
        <v>4565</v>
      </c>
      <c r="L509" s="60" t="s">
        <v>3292</v>
      </c>
      <c r="M509" s="60" t="s">
        <v>3292</v>
      </c>
      <c r="N509" s="60" t="s">
        <v>3291</v>
      </c>
      <c r="O509" s="60" t="s">
        <v>5509</v>
      </c>
      <c r="P509" s="60" t="s">
        <v>3323</v>
      </c>
      <c r="Q509" s="20">
        <v>1</v>
      </c>
    </row>
    <row r="510" spans="1:17" ht="64" x14ac:dyDescent="0.2">
      <c r="A510" s="71">
        <v>509</v>
      </c>
      <c r="B510" s="107" t="str">
        <f>HYPERLINK("https://www.ncbi.nlm.nih.gov/gene/4319", "4319")</f>
        <v>4319</v>
      </c>
      <c r="C510" s="109" t="str">
        <f>HYPERLINK("https://www.uniprot.org/uniprot/P09238", "P09238")</f>
        <v>P09238</v>
      </c>
      <c r="D510" s="43" t="s">
        <v>491</v>
      </c>
      <c r="E510" s="35" t="s">
        <v>491</v>
      </c>
      <c r="F510" s="79" t="s">
        <v>2001</v>
      </c>
      <c r="G510" s="30" t="s">
        <v>2002</v>
      </c>
      <c r="H510" s="30" t="s">
        <v>2003</v>
      </c>
      <c r="I510" s="47" t="s">
        <v>5289</v>
      </c>
      <c r="J510" s="73">
        <v>27072580</v>
      </c>
      <c r="K510" s="23" t="s">
        <v>4566</v>
      </c>
      <c r="L510" s="60" t="s">
        <v>3289</v>
      </c>
      <c r="M510" s="60" t="s">
        <v>3289</v>
      </c>
      <c r="N510" s="60" t="s">
        <v>3291</v>
      </c>
      <c r="O510" s="60"/>
      <c r="P510" s="60" t="s">
        <v>5493</v>
      </c>
      <c r="Q510" s="20">
        <v>4</v>
      </c>
    </row>
    <row r="511" spans="1:17" ht="48" x14ac:dyDescent="0.2">
      <c r="A511" s="71">
        <v>510</v>
      </c>
      <c r="B511" s="107" t="str">
        <f>HYPERLINK("https://www.ncbi.nlm.nih.gov/gene/4327", "4327")</f>
        <v>4327</v>
      </c>
      <c r="C511" s="109" t="str">
        <f>HYPERLINK("https://www.uniprot.org/uniprot/Q99542", "Q99542")</f>
        <v>Q99542</v>
      </c>
      <c r="D511" s="43" t="s">
        <v>492</v>
      </c>
      <c r="E511" s="35" t="s">
        <v>492</v>
      </c>
      <c r="F511" s="30" t="s">
        <v>2004</v>
      </c>
      <c r="G511" s="30" t="s">
        <v>2005</v>
      </c>
      <c r="H511" s="30" t="s">
        <v>4070</v>
      </c>
      <c r="I511" s="47" t="s">
        <v>2830</v>
      </c>
      <c r="J511" s="73">
        <v>31406154</v>
      </c>
      <c r="K511" s="23" t="s">
        <v>4567</v>
      </c>
      <c r="L511" s="60" t="s">
        <v>3289</v>
      </c>
      <c r="M511" s="60" t="s">
        <v>3289</v>
      </c>
      <c r="N511" s="60" t="s">
        <v>3291</v>
      </c>
      <c r="O511" s="60"/>
      <c r="P511" s="60" t="s">
        <v>3323</v>
      </c>
      <c r="Q511" s="20">
        <v>1</v>
      </c>
    </row>
    <row r="512" spans="1:17" ht="80" x14ac:dyDescent="0.2">
      <c r="A512" s="71">
        <v>511</v>
      </c>
      <c r="B512" s="107" t="str">
        <f>HYPERLINK("https://www.ncbi.nlm.nih.gov/gene/4313", "4313")</f>
        <v>4313</v>
      </c>
      <c r="C512" s="109" t="str">
        <f>HYPERLINK("https://www.uniprot.org/uniprot/P08253", "P08253")</f>
        <v>P08253</v>
      </c>
      <c r="D512" s="43" t="s">
        <v>493</v>
      </c>
      <c r="E512" s="16" t="s">
        <v>493</v>
      </c>
      <c r="F512" s="28" t="s">
        <v>2006</v>
      </c>
      <c r="G512" s="28" t="s">
        <v>2007</v>
      </c>
      <c r="H512" s="28" t="s">
        <v>4071</v>
      </c>
      <c r="I512" s="31" t="s">
        <v>5290</v>
      </c>
      <c r="J512" s="73" t="s">
        <v>3078</v>
      </c>
      <c r="K512" s="30" t="s">
        <v>4568</v>
      </c>
      <c r="L512" s="60" t="s">
        <v>3289</v>
      </c>
      <c r="M512" s="60" t="s">
        <v>3289</v>
      </c>
      <c r="N512" s="60" t="s">
        <v>3292</v>
      </c>
      <c r="O512" s="60"/>
      <c r="P512" s="60" t="s">
        <v>5493</v>
      </c>
      <c r="Q512" s="20">
        <v>4</v>
      </c>
    </row>
    <row r="513" spans="1:17" ht="64" x14ac:dyDescent="0.2">
      <c r="A513" s="71">
        <v>512</v>
      </c>
      <c r="B513" s="107" t="str">
        <f>HYPERLINK("https://www.ncbi.nlm.nih.gov/gene/9313", "9313")</f>
        <v>9313</v>
      </c>
      <c r="C513" s="109" t="str">
        <f>HYPERLINK("https://www.uniprot.org/uniprot/O60882", "O60882")</f>
        <v>O60882</v>
      </c>
      <c r="D513" s="43" t="s">
        <v>494</v>
      </c>
      <c r="E513" s="16" t="s">
        <v>494</v>
      </c>
      <c r="F513" s="28"/>
      <c r="G513" s="28" t="s">
        <v>2008</v>
      </c>
      <c r="H513" s="28" t="s">
        <v>2009</v>
      </c>
      <c r="I513" s="31" t="s">
        <v>2830</v>
      </c>
      <c r="J513" s="73">
        <v>31406154</v>
      </c>
      <c r="K513" s="23" t="s">
        <v>4569</v>
      </c>
      <c r="L513" s="60" t="s">
        <v>3289</v>
      </c>
      <c r="M513" s="60" t="s">
        <v>3289</v>
      </c>
      <c r="N513" s="60" t="s">
        <v>3291</v>
      </c>
      <c r="O513" s="60"/>
      <c r="P513" s="60" t="s">
        <v>3323</v>
      </c>
      <c r="Q513" s="20">
        <v>1</v>
      </c>
    </row>
    <row r="514" spans="1:17" ht="144" x14ac:dyDescent="0.2">
      <c r="A514" s="71">
        <v>513</v>
      </c>
      <c r="B514" s="107" t="str">
        <f>HYPERLINK("https://www.ncbi.nlm.nih.gov/gene/4316", "4316")</f>
        <v>4316</v>
      </c>
      <c r="C514" s="109" t="str">
        <f>HYPERLINK("https://www.uniprot.org/uniprot/P09237", "P09237")</f>
        <v>P09237</v>
      </c>
      <c r="D514" s="43" t="s">
        <v>495</v>
      </c>
      <c r="E514" s="16" t="s">
        <v>495</v>
      </c>
      <c r="F514" s="28" t="s">
        <v>2010</v>
      </c>
      <c r="G514" s="28" t="s">
        <v>2011</v>
      </c>
      <c r="H514" s="28" t="s">
        <v>4072</v>
      </c>
      <c r="I514" s="31" t="s">
        <v>5291</v>
      </c>
      <c r="J514" s="73">
        <v>33396213</v>
      </c>
      <c r="K514" s="23" t="s">
        <v>4570</v>
      </c>
      <c r="L514" s="60" t="s">
        <v>3289</v>
      </c>
      <c r="M514" s="60" t="s">
        <v>3289</v>
      </c>
      <c r="N514" s="60" t="s">
        <v>3291</v>
      </c>
      <c r="O514" s="60" t="s">
        <v>5509</v>
      </c>
      <c r="P514" s="60" t="s">
        <v>5493</v>
      </c>
      <c r="Q514" s="20">
        <v>4</v>
      </c>
    </row>
    <row r="515" spans="1:17" ht="96" x14ac:dyDescent="0.2">
      <c r="A515" s="71">
        <v>514</v>
      </c>
      <c r="B515" s="107" t="str">
        <f>HYPERLINK("https://www.ncbi.nlm.nih.gov/gene/4318", "4318")</f>
        <v>4318</v>
      </c>
      <c r="C515" s="109" t="str">
        <f>HYPERLINK("https://www.uniprot.org/uniprot/P14780", "P14780")</f>
        <v>P14780</v>
      </c>
      <c r="D515" s="43" t="s">
        <v>496</v>
      </c>
      <c r="E515" s="35" t="s">
        <v>496</v>
      </c>
      <c r="F515" s="30" t="s">
        <v>2012</v>
      </c>
      <c r="G515" s="30" t="s">
        <v>2013</v>
      </c>
      <c r="H515" s="30" t="s">
        <v>2014</v>
      </c>
      <c r="I515" s="47" t="s">
        <v>5292</v>
      </c>
      <c r="J515" s="73" t="s">
        <v>3079</v>
      </c>
      <c r="K515" s="23" t="s">
        <v>4571</v>
      </c>
      <c r="L515" s="60" t="s">
        <v>3289</v>
      </c>
      <c r="M515" s="60" t="s">
        <v>3289</v>
      </c>
      <c r="N515" s="60" t="s">
        <v>3292</v>
      </c>
      <c r="O515" s="60"/>
      <c r="P515" s="60" t="s">
        <v>5493</v>
      </c>
      <c r="Q515" s="20">
        <v>4</v>
      </c>
    </row>
    <row r="516" spans="1:17" ht="112" x14ac:dyDescent="0.2">
      <c r="A516" s="71">
        <v>515</v>
      </c>
      <c r="B516" s="107" t="str">
        <f>HYPERLINK("https://www.ncbi.nlm.nih.gov/gene/4331", "4331")</f>
        <v>4331</v>
      </c>
      <c r="C516" s="109" t="str">
        <f>HYPERLINK("https://www.uniprot.org/uniprot/P51948", "P51948")</f>
        <v>P51948</v>
      </c>
      <c r="D516" s="43" t="s">
        <v>497</v>
      </c>
      <c r="E516" s="77" t="s">
        <v>497</v>
      </c>
      <c r="F516" s="18" t="s">
        <v>2015</v>
      </c>
      <c r="G516" s="28" t="s">
        <v>2016</v>
      </c>
      <c r="H516" s="28" t="s">
        <v>2017</v>
      </c>
      <c r="I516" s="31" t="s">
        <v>5293</v>
      </c>
      <c r="J516" s="73" t="s">
        <v>3547</v>
      </c>
      <c r="K516" s="15" t="s">
        <v>3546</v>
      </c>
      <c r="L516" s="60" t="s">
        <v>3289</v>
      </c>
      <c r="M516" s="60" t="s">
        <v>3289</v>
      </c>
      <c r="N516" s="60" t="s">
        <v>3291</v>
      </c>
      <c r="O516" s="60"/>
      <c r="P516" s="60" t="s">
        <v>3323</v>
      </c>
      <c r="Q516" s="20">
        <v>1</v>
      </c>
    </row>
    <row r="517" spans="1:17" ht="112" x14ac:dyDescent="0.2">
      <c r="A517" s="71">
        <v>516</v>
      </c>
      <c r="B517" s="107" t="str">
        <f>HYPERLINK("https://www.ncbi.nlm.nih.gov/gene/64112", "64112")</f>
        <v>64112</v>
      </c>
      <c r="C517" s="109" t="str">
        <f>HYPERLINK("https://www.uniprot.org/uniprot/Q96BY2", "Q96BY2")</f>
        <v>Q96BY2</v>
      </c>
      <c r="D517" s="43" t="s">
        <v>499</v>
      </c>
      <c r="E517" s="35" t="s">
        <v>499</v>
      </c>
      <c r="F517" s="30" t="s">
        <v>2018</v>
      </c>
      <c r="G517" s="30" t="s">
        <v>2019</v>
      </c>
      <c r="H517" s="30" t="s">
        <v>2020</v>
      </c>
      <c r="I517" s="47" t="s">
        <v>5294</v>
      </c>
      <c r="J517" s="73">
        <v>27721409</v>
      </c>
      <c r="K517" s="23" t="s">
        <v>4572</v>
      </c>
      <c r="L517" s="60" t="s">
        <v>3292</v>
      </c>
      <c r="M517" s="60" t="s">
        <v>3292</v>
      </c>
      <c r="N517" s="60" t="s">
        <v>3291</v>
      </c>
      <c r="O517" s="60"/>
      <c r="P517" s="60" t="s">
        <v>3323</v>
      </c>
      <c r="Q517" s="20">
        <v>1</v>
      </c>
    </row>
    <row r="518" spans="1:17" ht="128" x14ac:dyDescent="0.2">
      <c r="A518" s="71">
        <v>517</v>
      </c>
      <c r="B518" s="107" t="str">
        <f>HYPERLINK("https://www.ncbi.nlm.nih.gov/gene/4361", "4361")</f>
        <v>4361</v>
      </c>
      <c r="C518" s="109" t="str">
        <f>HYPERLINK("https://www.uniprot.org/uniprot/P49959", "P49959")</f>
        <v>P49959</v>
      </c>
      <c r="D518" s="43" t="s">
        <v>500</v>
      </c>
      <c r="E518" s="16" t="s">
        <v>926</v>
      </c>
      <c r="F518" s="5"/>
      <c r="G518" s="28" t="s">
        <v>5062</v>
      </c>
      <c r="H518" s="6" t="s">
        <v>4073</v>
      </c>
      <c r="I518" s="49" t="s">
        <v>3332</v>
      </c>
      <c r="J518" s="73" t="s">
        <v>3080</v>
      </c>
      <c r="K518" s="13" t="s">
        <v>3784</v>
      </c>
      <c r="L518" s="60" t="s">
        <v>3289</v>
      </c>
      <c r="M518" s="60" t="s">
        <v>3289</v>
      </c>
      <c r="N518" s="60" t="s">
        <v>3291</v>
      </c>
      <c r="O518" s="60"/>
      <c r="P518" s="60" t="s">
        <v>5493</v>
      </c>
      <c r="Q518" s="20">
        <v>4</v>
      </c>
    </row>
    <row r="519" spans="1:17" ht="80" x14ac:dyDescent="0.2">
      <c r="A519" s="71">
        <v>518</v>
      </c>
      <c r="B519" s="107" t="str">
        <f>HYPERLINK("https://www.ncbi.nlm.nih.gov/gene/4436", "4436")</f>
        <v>4436</v>
      </c>
      <c r="C519" s="109" t="str">
        <f>HYPERLINK("https://www.uniprot.org/uniprot/P43246", "P43246")</f>
        <v>P43246</v>
      </c>
      <c r="D519" s="43" t="s">
        <v>501</v>
      </c>
      <c r="E519" s="16" t="s">
        <v>501</v>
      </c>
      <c r="F519" s="28"/>
      <c r="G519" s="28" t="s">
        <v>3362</v>
      </c>
      <c r="H519" s="28" t="s">
        <v>4074</v>
      </c>
      <c r="I519" s="31" t="s">
        <v>5295</v>
      </c>
      <c r="J519" s="73" t="s">
        <v>3081</v>
      </c>
      <c r="K519" s="23" t="s">
        <v>4573</v>
      </c>
      <c r="L519" s="60" t="s">
        <v>3292</v>
      </c>
      <c r="M519" s="60" t="s">
        <v>3292</v>
      </c>
      <c r="N519" s="60" t="s">
        <v>3292</v>
      </c>
      <c r="O519" s="60"/>
      <c r="P519" s="60" t="s">
        <v>5493</v>
      </c>
      <c r="Q519" s="20">
        <v>4</v>
      </c>
    </row>
    <row r="520" spans="1:17" ht="112" x14ac:dyDescent="0.2">
      <c r="A520" s="71">
        <v>519</v>
      </c>
      <c r="B520" s="107" t="str">
        <f>HYPERLINK("https://www.ncbi.nlm.nih.gov/gene/4437", "4437")</f>
        <v>4437</v>
      </c>
      <c r="C520" s="109" t="str">
        <f>HYPERLINK("https://www.uniprot.org/uniprot/P20585", "P20585")</f>
        <v>P20585</v>
      </c>
      <c r="D520" s="43" t="s">
        <v>502</v>
      </c>
      <c r="E520" s="16" t="s">
        <v>502</v>
      </c>
      <c r="F520" s="28" t="s">
        <v>3361</v>
      </c>
      <c r="G520" s="28" t="s">
        <v>3363</v>
      </c>
      <c r="H520" s="28" t="s">
        <v>4075</v>
      </c>
      <c r="I520" s="31" t="s">
        <v>5296</v>
      </c>
      <c r="J520" s="73" t="s">
        <v>3082</v>
      </c>
      <c r="K520" s="23" t="s">
        <v>4574</v>
      </c>
      <c r="L520" s="60" t="s">
        <v>3291</v>
      </c>
      <c r="M520" s="60" t="s">
        <v>3289</v>
      </c>
      <c r="N520" s="60" t="s">
        <v>3291</v>
      </c>
      <c r="O520" s="60"/>
      <c r="P520" s="60" t="s">
        <v>3323</v>
      </c>
      <c r="Q520" s="20">
        <v>1</v>
      </c>
    </row>
    <row r="521" spans="1:17" ht="64" x14ac:dyDescent="0.2">
      <c r="A521" s="71">
        <v>520</v>
      </c>
      <c r="B521" s="107" t="str">
        <f>HYPERLINK("https://www.ncbi.nlm.nih.gov/gene/4439", "4439")</f>
        <v>4439</v>
      </c>
      <c r="C521" s="109" t="str">
        <f>HYPERLINK("https://www.uniprot.org/uniprot/O43196", "O43196")</f>
        <v>O43196</v>
      </c>
      <c r="D521" s="43" t="s">
        <v>503</v>
      </c>
      <c r="E521" s="16" t="s">
        <v>503</v>
      </c>
      <c r="F521" s="28" t="s">
        <v>2021</v>
      </c>
      <c r="G521" s="28" t="s">
        <v>5008</v>
      </c>
      <c r="H521" s="28" t="s">
        <v>2022</v>
      </c>
      <c r="I521" s="31" t="s">
        <v>5296</v>
      </c>
      <c r="J521" s="73">
        <v>22401567</v>
      </c>
      <c r="K521" s="23" t="s">
        <v>4575</v>
      </c>
      <c r="L521" s="60" t="s">
        <v>3291</v>
      </c>
      <c r="M521" s="60" t="s">
        <v>3289</v>
      </c>
      <c r="N521" s="60" t="s">
        <v>3295</v>
      </c>
      <c r="O521" s="60"/>
      <c r="P521" s="60" t="s">
        <v>3323</v>
      </c>
      <c r="Q521" s="20">
        <v>1</v>
      </c>
    </row>
    <row r="522" spans="1:17" ht="112" x14ac:dyDescent="0.2">
      <c r="A522" s="71">
        <v>521</v>
      </c>
      <c r="B522" s="107" t="str">
        <f>HYPERLINK("https://www.ncbi.nlm.nih.gov/gene/2956", "2956")</f>
        <v>2956</v>
      </c>
      <c r="C522" s="109" t="str">
        <f>HYPERLINK("https://www.uniprot.org/uniprot/P52701", "P52701")</f>
        <v>P52701</v>
      </c>
      <c r="D522" s="43" t="s">
        <v>504</v>
      </c>
      <c r="E522" s="16" t="s">
        <v>504</v>
      </c>
      <c r="F522" s="5" t="s">
        <v>3367</v>
      </c>
      <c r="G522" s="28" t="s">
        <v>3366</v>
      </c>
      <c r="H522" s="6" t="s">
        <v>4076</v>
      </c>
      <c r="I522" s="49" t="s">
        <v>5295</v>
      </c>
      <c r="J522" s="73" t="s">
        <v>3083</v>
      </c>
      <c r="K522" s="16" t="s">
        <v>3785</v>
      </c>
      <c r="L522" s="60" t="s">
        <v>3292</v>
      </c>
      <c r="M522" s="60" t="s">
        <v>3292</v>
      </c>
      <c r="N522" s="60" t="s">
        <v>3292</v>
      </c>
      <c r="O522" s="60"/>
      <c r="P522" s="60" t="s">
        <v>5493</v>
      </c>
      <c r="Q522" s="20">
        <v>4</v>
      </c>
    </row>
    <row r="523" spans="1:17" ht="96" x14ac:dyDescent="0.2">
      <c r="A523" s="71">
        <v>522</v>
      </c>
      <c r="B523" s="107" t="str">
        <f>HYPERLINK("https://www.ncbi.nlm.nih.gov/gene/10232", "10232")</f>
        <v>10232</v>
      </c>
      <c r="C523" s="113" t="str">
        <f>HYPERLINK("https://www.uniprot.org/uniprot/Q13421", "Q13421")</f>
        <v>Q13421</v>
      </c>
      <c r="D523" s="43" t="s">
        <v>505</v>
      </c>
      <c r="E523" s="16" t="s">
        <v>505</v>
      </c>
      <c r="F523" s="5"/>
      <c r="G523" s="28" t="s">
        <v>2023</v>
      </c>
      <c r="H523" s="6" t="s">
        <v>4077</v>
      </c>
      <c r="I523" s="49" t="s">
        <v>5297</v>
      </c>
      <c r="J523" s="73">
        <v>24465798</v>
      </c>
      <c r="K523" s="16" t="s">
        <v>3786</v>
      </c>
      <c r="L523" s="60" t="s">
        <v>3291</v>
      </c>
      <c r="M523" s="60" t="s">
        <v>3289</v>
      </c>
      <c r="N523" s="60" t="s">
        <v>3291</v>
      </c>
      <c r="O523" s="60"/>
      <c r="P523" s="60" t="s">
        <v>3323</v>
      </c>
      <c r="Q523" s="20">
        <v>1</v>
      </c>
    </row>
    <row r="524" spans="1:17" ht="96" x14ac:dyDescent="0.2">
      <c r="A524" s="71">
        <v>523</v>
      </c>
      <c r="B524" s="107" t="str">
        <f>HYPERLINK("https://www.ncbi.nlm.nih.gov/gene/4487", "4487")</f>
        <v>4487</v>
      </c>
      <c r="C524" s="109" t="str">
        <f>HYPERLINK("https://www.uniprot.org/uniprot/P28360", "P28360")</f>
        <v>P28360</v>
      </c>
      <c r="D524" s="43" t="s">
        <v>506</v>
      </c>
      <c r="E524" s="35" t="s">
        <v>506</v>
      </c>
      <c r="F524" s="30" t="s">
        <v>2024</v>
      </c>
      <c r="G524" s="30" t="s">
        <v>2025</v>
      </c>
      <c r="H524" s="30" t="s">
        <v>4078</v>
      </c>
      <c r="I524" s="47" t="s">
        <v>5298</v>
      </c>
      <c r="J524" s="73">
        <v>26763252</v>
      </c>
      <c r="K524" s="23" t="s">
        <v>4576</v>
      </c>
      <c r="L524" s="60" t="s">
        <v>3292</v>
      </c>
      <c r="M524" s="60" t="s">
        <v>3292</v>
      </c>
      <c r="N524" s="60" t="s">
        <v>3291</v>
      </c>
      <c r="O524" s="60"/>
      <c r="P524" s="60" t="s">
        <v>5493</v>
      </c>
      <c r="Q524" s="20">
        <v>4</v>
      </c>
    </row>
    <row r="525" spans="1:17" ht="96" x14ac:dyDescent="0.2">
      <c r="A525" s="71">
        <v>524</v>
      </c>
      <c r="B525" s="107" t="str">
        <f>HYPERLINK("https://www.ncbi.nlm.nih.gov/gene/4489", "4489")</f>
        <v>4489</v>
      </c>
      <c r="C525" s="109" t="str">
        <f>HYPERLINK("https://www.uniprot.org/uniprot/P04731", "P04731")</f>
        <v>P04731</v>
      </c>
      <c r="D525" s="43" t="s">
        <v>507</v>
      </c>
      <c r="E525" s="38" t="s">
        <v>507</v>
      </c>
      <c r="F525" s="6" t="s">
        <v>2026</v>
      </c>
      <c r="G525" s="28" t="s">
        <v>2027</v>
      </c>
      <c r="H525" s="6" t="s">
        <v>2028</v>
      </c>
      <c r="I525" s="49" t="s">
        <v>3342</v>
      </c>
      <c r="J525" s="73" t="s">
        <v>3630</v>
      </c>
      <c r="K525" s="23" t="s">
        <v>4577</v>
      </c>
      <c r="L525" s="60" t="s">
        <v>3289</v>
      </c>
      <c r="M525" s="60" t="s">
        <v>3289</v>
      </c>
      <c r="N525" s="60" t="s">
        <v>3289</v>
      </c>
      <c r="O525" s="60"/>
      <c r="P525" s="60" t="s">
        <v>5492</v>
      </c>
      <c r="Q525" s="20">
        <v>4</v>
      </c>
    </row>
    <row r="526" spans="1:17" ht="112" x14ac:dyDescent="0.2">
      <c r="A526" s="71">
        <v>525</v>
      </c>
      <c r="B526" s="107" t="str">
        <f>HYPERLINK("https://www.ncbi.nlm.nih.gov/gene/4502", "4502")</f>
        <v>4502</v>
      </c>
      <c r="C526" s="109" t="str">
        <f>HYPERLINK("https://www.uniprot.org/uniprot/P02795", "P02795")</f>
        <v>P02795</v>
      </c>
      <c r="D526" s="43" t="s">
        <v>508</v>
      </c>
      <c r="E526" s="38" t="s">
        <v>508</v>
      </c>
      <c r="F526" s="6"/>
      <c r="G526" s="28" t="s">
        <v>5009</v>
      </c>
      <c r="H526" s="6" t="s">
        <v>2029</v>
      </c>
      <c r="I526" s="49" t="s">
        <v>3342</v>
      </c>
      <c r="J526" s="73" t="s">
        <v>3629</v>
      </c>
      <c r="K526" s="23" t="s">
        <v>4578</v>
      </c>
      <c r="L526" s="60" t="s">
        <v>3289</v>
      </c>
      <c r="M526" s="60" t="s">
        <v>3289</v>
      </c>
      <c r="N526" s="60" t="s">
        <v>3289</v>
      </c>
      <c r="O526" s="60"/>
      <c r="P526" s="60" t="s">
        <v>5492</v>
      </c>
      <c r="Q526" s="20">
        <v>4</v>
      </c>
    </row>
    <row r="527" spans="1:17" ht="128" x14ac:dyDescent="0.2">
      <c r="A527" s="71">
        <v>526</v>
      </c>
      <c r="B527" s="107" t="str">
        <f>HYPERLINK("https://www.ncbi.nlm.nih.gov/gene/4504", "4504")</f>
        <v>4504</v>
      </c>
      <c r="C527" s="109" t="str">
        <f>HYPERLINK("https://www.uniprot.org/uniprot/P25713", "P25713")</f>
        <v>P25713</v>
      </c>
      <c r="D527" s="43" t="s">
        <v>509</v>
      </c>
      <c r="E527" s="38" t="s">
        <v>509</v>
      </c>
      <c r="F527" s="6"/>
      <c r="G527" s="28" t="s">
        <v>2030</v>
      </c>
      <c r="H527" s="6" t="s">
        <v>2031</v>
      </c>
      <c r="I527" s="49" t="s">
        <v>3342</v>
      </c>
      <c r="J527" s="73" t="s">
        <v>3631</v>
      </c>
      <c r="K527" s="23" t="s">
        <v>4579</v>
      </c>
      <c r="L527" s="60" t="s">
        <v>3289</v>
      </c>
      <c r="M527" s="60" t="s">
        <v>3289</v>
      </c>
      <c r="N527" s="60" t="s">
        <v>3289</v>
      </c>
      <c r="O527" s="60"/>
      <c r="P527" s="60" t="s">
        <v>3323</v>
      </c>
      <c r="Q527" s="20">
        <v>1</v>
      </c>
    </row>
    <row r="528" spans="1:17" ht="96" x14ac:dyDescent="0.2">
      <c r="A528" s="71">
        <v>527</v>
      </c>
      <c r="B528" s="107" t="str">
        <f>HYPERLINK("https://www.ncbi.nlm.nih.gov/gene/4514", "4514")</f>
        <v>4514</v>
      </c>
      <c r="C528" s="109" t="str">
        <f>HYPERLINK("https://www.uniprot.org/uniprot/P00414", "P00414")</f>
        <v>P00414</v>
      </c>
      <c r="D528" s="43" t="s">
        <v>510</v>
      </c>
      <c r="E528" s="38" t="s">
        <v>510</v>
      </c>
      <c r="F528" s="6" t="s">
        <v>2032</v>
      </c>
      <c r="G528" s="28" t="s">
        <v>2033</v>
      </c>
      <c r="H528" s="6" t="s">
        <v>2034</v>
      </c>
      <c r="I528" s="49" t="s">
        <v>3340</v>
      </c>
      <c r="J528" s="73">
        <v>31534516</v>
      </c>
      <c r="K528" s="23" t="s">
        <v>4580</v>
      </c>
      <c r="L528" s="60" t="s">
        <v>3292</v>
      </c>
      <c r="M528" s="60" t="s">
        <v>3292</v>
      </c>
      <c r="N528" s="60" t="s">
        <v>3291</v>
      </c>
      <c r="O528" s="60"/>
      <c r="P528" s="60" t="s">
        <v>5494</v>
      </c>
      <c r="Q528" s="20">
        <v>5</v>
      </c>
    </row>
    <row r="529" spans="1:17" ht="144" x14ac:dyDescent="0.2">
      <c r="A529" s="71">
        <v>528</v>
      </c>
      <c r="B529" s="107" t="str">
        <f>HYPERLINK("https://www.ncbi.nlm.nih.gov/gene/92140", "92140")</f>
        <v>92140</v>
      </c>
      <c r="C529" s="109" t="str">
        <f>HYPERLINK("https://www.uniprot.org/uniprot/Q86UE4", "Q86UE4")</f>
        <v>Q86UE4</v>
      </c>
      <c r="D529" s="43" t="s">
        <v>511</v>
      </c>
      <c r="E529" s="35" t="s">
        <v>511</v>
      </c>
      <c r="F529" s="30" t="s">
        <v>2035</v>
      </c>
      <c r="G529" s="30" t="s">
        <v>2036</v>
      </c>
      <c r="H529" s="30" t="s">
        <v>4079</v>
      </c>
      <c r="I529" s="47" t="s">
        <v>5299</v>
      </c>
      <c r="J529" s="73" t="s">
        <v>3084</v>
      </c>
      <c r="K529" s="23" t="s">
        <v>4581</v>
      </c>
      <c r="L529" s="60" t="s">
        <v>3289</v>
      </c>
      <c r="M529" s="60" t="s">
        <v>3289</v>
      </c>
      <c r="N529" s="60" t="s">
        <v>3291</v>
      </c>
      <c r="O529" s="60"/>
      <c r="P529" s="60" t="s">
        <v>5493</v>
      </c>
      <c r="Q529" s="20">
        <v>4</v>
      </c>
    </row>
    <row r="530" spans="1:17" ht="208" x14ac:dyDescent="0.2">
      <c r="A530" s="71">
        <v>529</v>
      </c>
      <c r="B530" s="107" t="str">
        <f>HYPERLINK("https://www.ncbi.nlm.nih.gov/gene/2475", "2475")</f>
        <v>2475</v>
      </c>
      <c r="C530" s="109" t="str">
        <f>HYPERLINK("https://www.uniprot.org/uniprot/P42345", "P42345")</f>
        <v>P42345</v>
      </c>
      <c r="D530" s="43" t="s">
        <v>512</v>
      </c>
      <c r="E530" s="38" t="s">
        <v>512</v>
      </c>
      <c r="F530" s="6" t="s">
        <v>2037</v>
      </c>
      <c r="G530" s="28" t="s">
        <v>5010</v>
      </c>
      <c r="H530" s="6" t="s">
        <v>2038</v>
      </c>
      <c r="I530" s="49" t="s">
        <v>5300</v>
      </c>
      <c r="J530" s="73" t="s">
        <v>3671</v>
      </c>
      <c r="K530" s="23" t="s">
        <v>4582</v>
      </c>
      <c r="L530" s="60" t="s">
        <v>3289</v>
      </c>
      <c r="M530" s="60" t="s">
        <v>3289</v>
      </c>
      <c r="N530" s="60" t="s">
        <v>3295</v>
      </c>
      <c r="O530" s="60"/>
      <c r="P530" s="60" t="s">
        <v>5495</v>
      </c>
      <c r="Q530" s="20">
        <v>2</v>
      </c>
    </row>
    <row r="531" spans="1:17" ht="96" x14ac:dyDescent="0.2">
      <c r="A531" s="71">
        <v>530</v>
      </c>
      <c r="B531" s="107" t="str">
        <f>HYPERLINK("https://www.ncbi.nlm.nih.gov/gene/4552", "4552")</f>
        <v>4552</v>
      </c>
      <c r="C531" s="109" t="str">
        <f>HYPERLINK("https://www.uniprot.org/uniprot/Q9UBK8", "Q9UBK8")</f>
        <v>Q9UBK8</v>
      </c>
      <c r="D531" s="43" t="s">
        <v>513</v>
      </c>
      <c r="E531" s="35" t="s">
        <v>513</v>
      </c>
      <c r="F531" s="30"/>
      <c r="G531" s="30" t="s">
        <v>2039</v>
      </c>
      <c r="H531" s="30" t="s">
        <v>4080</v>
      </c>
      <c r="I531" s="47" t="s">
        <v>5301</v>
      </c>
      <c r="J531" s="73">
        <v>26550452</v>
      </c>
      <c r="K531" s="30" t="s">
        <v>4583</v>
      </c>
      <c r="L531" s="60" t="s">
        <v>3289</v>
      </c>
      <c r="M531" s="60" t="s">
        <v>3289</v>
      </c>
      <c r="N531" s="60" t="s">
        <v>3291</v>
      </c>
      <c r="O531" s="60"/>
      <c r="P531" s="60" t="s">
        <v>5494</v>
      </c>
      <c r="Q531" s="20">
        <v>5</v>
      </c>
    </row>
    <row r="532" spans="1:17" ht="96" x14ac:dyDescent="0.2">
      <c r="A532" s="71">
        <v>531</v>
      </c>
      <c r="B532" s="107" t="str">
        <f>HYPERLINK("https://www.ncbi.nlm.nih.gov/gene/4582", "4582")</f>
        <v>4582</v>
      </c>
      <c r="C532" s="109" t="str">
        <f>HYPERLINK("https://www.uniprot.org/uniprot/P15941", "P15941")</f>
        <v>P15941</v>
      </c>
      <c r="D532" s="43" t="s">
        <v>514</v>
      </c>
      <c r="E532" s="35" t="s">
        <v>514</v>
      </c>
      <c r="F532" s="30"/>
      <c r="G532" s="30" t="s">
        <v>2040</v>
      </c>
      <c r="H532" s="30" t="s">
        <v>2041</v>
      </c>
      <c r="I532" s="47" t="s">
        <v>5302</v>
      </c>
      <c r="J532" s="73" t="s">
        <v>3085</v>
      </c>
      <c r="K532" s="30" t="s">
        <v>4584</v>
      </c>
      <c r="L532" s="60" t="s">
        <v>3289</v>
      </c>
      <c r="M532" s="60" t="s">
        <v>3289</v>
      </c>
      <c r="N532" s="60" t="s">
        <v>3291</v>
      </c>
      <c r="O532" s="60"/>
      <c r="P532" s="60" t="s">
        <v>5495</v>
      </c>
      <c r="Q532" s="20">
        <v>2</v>
      </c>
    </row>
    <row r="533" spans="1:17" ht="96" x14ac:dyDescent="0.2">
      <c r="A533" s="71">
        <v>532</v>
      </c>
      <c r="B533" s="107" t="str">
        <f>HYPERLINK("https://www.ncbi.nlm.nih.gov/gene/94025", "94025")</f>
        <v>94025</v>
      </c>
      <c r="C533" s="109" t="str">
        <f>HYPERLINK("https://www.uniprot.org/uniprot/Q8WXI7", "Q8WXI7")</f>
        <v>Q8WXI7</v>
      </c>
      <c r="D533" s="43" t="s">
        <v>515</v>
      </c>
      <c r="E533" s="35" t="s">
        <v>515</v>
      </c>
      <c r="F533" s="30" t="s">
        <v>2042</v>
      </c>
      <c r="G533" s="30" t="s">
        <v>2043</v>
      </c>
      <c r="H533" s="30" t="s">
        <v>4081</v>
      </c>
      <c r="I533" s="47" t="s">
        <v>5303</v>
      </c>
      <c r="J533" s="73" t="s">
        <v>3086</v>
      </c>
      <c r="K533" s="23" t="s">
        <v>4585</v>
      </c>
      <c r="L533" s="60" t="s">
        <v>3289</v>
      </c>
      <c r="M533" s="60" t="s">
        <v>3289</v>
      </c>
      <c r="N533" s="60" t="s">
        <v>3291</v>
      </c>
      <c r="O533" s="60"/>
      <c r="P533" s="60" t="s">
        <v>3323</v>
      </c>
      <c r="Q533" s="20">
        <v>1</v>
      </c>
    </row>
    <row r="534" spans="1:17" ht="96" x14ac:dyDescent="0.2">
      <c r="A534" s="71">
        <v>533</v>
      </c>
      <c r="B534" s="107" t="str">
        <f>HYPERLINK("https://www.ncbi.nlm.nih.gov/gene/727897", "727897")</f>
        <v>727897</v>
      </c>
      <c r="C534" s="109" t="str">
        <f>HYPERLINK("https://www.uniprot.org/uniprot/Q9HC84", "Q9HC84")</f>
        <v>Q9HC84</v>
      </c>
      <c r="D534" s="43" t="s">
        <v>516</v>
      </c>
      <c r="E534" s="34" t="s">
        <v>516</v>
      </c>
      <c r="F534" s="30" t="s">
        <v>2044</v>
      </c>
      <c r="G534" s="30" t="s">
        <v>5011</v>
      </c>
      <c r="H534" s="30" t="s">
        <v>4082</v>
      </c>
      <c r="I534" s="47" t="s">
        <v>5153</v>
      </c>
      <c r="J534" s="73" t="s">
        <v>3087</v>
      </c>
      <c r="K534" s="23" t="s">
        <v>4586</v>
      </c>
      <c r="L534" s="60" t="s">
        <v>3289</v>
      </c>
      <c r="M534" s="60" t="s">
        <v>3289</v>
      </c>
      <c r="N534" s="60" t="s">
        <v>3291</v>
      </c>
      <c r="O534" s="60"/>
      <c r="P534" s="60" t="s">
        <v>5493</v>
      </c>
      <c r="Q534" s="20">
        <v>4</v>
      </c>
    </row>
    <row r="535" spans="1:17" ht="80" x14ac:dyDescent="0.2">
      <c r="A535" s="71">
        <v>534</v>
      </c>
      <c r="B535" s="107" t="str">
        <f>HYPERLINK("https://www.ncbi.nlm.nih.gov/gene/80198", "80198")</f>
        <v>80198</v>
      </c>
      <c r="C535" s="109" t="str">
        <f>HYPERLINK("https://www.uniprot.org/uniprot/Q96NY9", "Q96NY9")</f>
        <v>Q96NY9</v>
      </c>
      <c r="D535" s="43" t="s">
        <v>517</v>
      </c>
      <c r="E535" s="16" t="s">
        <v>517</v>
      </c>
      <c r="F535" s="28"/>
      <c r="G535" s="28" t="s">
        <v>2045</v>
      </c>
      <c r="H535" s="28" t="s">
        <v>2046</v>
      </c>
      <c r="I535" s="31" t="s">
        <v>3332</v>
      </c>
      <c r="J535" s="73" t="s">
        <v>3088</v>
      </c>
      <c r="K535" s="23" t="s">
        <v>4587</v>
      </c>
      <c r="L535" s="60" t="s">
        <v>3291</v>
      </c>
      <c r="M535" s="60" t="s">
        <v>3289</v>
      </c>
      <c r="N535" s="60" t="s">
        <v>3291</v>
      </c>
      <c r="O535" s="60"/>
      <c r="P535" s="60" t="s">
        <v>5495</v>
      </c>
      <c r="Q535" s="20">
        <v>2</v>
      </c>
    </row>
    <row r="536" spans="1:17" ht="128" x14ac:dyDescent="0.2">
      <c r="A536" s="71">
        <v>535</v>
      </c>
      <c r="B536" s="107" t="str">
        <f>HYPERLINK("https://www.ncbi.nlm.nih.gov/gene/4595", "4595")</f>
        <v>4595</v>
      </c>
      <c r="C536" s="109" t="str">
        <f>HYPERLINK("https://www.uniprot.org/uniprot/Q9UIF7", "Q9UIF7")</f>
        <v>Q9UIF7</v>
      </c>
      <c r="D536" s="43" t="s">
        <v>518</v>
      </c>
      <c r="E536" s="16" t="s">
        <v>518</v>
      </c>
      <c r="F536" s="5" t="s">
        <v>2047</v>
      </c>
      <c r="G536" s="28" t="s">
        <v>2048</v>
      </c>
      <c r="H536" s="6" t="s">
        <v>4083</v>
      </c>
      <c r="I536" s="49" t="s">
        <v>5304</v>
      </c>
      <c r="J536" s="73" t="s">
        <v>3089</v>
      </c>
      <c r="K536" s="13" t="s">
        <v>3851</v>
      </c>
      <c r="L536" s="60" t="s">
        <v>3292</v>
      </c>
      <c r="M536" s="60" t="s">
        <v>3290</v>
      </c>
      <c r="N536" s="60" t="s">
        <v>3289</v>
      </c>
      <c r="O536" s="60"/>
      <c r="P536" s="60" t="s">
        <v>3323</v>
      </c>
      <c r="Q536" s="20">
        <v>1</v>
      </c>
    </row>
    <row r="537" spans="1:17" ht="160" x14ac:dyDescent="0.2">
      <c r="A537" s="71">
        <v>536</v>
      </c>
      <c r="B537" s="107" t="str">
        <f>HYPERLINK("https://www.ncbi.nlm.nih.gov/gene/9961", "9961")</f>
        <v>9961</v>
      </c>
      <c r="C537" s="109" t="str">
        <f>HYPERLINK("https://www.uniprot.org/uniprot/Q14764", "Q14764")</f>
        <v>Q14764</v>
      </c>
      <c r="D537" s="43" t="s">
        <v>519</v>
      </c>
      <c r="E537" s="16" t="s">
        <v>519</v>
      </c>
      <c r="F537" s="5" t="s">
        <v>2049</v>
      </c>
      <c r="G537" s="28" t="s">
        <v>5012</v>
      </c>
      <c r="H537" s="6" t="s">
        <v>3328</v>
      </c>
      <c r="I537" s="49" t="s">
        <v>5305</v>
      </c>
      <c r="J537" s="73" t="s">
        <v>3901</v>
      </c>
      <c r="K537" s="13" t="s">
        <v>3900</v>
      </c>
      <c r="L537" s="60" t="s">
        <v>3289</v>
      </c>
      <c r="M537" s="60" t="s">
        <v>3289</v>
      </c>
      <c r="N537" s="60" t="s">
        <v>3291</v>
      </c>
      <c r="O537" s="60"/>
      <c r="P537" s="60" t="s">
        <v>5493</v>
      </c>
      <c r="Q537" s="20">
        <v>4</v>
      </c>
    </row>
    <row r="538" spans="1:17" ht="176" x14ac:dyDescent="0.2">
      <c r="A538" s="71">
        <v>537</v>
      </c>
      <c r="B538" s="107" t="str">
        <f>HYPERLINK("https://www.ncbi.nlm.nih.gov/gene/4609", "4609")</f>
        <v>4609</v>
      </c>
      <c r="C538" s="109" t="str">
        <f>HYPERLINK("https://www.uniprot.org/uniprot/P01106", "P01106")</f>
        <v>P01106</v>
      </c>
      <c r="D538" s="43" t="s">
        <v>520</v>
      </c>
      <c r="E538" s="16" t="s">
        <v>520</v>
      </c>
      <c r="F538" s="28" t="s">
        <v>2050</v>
      </c>
      <c r="G538" s="28" t="s">
        <v>2051</v>
      </c>
      <c r="H538" s="28" t="s">
        <v>4084</v>
      </c>
      <c r="I538" s="31" t="s">
        <v>5306</v>
      </c>
      <c r="J538" s="73" t="s">
        <v>3582</v>
      </c>
      <c r="K538" s="23" t="s">
        <v>4588</v>
      </c>
      <c r="L538" s="60" t="s">
        <v>3290</v>
      </c>
      <c r="M538" s="60" t="s">
        <v>3290</v>
      </c>
      <c r="N538" s="60" t="s">
        <v>5517</v>
      </c>
      <c r="O538" s="60"/>
      <c r="P538" s="60" t="s">
        <v>5494</v>
      </c>
      <c r="Q538" s="20">
        <v>5</v>
      </c>
    </row>
    <row r="539" spans="1:17" ht="160" x14ac:dyDescent="0.2">
      <c r="A539" s="71">
        <v>538</v>
      </c>
      <c r="B539" s="107" t="str">
        <f>HYPERLINK("https://www.ncbi.nlm.nih.gov/gene/4615", "4615")</f>
        <v>4615</v>
      </c>
      <c r="C539" s="109" t="str">
        <f>HYPERLINK("https://www.uniprot.org/uniprot/Q99836", "Q99836")</f>
        <v>Q99836</v>
      </c>
      <c r="D539" s="43" t="s">
        <v>521</v>
      </c>
      <c r="E539" s="87" t="s">
        <v>521</v>
      </c>
      <c r="F539" s="28"/>
      <c r="G539" s="28" t="s">
        <v>2052</v>
      </c>
      <c r="H539" s="28" t="s">
        <v>2053</v>
      </c>
      <c r="I539" s="31" t="s">
        <v>5307</v>
      </c>
      <c r="J539" s="73" t="s">
        <v>3090</v>
      </c>
      <c r="K539" s="23" t="s">
        <v>4589</v>
      </c>
      <c r="L539" s="60" t="s">
        <v>3289</v>
      </c>
      <c r="M539" s="60" t="s">
        <v>3289</v>
      </c>
      <c r="N539" s="60" t="s">
        <v>3291</v>
      </c>
      <c r="O539" s="60"/>
      <c r="P539" s="60" t="s">
        <v>5492</v>
      </c>
      <c r="Q539" s="20">
        <v>4</v>
      </c>
    </row>
    <row r="540" spans="1:17" ht="48" x14ac:dyDescent="0.2">
      <c r="A540" s="71">
        <v>539</v>
      </c>
      <c r="B540" s="107" t="str">
        <f>HYPERLINK("https://www.ncbi.nlm.nih.gov/gene/7593", "7593")</f>
        <v>7593</v>
      </c>
      <c r="C540" s="109" t="str">
        <f>HYPERLINK("https://www.uniprot.org/uniprot/P28698", "P28698")</f>
        <v>P28698</v>
      </c>
      <c r="D540" s="43" t="s">
        <v>522</v>
      </c>
      <c r="E540" s="35" t="s">
        <v>522</v>
      </c>
      <c r="F540" s="30" t="s">
        <v>2054</v>
      </c>
      <c r="G540" s="30" t="s">
        <v>2055</v>
      </c>
      <c r="H540" s="30" t="s">
        <v>2056</v>
      </c>
      <c r="I540" s="47" t="s">
        <v>5308</v>
      </c>
      <c r="J540" s="73">
        <v>16426580</v>
      </c>
      <c r="K540" s="23" t="s">
        <v>4590</v>
      </c>
      <c r="L540" s="60" t="s">
        <v>3291</v>
      </c>
      <c r="M540" s="60" t="s">
        <v>3292</v>
      </c>
      <c r="N540" s="60" t="s">
        <v>3292</v>
      </c>
      <c r="O540" s="60"/>
      <c r="P540" s="60" t="s">
        <v>3323</v>
      </c>
      <c r="Q540" s="20">
        <v>1</v>
      </c>
    </row>
    <row r="541" spans="1:17" ht="80" x14ac:dyDescent="0.2">
      <c r="A541" s="71">
        <v>540</v>
      </c>
      <c r="B541" s="107" t="str">
        <f>HYPERLINK("https://www.ncbi.nlm.nih.gov/gene/112939", "112939")</f>
        <v>112939</v>
      </c>
      <c r="C541" s="109" t="str">
        <f>HYPERLINK("https://www.uniprot.org/uniprot/Q96RE7", "Q96RE7")</f>
        <v>Q96RE7</v>
      </c>
      <c r="D541" s="43" t="s">
        <v>523</v>
      </c>
      <c r="E541" s="92" t="s">
        <v>523</v>
      </c>
      <c r="F541" s="28" t="s">
        <v>2057</v>
      </c>
      <c r="G541" s="28" t="s">
        <v>5013</v>
      </c>
      <c r="H541" s="30" t="s">
        <v>4085</v>
      </c>
      <c r="I541" s="47" t="s">
        <v>5309</v>
      </c>
      <c r="J541" s="73" t="s">
        <v>3091</v>
      </c>
      <c r="K541" s="23" t="s">
        <v>4591</v>
      </c>
      <c r="L541" s="60" t="s">
        <v>3289</v>
      </c>
      <c r="M541" s="60" t="s">
        <v>3289</v>
      </c>
      <c r="N541" s="60" t="s">
        <v>3289</v>
      </c>
      <c r="O541" s="60"/>
      <c r="P541" s="60" t="s">
        <v>5492</v>
      </c>
      <c r="Q541" s="20">
        <v>4</v>
      </c>
    </row>
    <row r="542" spans="1:17" ht="128" x14ac:dyDescent="0.2">
      <c r="A542" s="71">
        <v>541</v>
      </c>
      <c r="B542" s="107" t="str">
        <f>HYPERLINK("https://www.ncbi.nlm.nih.gov/gene/79923", "79923")</f>
        <v>79923</v>
      </c>
      <c r="C542" s="109" t="str">
        <f>HYPERLINK("https://www.uniprot.org/uniprot/Q9H9S0", "Q9H9S0")</f>
        <v>Q9H9S0</v>
      </c>
      <c r="D542" s="43" t="s">
        <v>524</v>
      </c>
      <c r="E542" s="16" t="s">
        <v>524</v>
      </c>
      <c r="F542" s="28"/>
      <c r="G542" s="28" t="s">
        <v>2058</v>
      </c>
      <c r="H542" s="30" t="s">
        <v>2059</v>
      </c>
      <c r="I542" s="47" t="s">
        <v>5262</v>
      </c>
      <c r="J542" s="73" t="s">
        <v>3092</v>
      </c>
      <c r="K542" s="23" t="s">
        <v>4592</v>
      </c>
      <c r="L542" s="60" t="s">
        <v>3289</v>
      </c>
      <c r="M542" s="60" t="s">
        <v>3289</v>
      </c>
      <c r="N542" s="60" t="s">
        <v>3289</v>
      </c>
      <c r="O542" s="60"/>
      <c r="P542" s="60" t="s">
        <v>5492</v>
      </c>
      <c r="Q542" s="20">
        <v>4</v>
      </c>
    </row>
    <row r="543" spans="1:17" ht="80" x14ac:dyDescent="0.2">
      <c r="A543" s="71">
        <v>542</v>
      </c>
      <c r="B543" s="107" t="str">
        <f>HYPERLINK("https://www.ncbi.nlm.nih.gov/gene/4675", "4675")</f>
        <v>4675</v>
      </c>
      <c r="C543" s="111" t="str">
        <f>HYPERLINK("https://www.uniprot.org/uniprot/Q99457", "Q99457")</f>
        <v>Q99457</v>
      </c>
      <c r="D543" s="43" t="s">
        <v>525</v>
      </c>
      <c r="E543" s="16" t="s">
        <v>525</v>
      </c>
      <c r="F543" s="28" t="s">
        <v>2060</v>
      </c>
      <c r="G543" s="28" t="s">
        <v>2061</v>
      </c>
      <c r="H543" s="30" t="s">
        <v>2062</v>
      </c>
      <c r="I543" s="47" t="s">
        <v>5310</v>
      </c>
      <c r="J543" s="73">
        <v>32701410</v>
      </c>
      <c r="K543" s="30" t="s">
        <v>4593</v>
      </c>
      <c r="L543" s="60" t="s">
        <v>3289</v>
      </c>
      <c r="M543" s="60" t="s">
        <v>3289</v>
      </c>
      <c r="N543" s="60" t="s">
        <v>3291</v>
      </c>
      <c r="O543" s="60"/>
      <c r="P543" s="60" t="s">
        <v>5493</v>
      </c>
      <c r="Q543" s="20">
        <v>4</v>
      </c>
    </row>
    <row r="544" spans="1:17" ht="80" x14ac:dyDescent="0.2">
      <c r="A544" s="71">
        <v>543</v>
      </c>
      <c r="B544" s="107" t="str">
        <f>HYPERLINK("https://www.ncbi.nlm.nih.gov/gene/9476", "9476")</f>
        <v>9476</v>
      </c>
      <c r="C544" s="109" t="str">
        <f>HYPERLINK("https://www.uniprot.org/uniprot/O96009", "O96009")</f>
        <v>O96009</v>
      </c>
      <c r="D544" s="43" t="s">
        <v>526</v>
      </c>
      <c r="E544" s="35" t="s">
        <v>526</v>
      </c>
      <c r="F544" s="30" t="s">
        <v>2063</v>
      </c>
      <c r="G544" s="30" t="s">
        <v>2064</v>
      </c>
      <c r="H544" s="30" t="s">
        <v>4086</v>
      </c>
      <c r="I544" s="47" t="s">
        <v>2825</v>
      </c>
      <c r="J544" s="73">
        <v>20361941</v>
      </c>
      <c r="K544" s="23" t="s">
        <v>4594</v>
      </c>
      <c r="L544" s="60" t="s">
        <v>3289</v>
      </c>
      <c r="M544" s="60" t="s">
        <v>3289</v>
      </c>
      <c r="N544" s="60" t="s">
        <v>3291</v>
      </c>
      <c r="O544" s="60"/>
      <c r="P544" s="60" t="s">
        <v>3323</v>
      </c>
      <c r="Q544" s="20">
        <v>1</v>
      </c>
    </row>
    <row r="545" spans="1:17" ht="112" x14ac:dyDescent="0.2">
      <c r="A545" s="71">
        <v>544</v>
      </c>
      <c r="B545" s="107" t="str">
        <f>HYPERLINK("https://www.ncbi.nlm.nih.gov/gene/89795", "89795")</f>
        <v>89795</v>
      </c>
      <c r="C545" s="109" t="str">
        <f>HYPERLINK("https://www.uniprot.org/uniprot/Q8IVL0", "Q8IVL0")</f>
        <v>Q8IVL0</v>
      </c>
      <c r="D545" s="43" t="s">
        <v>527</v>
      </c>
      <c r="E545" s="35" t="s">
        <v>527</v>
      </c>
      <c r="F545" s="30"/>
      <c r="G545" s="30" t="s">
        <v>2065</v>
      </c>
      <c r="H545" s="30" t="s">
        <v>3379</v>
      </c>
      <c r="I545" s="47" t="s">
        <v>5075</v>
      </c>
      <c r="J545" s="73">
        <v>25579119</v>
      </c>
      <c r="K545" s="23" t="s">
        <v>4595</v>
      </c>
      <c r="L545" s="60" t="s">
        <v>3292</v>
      </c>
      <c r="M545" s="60" t="s">
        <v>3292</v>
      </c>
      <c r="N545" s="60" t="s">
        <v>3291</v>
      </c>
      <c r="O545" s="60"/>
      <c r="P545" s="60" t="s">
        <v>5492</v>
      </c>
      <c r="Q545" s="20">
        <v>4</v>
      </c>
    </row>
    <row r="546" spans="1:17" ht="64" x14ac:dyDescent="0.2">
      <c r="A546" s="71">
        <v>545</v>
      </c>
      <c r="B546" s="107" t="str">
        <f>HYPERLINK("https://www.ncbi.nlm.nih.gov/gene/4683", "4683")</f>
        <v>4683</v>
      </c>
      <c r="C546" s="109" t="str">
        <f>HYPERLINK("https://www.uniprot.org/uniprot/O60934", "O60934")</f>
        <v>O60934</v>
      </c>
      <c r="D546" s="43" t="s">
        <v>528</v>
      </c>
      <c r="E546" s="16" t="s">
        <v>528</v>
      </c>
      <c r="F546" s="5"/>
      <c r="G546" s="28" t="s">
        <v>4953</v>
      </c>
      <c r="H546" s="6" t="s">
        <v>3445</v>
      </c>
      <c r="I546" s="49" t="s">
        <v>3332</v>
      </c>
      <c r="J546" s="73">
        <v>30638177</v>
      </c>
      <c r="K546" s="13" t="s">
        <v>3787</v>
      </c>
      <c r="L546" s="60" t="s">
        <v>3289</v>
      </c>
      <c r="M546" s="60" t="s">
        <v>3289</v>
      </c>
      <c r="N546" s="60" t="s">
        <v>3291</v>
      </c>
      <c r="O546" s="60"/>
      <c r="P546" s="60" t="s">
        <v>3323</v>
      </c>
      <c r="Q546" s="20">
        <v>1</v>
      </c>
    </row>
    <row r="547" spans="1:17" ht="64" x14ac:dyDescent="0.2">
      <c r="A547" s="71">
        <v>546</v>
      </c>
      <c r="B547" s="107" t="str">
        <f>HYPERLINK("https://www.ncbi.nlm.nih.gov/gene/8202", "8202")</f>
        <v>8202</v>
      </c>
      <c r="C547" s="109" t="str">
        <f>HYPERLINK("https://www.uniprot.org/uniprot/Q9Y6Q9", "Q9Y6Q9")</f>
        <v>Q9Y6Q9</v>
      </c>
      <c r="D547" s="43" t="s">
        <v>529</v>
      </c>
      <c r="E547" s="35" t="s">
        <v>529</v>
      </c>
      <c r="F547" s="30" t="s">
        <v>2066</v>
      </c>
      <c r="G547" s="30" t="s">
        <v>2067</v>
      </c>
      <c r="H547" s="30" t="s">
        <v>2068</v>
      </c>
      <c r="I547" s="47" t="s">
        <v>5311</v>
      </c>
      <c r="J547" s="73">
        <v>23652306</v>
      </c>
      <c r="K547" s="23" t="s">
        <v>4596</v>
      </c>
      <c r="L547" s="60" t="s">
        <v>3289</v>
      </c>
      <c r="M547" s="60" t="s">
        <v>3289</v>
      </c>
      <c r="N547" s="60" t="s">
        <v>3291</v>
      </c>
      <c r="O547" s="60"/>
      <c r="P547" s="60" t="s">
        <v>5497</v>
      </c>
      <c r="Q547" s="20">
        <v>3</v>
      </c>
    </row>
    <row r="548" spans="1:17" ht="128" x14ac:dyDescent="0.2">
      <c r="A548" s="71">
        <v>547</v>
      </c>
      <c r="B548" s="107" t="str">
        <f>HYPERLINK("https://www.ncbi.nlm.nih.gov/gene/51079", "51079")</f>
        <v>51079</v>
      </c>
      <c r="C548" s="109" t="str">
        <f>HYPERLINK("https://www.uniprot.org/uniprot/Q9P0J0", "Q9P0J0")</f>
        <v>Q9P0J0</v>
      </c>
      <c r="D548" s="43" t="s">
        <v>530</v>
      </c>
      <c r="E548" s="35" t="s">
        <v>530</v>
      </c>
      <c r="F548" s="30" t="s">
        <v>2069</v>
      </c>
      <c r="G548" s="30" t="s">
        <v>2070</v>
      </c>
      <c r="H548" s="30" t="s">
        <v>2071</v>
      </c>
      <c r="I548" s="47" t="s">
        <v>5312</v>
      </c>
      <c r="J548" s="73">
        <v>30032449</v>
      </c>
      <c r="K548" s="23" t="s">
        <v>4597</v>
      </c>
      <c r="L548" s="60" t="s">
        <v>3292</v>
      </c>
      <c r="M548" s="60" t="s">
        <v>3292</v>
      </c>
      <c r="N548" s="60" t="s">
        <v>3291</v>
      </c>
      <c r="O548" s="60" t="s">
        <v>5509</v>
      </c>
      <c r="P548" s="60" t="s">
        <v>5493</v>
      </c>
      <c r="Q548" s="20">
        <v>4</v>
      </c>
    </row>
    <row r="549" spans="1:17" ht="96" x14ac:dyDescent="0.2">
      <c r="A549" s="71">
        <v>548</v>
      </c>
      <c r="B549" s="107" t="str">
        <f>HYPERLINK("https://www.ncbi.nlm.nih.gov/gene/4734", "4734")</f>
        <v>4734</v>
      </c>
      <c r="C549" s="109" t="str">
        <f>HYPERLINK("https://www.uniprot.org/uniprot/P46934", "P46934")</f>
        <v>P46934</v>
      </c>
      <c r="D549" s="43" t="s">
        <v>531</v>
      </c>
      <c r="E549" s="35" t="s">
        <v>531</v>
      </c>
      <c r="F549" s="30" t="s">
        <v>2072</v>
      </c>
      <c r="G549" s="30" t="s">
        <v>2073</v>
      </c>
      <c r="H549" s="30" t="s">
        <v>2074</v>
      </c>
      <c r="I549" s="47" t="s">
        <v>5313</v>
      </c>
      <c r="J549" s="73">
        <v>28379054</v>
      </c>
      <c r="K549" s="23" t="s">
        <v>4598</v>
      </c>
      <c r="L549" s="60" t="s">
        <v>3289</v>
      </c>
      <c r="M549" s="60" t="s">
        <v>3289</v>
      </c>
      <c r="N549" s="60" t="s">
        <v>3291</v>
      </c>
      <c r="O549" s="60"/>
      <c r="P549" s="60" t="s">
        <v>3323</v>
      </c>
      <c r="Q549" s="20">
        <v>1</v>
      </c>
    </row>
    <row r="550" spans="1:17" ht="96" x14ac:dyDescent="0.2">
      <c r="A550" s="71">
        <v>549</v>
      </c>
      <c r="B550" s="107" t="str">
        <f>HYPERLINK("https://www.ncbi.nlm.nih.gov/gene/23327", "23327")</f>
        <v>23327</v>
      </c>
      <c r="C550" s="109" t="str">
        <f>HYPERLINK("https://www.uniprot.org/uniprot/Q96PU5", "Q96PU5")</f>
        <v>Q96PU5</v>
      </c>
      <c r="D550" s="43" t="s">
        <v>532</v>
      </c>
      <c r="E550" s="35" t="s">
        <v>532</v>
      </c>
      <c r="F550" s="30" t="s">
        <v>2075</v>
      </c>
      <c r="G550" s="30" t="s">
        <v>2076</v>
      </c>
      <c r="H550" s="30" t="s">
        <v>2077</v>
      </c>
      <c r="I550" s="47" t="s">
        <v>5314</v>
      </c>
      <c r="J550" s="73" t="s">
        <v>3093</v>
      </c>
      <c r="K550" s="23" t="s">
        <v>4599</v>
      </c>
      <c r="L550" s="60" t="s">
        <v>3292</v>
      </c>
      <c r="M550" s="60" t="s">
        <v>3292</v>
      </c>
      <c r="N550" s="60" t="s">
        <v>3291</v>
      </c>
      <c r="O550" s="60"/>
      <c r="P550" s="60" t="s">
        <v>3323</v>
      </c>
      <c r="Q550" s="20">
        <v>1</v>
      </c>
    </row>
    <row r="551" spans="1:17" ht="112" x14ac:dyDescent="0.2">
      <c r="A551" s="71">
        <v>550</v>
      </c>
      <c r="B551" s="107" t="str">
        <f>HYPERLINK("https://www.ncbi.nlm.nih.gov/gene/4738", "4738")</f>
        <v>4738</v>
      </c>
      <c r="C551" s="109" t="str">
        <f>HYPERLINK("https://www.uniprot.org/uniprot/Q15843", "Q15843")</f>
        <v>Q15843</v>
      </c>
      <c r="D551" s="43" t="s">
        <v>533</v>
      </c>
      <c r="E551" s="35" t="s">
        <v>533</v>
      </c>
      <c r="F551" s="30"/>
      <c r="G551" s="30" t="s">
        <v>2078</v>
      </c>
      <c r="H551" s="30" t="s">
        <v>2079</v>
      </c>
      <c r="I551" s="47" t="s">
        <v>5315</v>
      </c>
      <c r="J551" s="73" t="s">
        <v>3094</v>
      </c>
      <c r="K551" s="23" t="s">
        <v>4600</v>
      </c>
      <c r="L551" s="60" t="s">
        <v>3289</v>
      </c>
      <c r="M551" s="60" t="s">
        <v>3289</v>
      </c>
      <c r="N551" s="60" t="s">
        <v>3291</v>
      </c>
      <c r="O551" s="60"/>
      <c r="P551" s="60" t="s">
        <v>5494</v>
      </c>
      <c r="Q551" s="20">
        <v>5</v>
      </c>
    </row>
    <row r="552" spans="1:17" ht="48" x14ac:dyDescent="0.2">
      <c r="A552" s="71">
        <v>551</v>
      </c>
      <c r="B552" s="107" t="str">
        <f>HYPERLINK("https://www.ncbi.nlm.nih.gov/gene/252969", "252969")</f>
        <v>252969</v>
      </c>
      <c r="C552" s="109" t="str">
        <f>HYPERLINK("https://www.uniprot.org/uniprot/Q969S2", "Q969S2")</f>
        <v>Q969S2</v>
      </c>
      <c r="D552" s="43" t="s">
        <v>534</v>
      </c>
      <c r="E552" s="16" t="s">
        <v>534</v>
      </c>
      <c r="F552" s="28"/>
      <c r="G552" s="28" t="s">
        <v>3685</v>
      </c>
      <c r="H552" s="95" t="s">
        <v>2080</v>
      </c>
      <c r="I552" s="101" t="s">
        <v>3331</v>
      </c>
      <c r="J552" s="73">
        <v>32626527</v>
      </c>
      <c r="K552" s="23" t="s">
        <v>4601</v>
      </c>
      <c r="L552" s="60" t="s">
        <v>3291</v>
      </c>
      <c r="M552" s="60" t="s">
        <v>3289</v>
      </c>
      <c r="N552" s="60" t="s">
        <v>3291</v>
      </c>
      <c r="O552" s="60"/>
      <c r="P552" s="60" t="s">
        <v>4900</v>
      </c>
      <c r="Q552" s="20">
        <v>3</v>
      </c>
    </row>
    <row r="553" spans="1:17" ht="80" x14ac:dyDescent="0.2">
      <c r="A553" s="71">
        <v>552</v>
      </c>
      <c r="B553" s="107" t="str">
        <f>HYPERLINK("https://www.ncbi.nlm.nih.gov/gene/79858", "79858")</f>
        <v>79858</v>
      </c>
      <c r="C553" s="109" t="str">
        <f>HYPERLINK("https://www.uniprot.org/uniprot/Q8NG66", "Q8NG66")</f>
        <v>Q8NG66</v>
      </c>
      <c r="D553" s="43" t="s">
        <v>535</v>
      </c>
      <c r="E553" s="35" t="s">
        <v>535</v>
      </c>
      <c r="F553" s="30"/>
      <c r="G553" s="30" t="s">
        <v>2081</v>
      </c>
      <c r="H553" s="30" t="s">
        <v>4090</v>
      </c>
      <c r="I553" s="47" t="s">
        <v>5108</v>
      </c>
      <c r="J553" s="73" t="s">
        <v>3095</v>
      </c>
      <c r="K553" s="30" t="s">
        <v>4602</v>
      </c>
      <c r="L553" s="60" t="s">
        <v>3292</v>
      </c>
      <c r="M553" s="60" t="s">
        <v>3292</v>
      </c>
      <c r="N553" s="60" t="s">
        <v>3291</v>
      </c>
      <c r="O553" s="60"/>
      <c r="P553" s="60" t="s">
        <v>3323</v>
      </c>
      <c r="Q553" s="20">
        <v>1</v>
      </c>
    </row>
    <row r="554" spans="1:17" ht="112" x14ac:dyDescent="0.2">
      <c r="A554" s="71">
        <v>553</v>
      </c>
      <c r="B554" s="107" t="str">
        <f>HYPERLINK("https://www.ncbi.nlm.nih.gov/gene/10763", "10763")</f>
        <v>10763</v>
      </c>
      <c r="C554" s="109" t="str">
        <f>HYPERLINK("https://www.uniprot.org/uniprot/P48681", "P48681")</f>
        <v>P48681</v>
      </c>
      <c r="D554" s="43" t="s">
        <v>536</v>
      </c>
      <c r="E554" s="16" t="s">
        <v>536</v>
      </c>
      <c r="F554" s="5"/>
      <c r="G554" s="28" t="s">
        <v>2082</v>
      </c>
      <c r="H554" s="6" t="s">
        <v>4091</v>
      </c>
      <c r="I554" s="49" t="s">
        <v>5316</v>
      </c>
      <c r="J554" s="73">
        <v>22296500</v>
      </c>
      <c r="K554" s="13" t="s">
        <v>3788</v>
      </c>
      <c r="L554" s="60" t="s">
        <v>3289</v>
      </c>
      <c r="M554" s="60" t="s">
        <v>3289</v>
      </c>
      <c r="N554" s="60" t="s">
        <v>3291</v>
      </c>
      <c r="O554" s="60"/>
      <c r="P554" s="60" t="s">
        <v>5493</v>
      </c>
      <c r="Q554" s="20">
        <v>4</v>
      </c>
    </row>
    <row r="555" spans="1:17" ht="64" x14ac:dyDescent="0.2">
      <c r="A555" s="71">
        <v>554</v>
      </c>
      <c r="B555" s="107" t="str">
        <f>HYPERLINK("https://www.ncbi.nlm.nih.gov/gene/4763", "4763")</f>
        <v>4763</v>
      </c>
      <c r="C555" s="109" t="str">
        <f>HYPERLINK("https://www.uniprot.org/uniprot/P21359", "P21359")</f>
        <v>P21359</v>
      </c>
      <c r="D555" s="43" t="s">
        <v>537</v>
      </c>
      <c r="E555" s="16" t="s">
        <v>537</v>
      </c>
      <c r="F555" s="5"/>
      <c r="G555" s="28" t="s">
        <v>2083</v>
      </c>
      <c r="H555" s="6" t="s">
        <v>4092</v>
      </c>
      <c r="I555" s="49" t="s">
        <v>5317</v>
      </c>
      <c r="J555" s="73" t="s">
        <v>3096</v>
      </c>
      <c r="K555" s="13" t="s">
        <v>3789</v>
      </c>
      <c r="L555" s="60" t="s">
        <v>3292</v>
      </c>
      <c r="M555" s="60" t="s">
        <v>3292</v>
      </c>
      <c r="N555" s="60" t="s">
        <v>3291</v>
      </c>
      <c r="O555" s="60"/>
      <c r="P555" s="60" t="s">
        <v>5495</v>
      </c>
      <c r="Q555" s="20">
        <v>2</v>
      </c>
    </row>
    <row r="556" spans="1:17" ht="112" x14ac:dyDescent="0.2">
      <c r="A556" s="71">
        <v>555</v>
      </c>
      <c r="B556" s="107" t="str">
        <f>HYPERLINK("https://www.ncbi.nlm.nih.gov/gene/4771", "4771")</f>
        <v>4771</v>
      </c>
      <c r="C556" s="109" t="str">
        <f>HYPERLINK("https://www.uniprot.org/uniprot/P35240", "P35240")</f>
        <v>P35240</v>
      </c>
      <c r="D556" s="43" t="s">
        <v>538</v>
      </c>
      <c r="E556" s="16" t="s">
        <v>538</v>
      </c>
      <c r="F556" s="5" t="s">
        <v>2084</v>
      </c>
      <c r="G556" s="28" t="s">
        <v>2085</v>
      </c>
      <c r="H556" s="6" t="s">
        <v>2086</v>
      </c>
      <c r="I556" s="49" t="s">
        <v>5318</v>
      </c>
      <c r="J556" s="73">
        <v>27378628</v>
      </c>
      <c r="K556" s="13" t="s">
        <v>3578</v>
      </c>
      <c r="L556" s="60" t="s">
        <v>3292</v>
      </c>
      <c r="M556" s="60" t="s">
        <v>3292</v>
      </c>
      <c r="N556" s="60" t="s">
        <v>3291</v>
      </c>
      <c r="O556" s="60"/>
      <c r="P556" s="60" t="s">
        <v>5497</v>
      </c>
      <c r="Q556" s="20">
        <v>3</v>
      </c>
    </row>
    <row r="557" spans="1:17" ht="144" x14ac:dyDescent="0.2">
      <c r="A557" s="71">
        <v>556</v>
      </c>
      <c r="B557" s="107" t="str">
        <f>HYPERLINK("https://www.ncbi.nlm.nih.gov/gene/4780", "4780")</f>
        <v>4780</v>
      </c>
      <c r="C557" s="109" t="str">
        <f>HYPERLINK("https://www.uniprot.org/uniprot/Q16236", "Q16236")</f>
        <v>Q16236</v>
      </c>
      <c r="D557" s="43" t="s">
        <v>539</v>
      </c>
      <c r="E557" s="16" t="s">
        <v>539</v>
      </c>
      <c r="F557" s="5" t="s">
        <v>2087</v>
      </c>
      <c r="G557" s="28" t="s">
        <v>5014</v>
      </c>
      <c r="H557" s="6" t="s">
        <v>2088</v>
      </c>
      <c r="I557" s="49" t="s">
        <v>5319</v>
      </c>
      <c r="J557" s="73" t="s">
        <v>3097</v>
      </c>
      <c r="K557" s="16" t="s">
        <v>3864</v>
      </c>
      <c r="L557" s="60" t="s">
        <v>3289</v>
      </c>
      <c r="M557" s="60" t="s">
        <v>3289</v>
      </c>
      <c r="N557" s="60" t="s">
        <v>3289</v>
      </c>
      <c r="O557" s="60"/>
      <c r="P557" s="60" t="s">
        <v>5493</v>
      </c>
      <c r="Q557" s="20">
        <v>4</v>
      </c>
    </row>
    <row r="558" spans="1:17" ht="128" x14ac:dyDescent="0.2">
      <c r="A558" s="71">
        <v>557</v>
      </c>
      <c r="B558" s="107" t="str">
        <f>HYPERLINK("https://www.ncbi.nlm.nih.gov/gene/4790", "4790")</f>
        <v>4790</v>
      </c>
      <c r="C558" s="109" t="str">
        <f>HYPERLINK("https://www.uniprot.org/uniprot/P19838", "P19838")</f>
        <v>P19838</v>
      </c>
      <c r="D558" s="43" t="s">
        <v>540</v>
      </c>
      <c r="E558" s="16" t="s">
        <v>540</v>
      </c>
      <c r="F558" s="28"/>
      <c r="G558" s="28" t="s">
        <v>2089</v>
      </c>
      <c r="H558" s="28" t="s">
        <v>4093</v>
      </c>
      <c r="I558" s="31" t="s">
        <v>2834</v>
      </c>
      <c r="J558" s="73" t="s">
        <v>3098</v>
      </c>
      <c r="K558" s="23" t="s">
        <v>4603</v>
      </c>
      <c r="L558" s="60" t="s">
        <v>3289</v>
      </c>
      <c r="M558" s="60" t="s">
        <v>3289</v>
      </c>
      <c r="N558" s="60" t="s">
        <v>3289</v>
      </c>
      <c r="O558" s="60"/>
      <c r="P558" s="60" t="s">
        <v>5493</v>
      </c>
      <c r="Q558" s="20">
        <v>4</v>
      </c>
    </row>
    <row r="559" spans="1:17" ht="64" x14ac:dyDescent="0.2">
      <c r="A559" s="71">
        <v>558</v>
      </c>
      <c r="B559" s="107" t="str">
        <f>HYPERLINK("https://www.ncbi.nlm.nih.gov/gene/4791", "4791")</f>
        <v>4791</v>
      </c>
      <c r="C559" s="109" t="str">
        <f>HYPERLINK("https://www.uniprot.org/uniprot/Q00653", "Q00653")</f>
        <v>Q00653</v>
      </c>
      <c r="D559" s="43" t="s">
        <v>541</v>
      </c>
      <c r="E559" s="16" t="s">
        <v>541</v>
      </c>
      <c r="F559" s="28" t="s">
        <v>3429</v>
      </c>
      <c r="G559" s="28" t="s">
        <v>3430</v>
      </c>
      <c r="H559" s="28" t="s">
        <v>3427</v>
      </c>
      <c r="I559" s="31" t="s">
        <v>2834</v>
      </c>
      <c r="J559" s="73" t="s">
        <v>3099</v>
      </c>
      <c r="K559" s="23" t="s">
        <v>3100</v>
      </c>
      <c r="L559" s="60" t="s">
        <v>3289</v>
      </c>
      <c r="M559" s="60" t="s">
        <v>3289</v>
      </c>
      <c r="N559" s="60" t="s">
        <v>3289</v>
      </c>
      <c r="O559" s="60"/>
      <c r="P559" s="60" t="s">
        <v>3323</v>
      </c>
      <c r="Q559" s="20">
        <v>1</v>
      </c>
    </row>
    <row r="560" spans="1:17" ht="80" x14ac:dyDescent="0.2">
      <c r="A560" s="71">
        <v>559</v>
      </c>
      <c r="B560" s="107" t="str">
        <f>HYPERLINK("https://www.ncbi.nlm.nih.gov/gene/4811", "4811")</f>
        <v>4811</v>
      </c>
      <c r="C560" s="109" t="str">
        <f>HYPERLINK("https://www.uniprot.org/uniprot/P14543", "P14543")</f>
        <v>P14543</v>
      </c>
      <c r="D560" s="43" t="s">
        <v>542</v>
      </c>
      <c r="E560" s="35" t="s">
        <v>542</v>
      </c>
      <c r="F560" s="30" t="s">
        <v>2090</v>
      </c>
      <c r="G560" s="30" t="s">
        <v>2091</v>
      </c>
      <c r="H560" s="30" t="s">
        <v>4094</v>
      </c>
      <c r="I560" s="47" t="s">
        <v>5267</v>
      </c>
      <c r="J560" s="73">
        <v>28416770</v>
      </c>
      <c r="K560" s="23" t="s">
        <v>4604</v>
      </c>
      <c r="L560" s="60" t="s">
        <v>3289</v>
      </c>
      <c r="M560" s="60" t="s">
        <v>3289</v>
      </c>
      <c r="N560" s="60" t="s">
        <v>3291</v>
      </c>
      <c r="O560" s="60"/>
      <c r="P560" s="60" t="s">
        <v>3323</v>
      </c>
      <c r="Q560" s="20">
        <v>1</v>
      </c>
    </row>
    <row r="561" spans="1:17" ht="96" x14ac:dyDescent="0.2">
      <c r="A561" s="71">
        <v>560</v>
      </c>
      <c r="B561" s="107" t="str">
        <f>HYPERLINK("https://www.ncbi.nlm.nih.gov/gene/26257", "26257")</f>
        <v>26257</v>
      </c>
      <c r="C561" s="109" t="s">
        <v>543</v>
      </c>
      <c r="D561" s="43" t="s">
        <v>544</v>
      </c>
      <c r="E561" s="35" t="s">
        <v>544</v>
      </c>
      <c r="F561" s="30" t="s">
        <v>2092</v>
      </c>
      <c r="G561" s="30" t="s">
        <v>2093</v>
      </c>
      <c r="H561" s="30" t="s">
        <v>3577</v>
      </c>
      <c r="I561" s="47" t="s">
        <v>5320</v>
      </c>
      <c r="J561" s="73">
        <v>31047858</v>
      </c>
      <c r="K561" s="23" t="s">
        <v>4605</v>
      </c>
      <c r="L561" s="60" t="s">
        <v>3292</v>
      </c>
      <c r="M561" s="60" t="s">
        <v>3292</v>
      </c>
      <c r="N561" s="60" t="s">
        <v>3291</v>
      </c>
      <c r="O561" s="60"/>
      <c r="P561" s="60" t="s">
        <v>5493</v>
      </c>
      <c r="Q561" s="20">
        <v>4</v>
      </c>
    </row>
    <row r="562" spans="1:17" ht="160" x14ac:dyDescent="0.2">
      <c r="A562" s="71">
        <v>561</v>
      </c>
      <c r="B562" s="107" t="str">
        <f>HYPERLINK("https://www.ncbi.nlm.nih.gov/gene/4842", "4842")</f>
        <v>4842</v>
      </c>
      <c r="C562" s="109" t="str">
        <f>HYPERLINK("https://www.uniprot.org/uniprot/P29475", "P29475")</f>
        <v>P29475</v>
      </c>
      <c r="D562" s="43" t="s">
        <v>545</v>
      </c>
      <c r="E562" s="35" t="s">
        <v>545</v>
      </c>
      <c r="F562" s="30" t="s">
        <v>2094</v>
      </c>
      <c r="G562" s="30" t="s">
        <v>2095</v>
      </c>
      <c r="H562" s="30" t="s">
        <v>4095</v>
      </c>
      <c r="I562" s="47" t="s">
        <v>5321</v>
      </c>
      <c r="J562" s="73" t="s">
        <v>3101</v>
      </c>
      <c r="K562" s="23" t="s">
        <v>4606</v>
      </c>
      <c r="L562" s="60" t="s">
        <v>3289</v>
      </c>
      <c r="M562" s="60" t="s">
        <v>3289</v>
      </c>
      <c r="N562" s="60" t="s">
        <v>3311</v>
      </c>
      <c r="O562" s="60"/>
      <c r="P562" s="60" t="s">
        <v>3323</v>
      </c>
      <c r="Q562" s="20">
        <v>1</v>
      </c>
    </row>
    <row r="563" spans="1:17" ht="48" x14ac:dyDescent="0.2">
      <c r="A563" s="71">
        <v>562</v>
      </c>
      <c r="B563" s="107" t="str">
        <f>HYPERLINK("https://www.ncbi.nlm.nih.gov/gene/4843", "4843")</f>
        <v>4843</v>
      </c>
      <c r="C563" s="109" t="str">
        <f>HYPERLINK("https://www.uniprot.org/uniprot/P35228", "P35228")</f>
        <v>P35228</v>
      </c>
      <c r="D563" s="43" t="s">
        <v>546</v>
      </c>
      <c r="E563" s="35" t="s">
        <v>546</v>
      </c>
      <c r="F563" s="30" t="s">
        <v>2096</v>
      </c>
      <c r="G563" s="30" t="s">
        <v>2097</v>
      </c>
      <c r="H563" s="30" t="s">
        <v>4096</v>
      </c>
      <c r="I563" s="47" t="s">
        <v>5322</v>
      </c>
      <c r="J563" s="73">
        <v>18506185</v>
      </c>
      <c r="K563" s="23" t="s">
        <v>4607</v>
      </c>
      <c r="L563" s="60" t="s">
        <v>3292</v>
      </c>
      <c r="M563" s="60" t="s">
        <v>3292</v>
      </c>
      <c r="N563" s="60" t="s">
        <v>5530</v>
      </c>
      <c r="O563" s="60"/>
      <c r="P563" s="60" t="s">
        <v>3323</v>
      </c>
      <c r="Q563" s="20">
        <v>1</v>
      </c>
    </row>
    <row r="564" spans="1:17" ht="48" x14ac:dyDescent="0.2">
      <c r="A564" s="71">
        <v>563</v>
      </c>
      <c r="B564" s="107" t="str">
        <f>HYPERLINK("https://www.ncbi.nlm.nih.gov/gene/4846", "4846")</f>
        <v>4846</v>
      </c>
      <c r="C564" s="109" t="str">
        <f>HYPERLINK("https://www.uniprot.org/uniprot/P29474", "P29474")</f>
        <v>P29474</v>
      </c>
      <c r="D564" s="43" t="s">
        <v>547</v>
      </c>
      <c r="E564" s="35" t="s">
        <v>547</v>
      </c>
      <c r="F564" s="30" t="s">
        <v>2098</v>
      </c>
      <c r="G564" s="30" t="s">
        <v>2099</v>
      </c>
      <c r="H564" s="30" t="s">
        <v>2100</v>
      </c>
      <c r="I564" s="47" t="s">
        <v>5321</v>
      </c>
      <c r="J564" s="73" t="s">
        <v>3102</v>
      </c>
      <c r="K564" s="23" t="s">
        <v>4608</v>
      </c>
      <c r="L564" s="60" t="s">
        <v>3291</v>
      </c>
      <c r="M564" s="60" t="s">
        <v>3289</v>
      </c>
      <c r="N564" s="60" t="s">
        <v>3311</v>
      </c>
      <c r="O564" s="60"/>
      <c r="P564" s="60" t="s">
        <v>3323</v>
      </c>
      <c r="Q564" s="20">
        <v>1</v>
      </c>
    </row>
    <row r="565" spans="1:17" ht="112" x14ac:dyDescent="0.2">
      <c r="A565" s="71">
        <v>564</v>
      </c>
      <c r="B565" s="107" t="str">
        <f>HYPERLINK("https://www.ncbi.nlm.nih.gov/gene/4851", "4851")</f>
        <v>4851</v>
      </c>
      <c r="C565" s="109" t="str">
        <f>HYPERLINK("https://www.uniprot.org/uniprot/P46531", "P46531")</f>
        <v>P46531</v>
      </c>
      <c r="D565" s="43" t="s">
        <v>548</v>
      </c>
      <c r="E565" s="35" t="s">
        <v>548</v>
      </c>
      <c r="F565" s="30" t="s">
        <v>2101</v>
      </c>
      <c r="G565" s="30" t="s">
        <v>2102</v>
      </c>
      <c r="H565" s="30" t="s">
        <v>2103</v>
      </c>
      <c r="I565" s="47" t="s">
        <v>5323</v>
      </c>
      <c r="J565" s="73" t="s">
        <v>3103</v>
      </c>
      <c r="K565" s="23" t="s">
        <v>4609</v>
      </c>
      <c r="L565" s="60" t="s">
        <v>3289</v>
      </c>
      <c r="M565" s="60" t="s">
        <v>3289</v>
      </c>
      <c r="N565" s="60" t="s">
        <v>3291</v>
      </c>
      <c r="O565" s="60"/>
      <c r="P565" s="60" t="s">
        <v>5495</v>
      </c>
      <c r="Q565" s="20">
        <v>2</v>
      </c>
    </row>
    <row r="566" spans="1:17" ht="64" x14ac:dyDescent="0.2">
      <c r="A566" s="71">
        <v>565</v>
      </c>
      <c r="B566" s="107" t="str">
        <f>HYPERLINK("https://www.ncbi.nlm.nih.gov/gene/4854", "4854")</f>
        <v>4854</v>
      </c>
      <c r="C566" s="109" t="str">
        <f>HYPERLINK("https://www.uniprot.org/uniprot/Q9UM47", "Q9UM47")</f>
        <v>Q9UM47</v>
      </c>
      <c r="D566" s="43" t="s">
        <v>549</v>
      </c>
      <c r="E566" s="16" t="s">
        <v>927</v>
      </c>
      <c r="F566" s="28"/>
      <c r="G566" s="28" t="s">
        <v>5015</v>
      </c>
      <c r="H566" s="28" t="s">
        <v>4952</v>
      </c>
      <c r="I566" s="31" t="s">
        <v>2833</v>
      </c>
      <c r="J566" s="73">
        <v>28416766</v>
      </c>
      <c r="K566" s="23" t="s">
        <v>4610</v>
      </c>
      <c r="L566" s="60" t="s">
        <v>3289</v>
      </c>
      <c r="M566" s="60" t="s">
        <v>3289</v>
      </c>
      <c r="N566" s="60" t="s">
        <v>3291</v>
      </c>
      <c r="O566" s="60"/>
      <c r="P566" s="60" t="s">
        <v>5499</v>
      </c>
      <c r="Q566" s="20">
        <v>4</v>
      </c>
    </row>
    <row r="567" spans="1:17" ht="112" x14ac:dyDescent="0.2">
      <c r="A567" s="71">
        <v>566</v>
      </c>
      <c r="B567" s="107" t="str">
        <f>HYPERLINK("https://www.ncbi.nlm.nih.gov/gene/79400", "79400")</f>
        <v>79400</v>
      </c>
      <c r="C567" s="109" t="str">
        <f>HYPERLINK("https://www.uniprot.org/uniprot/Q96PH1", "Q96PH1")</f>
        <v>Q96PH1</v>
      </c>
      <c r="D567" s="43" t="s">
        <v>550</v>
      </c>
      <c r="E567" s="16" t="s">
        <v>550</v>
      </c>
      <c r="F567" s="28"/>
      <c r="G567" s="28" t="s">
        <v>2104</v>
      </c>
      <c r="H567" s="28" t="s">
        <v>2105</v>
      </c>
      <c r="I567" s="31" t="s">
        <v>5324</v>
      </c>
      <c r="J567" s="73" t="s">
        <v>3562</v>
      </c>
      <c r="K567" s="23" t="s">
        <v>4611</v>
      </c>
      <c r="L567" s="60" t="s">
        <v>3290</v>
      </c>
      <c r="M567" s="60" t="s">
        <v>3290</v>
      </c>
      <c r="N567" s="60" t="s">
        <v>3289</v>
      </c>
      <c r="O567" s="60"/>
      <c r="P567" s="60" t="s">
        <v>5495</v>
      </c>
      <c r="Q567" s="20">
        <v>2</v>
      </c>
    </row>
    <row r="568" spans="1:17" ht="80" x14ac:dyDescent="0.2">
      <c r="A568" s="71">
        <v>567</v>
      </c>
      <c r="B568" s="107" t="str">
        <f>HYPERLINK("https://www.ncbi.nlm.nih.gov/gene/4869", "4869")</f>
        <v>4869</v>
      </c>
      <c r="C568" s="109" t="str">
        <f>HYPERLINK("https://www.uniprot.org/uniprot/P06748", "P06748")</f>
        <v>P06748</v>
      </c>
      <c r="D568" s="43" t="s">
        <v>551</v>
      </c>
      <c r="E568" s="35" t="s">
        <v>551</v>
      </c>
      <c r="F568" s="30" t="s">
        <v>2106</v>
      </c>
      <c r="G568" s="30" t="s">
        <v>2107</v>
      </c>
      <c r="H568" s="30" t="s">
        <v>2108</v>
      </c>
      <c r="I568" s="47" t="s">
        <v>5325</v>
      </c>
      <c r="J568" s="73">
        <v>24515769</v>
      </c>
      <c r="K568" s="23" t="s">
        <v>4612</v>
      </c>
      <c r="L568" s="60" t="s">
        <v>3289</v>
      </c>
      <c r="M568" s="60" t="s">
        <v>3289</v>
      </c>
      <c r="N568" s="60" t="s">
        <v>3291</v>
      </c>
      <c r="O568" s="60"/>
      <c r="P568" s="60" t="s">
        <v>5497</v>
      </c>
      <c r="Q568" s="20">
        <v>3</v>
      </c>
    </row>
    <row r="569" spans="1:17" ht="80" x14ac:dyDescent="0.2">
      <c r="A569" s="71">
        <v>568</v>
      </c>
      <c r="B569" s="107" t="str">
        <f>HYPERLINK("https://www.ncbi.nlm.nih.gov/gene/1728", "1728")</f>
        <v>1728</v>
      </c>
      <c r="C569" s="109" t="str">
        <f>HYPERLINK("https://www.uniprot.org/uniprot/P15559", "P15559")</f>
        <v>P15559</v>
      </c>
      <c r="D569" s="43" t="s">
        <v>552</v>
      </c>
      <c r="E569" s="38" t="s">
        <v>552</v>
      </c>
      <c r="F569" s="6" t="s">
        <v>5065</v>
      </c>
      <c r="G569" s="28" t="s">
        <v>2109</v>
      </c>
      <c r="H569" s="6" t="s">
        <v>4097</v>
      </c>
      <c r="I569" s="49" t="s">
        <v>2836</v>
      </c>
      <c r="J569" s="73" t="s">
        <v>3104</v>
      </c>
      <c r="K569" s="23" t="s">
        <v>4613</v>
      </c>
      <c r="L569" s="60" t="s">
        <v>3289</v>
      </c>
      <c r="M569" s="60" t="s">
        <v>3289</v>
      </c>
      <c r="N569" s="60" t="s">
        <v>3291</v>
      </c>
      <c r="O569" s="60"/>
      <c r="P569" s="60" t="s">
        <v>5493</v>
      </c>
      <c r="Q569" s="20">
        <v>4</v>
      </c>
    </row>
    <row r="570" spans="1:17" ht="96" x14ac:dyDescent="0.2">
      <c r="A570" s="71">
        <v>569</v>
      </c>
      <c r="B570" s="107" t="str">
        <f>HYPERLINK("https://www.ncbi.nlm.nih.gov/gene/8856", "8856")</f>
        <v>8856</v>
      </c>
      <c r="C570" s="109" t="str">
        <f>HYPERLINK("https://www.uniprot.org/uniprot/O75469", "O75469")</f>
        <v>O75469</v>
      </c>
      <c r="D570" s="43" t="s">
        <v>553</v>
      </c>
      <c r="E570" s="35" t="s">
        <v>553</v>
      </c>
      <c r="F570" s="30" t="s">
        <v>2110</v>
      </c>
      <c r="G570" s="30" t="s">
        <v>2111</v>
      </c>
      <c r="H570" s="30" t="s">
        <v>4098</v>
      </c>
      <c r="I570" s="47" t="s">
        <v>5237</v>
      </c>
      <c r="J570" s="73">
        <v>27572875</v>
      </c>
      <c r="K570" s="23" t="s">
        <v>4614</v>
      </c>
      <c r="L570" s="60" t="s">
        <v>3291</v>
      </c>
      <c r="M570" s="60" t="s">
        <v>3289</v>
      </c>
      <c r="N570" s="60" t="s">
        <v>3291</v>
      </c>
      <c r="O570" s="60"/>
      <c r="P570" s="60" t="s">
        <v>3323</v>
      </c>
      <c r="Q570" s="20">
        <v>1</v>
      </c>
    </row>
    <row r="571" spans="1:17" ht="144" x14ac:dyDescent="0.2">
      <c r="A571" s="71">
        <v>570</v>
      </c>
      <c r="B571" s="107" t="str">
        <f>HYPERLINK("https://www.ncbi.nlm.nih.gov/gene/3164", "3164")</f>
        <v>3164</v>
      </c>
      <c r="C571" s="109" t="str">
        <f>HYPERLINK("https://www.uniprot.org/uniprot/P22736", "P22736")</f>
        <v>P22736</v>
      </c>
      <c r="D571" s="43" t="s">
        <v>554</v>
      </c>
      <c r="E571" s="35" t="s">
        <v>554</v>
      </c>
      <c r="F571" s="30" t="s">
        <v>2112</v>
      </c>
      <c r="G571" s="30" t="s">
        <v>2113</v>
      </c>
      <c r="H571" s="30" t="s">
        <v>4099</v>
      </c>
      <c r="I571" s="47" t="s">
        <v>5326</v>
      </c>
      <c r="J571" s="73">
        <v>23720056</v>
      </c>
      <c r="K571" s="23" t="s">
        <v>4615</v>
      </c>
      <c r="L571" s="60" t="s">
        <v>3292</v>
      </c>
      <c r="M571" s="60" t="s">
        <v>3292</v>
      </c>
      <c r="N571" s="60" t="s">
        <v>3291</v>
      </c>
      <c r="O571" s="60"/>
      <c r="P571" s="60" t="s">
        <v>5494</v>
      </c>
      <c r="Q571" s="20">
        <v>5</v>
      </c>
    </row>
    <row r="572" spans="1:17" ht="80" x14ac:dyDescent="0.2">
      <c r="A572" s="71">
        <v>571</v>
      </c>
      <c r="B572" s="107" t="str">
        <f>HYPERLINK("https://www.ncbi.nlm.nih.gov/gene/4893", "4893")</f>
        <v>4893</v>
      </c>
      <c r="C572" s="109" t="str">
        <f>HYPERLINK("https://www.uniprot.org/uniprot/P01111", "P01111")</f>
        <v>P01111</v>
      </c>
      <c r="D572" s="43" t="s">
        <v>555</v>
      </c>
      <c r="E572" s="35" t="s">
        <v>555</v>
      </c>
      <c r="F572" s="30" t="s">
        <v>2114</v>
      </c>
      <c r="G572" s="30" t="s">
        <v>2115</v>
      </c>
      <c r="H572" s="30" t="s">
        <v>3428</v>
      </c>
      <c r="I572" s="47" t="s">
        <v>2848</v>
      </c>
      <c r="J572" s="73" t="s">
        <v>3105</v>
      </c>
      <c r="K572" s="23" t="s">
        <v>4616</v>
      </c>
      <c r="L572" s="60" t="s">
        <v>3289</v>
      </c>
      <c r="M572" s="60" t="s">
        <v>3289</v>
      </c>
      <c r="N572" s="60" t="s">
        <v>3308</v>
      </c>
      <c r="O572" s="60"/>
      <c r="P572" s="60" t="s">
        <v>3323</v>
      </c>
      <c r="Q572" s="20">
        <v>1</v>
      </c>
    </row>
    <row r="573" spans="1:17" ht="80" x14ac:dyDescent="0.2">
      <c r="A573" s="71">
        <v>572</v>
      </c>
      <c r="B573" s="107" t="str">
        <f>HYPERLINK("https://www.ncbi.nlm.nih.gov/gene/8828", "8828")</f>
        <v>8828</v>
      </c>
      <c r="C573" s="109" t="str">
        <f>HYPERLINK("https://www.uniprot.org/uniprot/O60462", "O60462")</f>
        <v>O60462</v>
      </c>
      <c r="D573" s="43" t="s">
        <v>556</v>
      </c>
      <c r="E573" s="35" t="s">
        <v>556</v>
      </c>
      <c r="F573" s="30" t="s">
        <v>2116</v>
      </c>
      <c r="G573" s="30" t="s">
        <v>2117</v>
      </c>
      <c r="H573" s="30" t="s">
        <v>2118</v>
      </c>
      <c r="I573" s="47" t="s">
        <v>3327</v>
      </c>
      <c r="J573" s="73" t="s">
        <v>3106</v>
      </c>
      <c r="K573" s="23" t="s">
        <v>4617</v>
      </c>
      <c r="L573" s="60" t="s">
        <v>3289</v>
      </c>
      <c r="M573" s="60" t="s">
        <v>3289</v>
      </c>
      <c r="N573" s="60" t="s">
        <v>3291</v>
      </c>
      <c r="O573" s="60"/>
      <c r="P573" s="60" t="s">
        <v>3323</v>
      </c>
      <c r="Q573" s="20">
        <v>1</v>
      </c>
    </row>
    <row r="574" spans="1:17" ht="48" x14ac:dyDescent="0.2">
      <c r="A574" s="71">
        <v>573</v>
      </c>
      <c r="B574" s="107" t="str">
        <f>HYPERLINK("https://www.ncbi.nlm.nih.gov/gene/4907", "4907")</f>
        <v>4907</v>
      </c>
      <c r="C574" s="109" t="str">
        <f>HYPERLINK("https://www.uniprot.org/uniprot/P21589", "P21589")</f>
        <v>P21589</v>
      </c>
      <c r="D574" s="43" t="s">
        <v>557</v>
      </c>
      <c r="E574" s="35" t="s">
        <v>557</v>
      </c>
      <c r="F574" s="30" t="s">
        <v>2119</v>
      </c>
      <c r="G574" s="30" t="s">
        <v>2120</v>
      </c>
      <c r="H574" s="30" t="s">
        <v>2121</v>
      </c>
      <c r="I574" s="47" t="s">
        <v>3329</v>
      </c>
      <c r="J574" s="73">
        <v>26629888</v>
      </c>
      <c r="K574" s="23" t="s">
        <v>4618</v>
      </c>
      <c r="L574" s="60" t="s">
        <v>3289</v>
      </c>
      <c r="M574" s="60" t="s">
        <v>3289</v>
      </c>
      <c r="N574" s="60" t="s">
        <v>3291</v>
      </c>
      <c r="O574" s="60"/>
      <c r="P574" s="60" t="s">
        <v>5493</v>
      </c>
      <c r="Q574" s="20">
        <v>4</v>
      </c>
    </row>
    <row r="575" spans="1:17" ht="96" x14ac:dyDescent="0.2">
      <c r="A575" s="71">
        <v>574</v>
      </c>
      <c r="B575" s="107" t="str">
        <f>HYPERLINK("https://www.ncbi.nlm.nih.gov/gene/4913", "4913")</f>
        <v>4913</v>
      </c>
      <c r="C575" s="109" t="str">
        <f>HYPERLINK("https://www.uniprot.org/uniprot/P78549", "P78549")</f>
        <v>P78549</v>
      </c>
      <c r="D575" s="43" t="s">
        <v>558</v>
      </c>
      <c r="E575" s="16" t="s">
        <v>558</v>
      </c>
      <c r="F575" s="9" t="s">
        <v>2122</v>
      </c>
      <c r="G575" s="28" t="s">
        <v>2123</v>
      </c>
      <c r="H575" s="6" t="s">
        <v>4100</v>
      </c>
      <c r="I575" s="49" t="s">
        <v>3331</v>
      </c>
      <c r="J575" s="73" t="s">
        <v>3515</v>
      </c>
      <c r="K575" s="13" t="s">
        <v>3790</v>
      </c>
      <c r="L575" s="60" t="s">
        <v>3291</v>
      </c>
      <c r="M575" s="60" t="s">
        <v>3289</v>
      </c>
      <c r="N575" s="60" t="s">
        <v>3312</v>
      </c>
      <c r="O575" s="60"/>
      <c r="P575" s="60" t="s">
        <v>3323</v>
      </c>
      <c r="Q575" s="20">
        <v>1</v>
      </c>
    </row>
    <row r="576" spans="1:17" ht="48" x14ac:dyDescent="0.2">
      <c r="A576" s="71">
        <v>575</v>
      </c>
      <c r="B576" s="107" t="str">
        <f>HYPERLINK("https://www.ncbi.nlm.nih.gov/gene/4916", "4916")</f>
        <v>4916</v>
      </c>
      <c r="C576" s="109" t="str">
        <f>HYPERLINK("https://www.uniprot.org/uniprot/Q16288", "Q16288")</f>
        <v>Q16288</v>
      </c>
      <c r="D576" s="43" t="s">
        <v>559</v>
      </c>
      <c r="E576" s="35" t="s">
        <v>559</v>
      </c>
      <c r="F576" s="30" t="s">
        <v>2124</v>
      </c>
      <c r="G576" s="30" t="s">
        <v>2125</v>
      </c>
      <c r="H576" s="30" t="s">
        <v>2126</v>
      </c>
      <c r="I576" s="47" t="s">
        <v>5070</v>
      </c>
      <c r="J576" s="73">
        <v>28746220</v>
      </c>
      <c r="K576" s="23" t="s">
        <v>4619</v>
      </c>
      <c r="L576" s="60" t="s">
        <v>3292</v>
      </c>
      <c r="M576" s="60" t="s">
        <v>3292</v>
      </c>
      <c r="N576" s="60" t="s">
        <v>3291</v>
      </c>
      <c r="O576" s="60"/>
      <c r="P576" s="60" t="s">
        <v>5497</v>
      </c>
      <c r="Q576" s="20">
        <v>3</v>
      </c>
    </row>
    <row r="577" spans="1:17" ht="112" x14ac:dyDescent="0.2">
      <c r="A577" s="71">
        <v>576</v>
      </c>
      <c r="B577" s="107" t="str">
        <f>HYPERLINK("https://www.ncbi.nlm.nih.gov/gene/4922", "4922")</f>
        <v>4922</v>
      </c>
      <c r="C577" s="109" t="str">
        <f>HYPERLINK("https://www.uniprot.org/uniprot/P30990", "P30990")</f>
        <v>P30990</v>
      </c>
      <c r="D577" s="43" t="s">
        <v>560</v>
      </c>
      <c r="E577" s="35" t="s">
        <v>560</v>
      </c>
      <c r="F577" s="30"/>
      <c r="G577" s="30" t="s">
        <v>2127</v>
      </c>
      <c r="H577" s="30" t="s">
        <v>4101</v>
      </c>
      <c r="I577" s="47" t="s">
        <v>2831</v>
      </c>
      <c r="J577" s="73">
        <v>28790113</v>
      </c>
      <c r="K577" s="23" t="s">
        <v>4620</v>
      </c>
      <c r="L577" s="60" t="s">
        <v>3289</v>
      </c>
      <c r="M577" s="60" t="s">
        <v>3289</v>
      </c>
      <c r="N577" s="60" t="s">
        <v>3291</v>
      </c>
      <c r="O577" s="60"/>
      <c r="P577" s="60" t="s">
        <v>5493</v>
      </c>
      <c r="Q577" s="20">
        <v>4</v>
      </c>
    </row>
    <row r="578" spans="1:17" ht="32" x14ac:dyDescent="0.2">
      <c r="A578" s="71">
        <v>577</v>
      </c>
      <c r="B578" s="107" t="str">
        <f>HYPERLINK("https://www.ncbi.nlm.nih.gov/gene/4923", "4923")</f>
        <v>4923</v>
      </c>
      <c r="C578" s="109" t="str">
        <f>HYPERLINK("https://www.uniprot.org/uniprot/P30989", "P30989")</f>
        <v>P30989</v>
      </c>
      <c r="D578" s="43" t="s">
        <v>561</v>
      </c>
      <c r="E578" s="35" t="s">
        <v>561</v>
      </c>
      <c r="F578" s="30" t="s">
        <v>2128</v>
      </c>
      <c r="G578" s="30" t="s">
        <v>2129</v>
      </c>
      <c r="H578" s="30" t="s">
        <v>2130</v>
      </c>
      <c r="I578" s="47" t="s">
        <v>5327</v>
      </c>
      <c r="J578" s="73">
        <v>28790113</v>
      </c>
      <c r="K578" s="23" t="s">
        <v>3107</v>
      </c>
      <c r="L578" s="60" t="s">
        <v>3289</v>
      </c>
      <c r="M578" s="60" t="s">
        <v>3289</v>
      </c>
      <c r="N578" s="60" t="s">
        <v>3291</v>
      </c>
      <c r="O578" s="60"/>
      <c r="P578" s="60" t="s">
        <v>5493</v>
      </c>
      <c r="Q578" s="20">
        <v>4</v>
      </c>
    </row>
    <row r="579" spans="1:17" ht="112" x14ac:dyDescent="0.2">
      <c r="A579" s="71">
        <v>578</v>
      </c>
      <c r="B579" s="107" t="str">
        <f>HYPERLINK("https://www.ncbi.nlm.nih.gov/gene/23636", "23636")</f>
        <v>23636</v>
      </c>
      <c r="C579" s="113" t="str">
        <f>HYPERLINK("https://www.uniprot.org/uniprot/P37198", "P37198")</f>
        <v>P37198</v>
      </c>
      <c r="D579" s="43" t="s">
        <v>562</v>
      </c>
      <c r="E579" s="35" t="s">
        <v>562</v>
      </c>
      <c r="F579" s="30"/>
      <c r="G579" s="30" t="s">
        <v>2131</v>
      </c>
      <c r="H579" s="30" t="s">
        <v>4102</v>
      </c>
      <c r="I579" s="47" t="s">
        <v>5328</v>
      </c>
      <c r="J579" s="73">
        <v>22074739</v>
      </c>
      <c r="K579" s="23" t="s">
        <v>4621</v>
      </c>
      <c r="L579" s="60" t="s">
        <v>3291</v>
      </c>
      <c r="M579" s="60" t="s">
        <v>3292</v>
      </c>
      <c r="N579" s="60" t="s">
        <v>3291</v>
      </c>
      <c r="O579" s="60"/>
      <c r="P579" s="60" t="s">
        <v>3323</v>
      </c>
      <c r="Q579" s="20">
        <v>1</v>
      </c>
    </row>
    <row r="580" spans="1:17" ht="96" x14ac:dyDescent="0.2">
      <c r="A580" s="71">
        <v>579</v>
      </c>
      <c r="B580" s="107" t="str">
        <f>HYPERLINK("https://www.ncbi.nlm.nih.gov/gene/84876", "84876")</f>
        <v>84876</v>
      </c>
      <c r="C580" s="109" t="str">
        <f>HYPERLINK("https://www.uniprot.org/uniprot/Q96D31", "Q96D31")</f>
        <v>Q96D31</v>
      </c>
      <c r="D580" s="43" t="s">
        <v>563</v>
      </c>
      <c r="E580" s="16" t="s">
        <v>563</v>
      </c>
      <c r="F580" s="93" t="s">
        <v>2132</v>
      </c>
      <c r="G580" s="28" t="s">
        <v>2133</v>
      </c>
      <c r="H580" s="28" t="s">
        <v>2134</v>
      </c>
      <c r="I580" s="31" t="s">
        <v>5329</v>
      </c>
      <c r="J580" s="73" t="s">
        <v>3108</v>
      </c>
      <c r="K580" s="23" t="s">
        <v>4622</v>
      </c>
      <c r="L580" s="60" t="s">
        <v>3290</v>
      </c>
      <c r="M580" s="60" t="s">
        <v>3290</v>
      </c>
      <c r="N580" s="60" t="s">
        <v>3291</v>
      </c>
      <c r="O580" s="60"/>
      <c r="P580" s="60" t="s">
        <v>3323</v>
      </c>
      <c r="Q580" s="20">
        <v>1</v>
      </c>
    </row>
    <row r="581" spans="1:17" ht="64" x14ac:dyDescent="0.2">
      <c r="A581" s="71">
        <v>580</v>
      </c>
      <c r="B581" s="107" t="str">
        <f>HYPERLINK("https://www.ncbi.nlm.nih.gov/gene/5034", "5034")</f>
        <v>5034</v>
      </c>
      <c r="C581" s="109" t="str">
        <f>HYPERLINK("https://www.uniprot.org/uniprot/P07237", "P07237")</f>
        <v>P07237</v>
      </c>
      <c r="D581" s="43" t="s">
        <v>564</v>
      </c>
      <c r="E581" s="35" t="s">
        <v>564</v>
      </c>
      <c r="F581" s="30" t="s">
        <v>2135</v>
      </c>
      <c r="G581" s="30" t="s">
        <v>2136</v>
      </c>
      <c r="H581" s="30" t="s">
        <v>2137</v>
      </c>
      <c r="I581" s="47" t="s">
        <v>3342</v>
      </c>
      <c r="J581" s="73" t="s">
        <v>3109</v>
      </c>
      <c r="K581" s="23" t="s">
        <v>4896</v>
      </c>
      <c r="L581" s="60" t="s">
        <v>3289</v>
      </c>
      <c r="M581" s="60" t="s">
        <v>3289</v>
      </c>
      <c r="N581" s="60" t="s">
        <v>3291</v>
      </c>
      <c r="O581" s="60"/>
      <c r="P581" s="60" t="s">
        <v>3323</v>
      </c>
      <c r="Q581" s="20">
        <v>1</v>
      </c>
    </row>
    <row r="582" spans="1:17" ht="128" x14ac:dyDescent="0.2">
      <c r="A582" s="71">
        <v>581</v>
      </c>
      <c r="B582" s="107" t="str">
        <f>HYPERLINK("https://www.ncbi.nlm.nih.gov/gene/5058", "5058")</f>
        <v>5058</v>
      </c>
      <c r="C582" s="109" t="str">
        <f>HYPERLINK("https://www.uniprot.org/uniprot/Q13153", "Q13153")</f>
        <v>Q13153</v>
      </c>
      <c r="D582" s="43" t="s">
        <v>565</v>
      </c>
      <c r="E582" s="35" t="s">
        <v>565</v>
      </c>
      <c r="F582" s="30"/>
      <c r="G582" s="30" t="s">
        <v>5016</v>
      </c>
      <c r="H582" s="30" t="s">
        <v>2138</v>
      </c>
      <c r="I582" s="47" t="s">
        <v>5072</v>
      </c>
      <c r="J582" s="73" t="s">
        <v>3110</v>
      </c>
      <c r="K582" s="23" t="s">
        <v>4623</v>
      </c>
      <c r="L582" s="60" t="s">
        <v>3289</v>
      </c>
      <c r="M582" s="60" t="s">
        <v>3289</v>
      </c>
      <c r="N582" s="60" t="s">
        <v>3289</v>
      </c>
      <c r="O582" s="60"/>
      <c r="P582" s="60" t="s">
        <v>5493</v>
      </c>
      <c r="Q582" s="20">
        <v>4</v>
      </c>
    </row>
    <row r="583" spans="1:17" ht="160" x14ac:dyDescent="0.2">
      <c r="A583" s="71">
        <v>582</v>
      </c>
      <c r="B583" s="107" t="str">
        <f>HYPERLINK("https://www.ncbi.nlm.nih.gov/gene/57144", "57144")</f>
        <v>57144</v>
      </c>
      <c r="C583" s="109" t="str">
        <f>HYPERLINK("https://www.uniprot.org/uniprot/Q9P286", "Q9P286")</f>
        <v>Q9P286</v>
      </c>
      <c r="D583" s="43" t="s">
        <v>566</v>
      </c>
      <c r="E583" s="35" t="s">
        <v>566</v>
      </c>
      <c r="F583" s="30" t="s">
        <v>2139</v>
      </c>
      <c r="G583" s="30" t="s">
        <v>2140</v>
      </c>
      <c r="H583" s="30" t="s">
        <v>4103</v>
      </c>
      <c r="I583" s="47" t="s">
        <v>5330</v>
      </c>
      <c r="J583" s="73" t="s">
        <v>3111</v>
      </c>
      <c r="K583" s="23" t="s">
        <v>4624</v>
      </c>
      <c r="L583" s="60" t="s">
        <v>3289</v>
      </c>
      <c r="M583" s="60" t="s">
        <v>3289</v>
      </c>
      <c r="N583" s="60" t="s">
        <v>3291</v>
      </c>
      <c r="O583" s="60"/>
      <c r="P583" s="60" t="s">
        <v>5493</v>
      </c>
      <c r="Q583" s="20">
        <v>4</v>
      </c>
    </row>
    <row r="584" spans="1:17" ht="144" x14ac:dyDescent="0.2">
      <c r="A584" s="71">
        <v>583</v>
      </c>
      <c r="B584" s="107" t="str">
        <f>HYPERLINK("https://www.ncbi.nlm.nih.gov/gene/79728", "79728")</f>
        <v>79728</v>
      </c>
      <c r="C584" s="109" t="str">
        <f>HYPERLINK("https://www.uniprot.org/uniprot/Q86YC2", "Q86YC2")</f>
        <v>Q86YC2</v>
      </c>
      <c r="D584" s="43" t="s">
        <v>567</v>
      </c>
      <c r="E584" s="38" t="s">
        <v>567</v>
      </c>
      <c r="F584" s="6" t="s">
        <v>2141</v>
      </c>
      <c r="G584" s="28" t="s">
        <v>5017</v>
      </c>
      <c r="H584" s="6" t="s">
        <v>4104</v>
      </c>
      <c r="I584" s="49" t="s">
        <v>3332</v>
      </c>
      <c r="J584" s="73" t="s">
        <v>3112</v>
      </c>
      <c r="K584" s="5" t="s">
        <v>3791</v>
      </c>
      <c r="L584" s="60" t="s">
        <v>3290</v>
      </c>
      <c r="M584" s="60" t="s">
        <v>3290</v>
      </c>
      <c r="N584" s="60" t="s">
        <v>3291</v>
      </c>
      <c r="O584" s="60"/>
      <c r="P584" s="60" t="s">
        <v>5494</v>
      </c>
      <c r="Q584" s="20">
        <v>4</v>
      </c>
    </row>
    <row r="585" spans="1:17" ht="96" x14ac:dyDescent="0.2">
      <c r="A585" s="71">
        <v>584</v>
      </c>
      <c r="B585" s="107" t="str">
        <f>HYPERLINK("https://www.ncbi.nlm.nih.gov/gene/23022", "23022")</f>
        <v>23022</v>
      </c>
      <c r="C585" s="109" t="str">
        <f>HYPERLINK("https://www.uniprot.org/uniprot/Q8WX93", "Q8WX93")</f>
        <v>Q8WX93</v>
      </c>
      <c r="D585" s="43" t="s">
        <v>568</v>
      </c>
      <c r="E585" s="16" t="s">
        <v>568</v>
      </c>
      <c r="F585" s="5"/>
      <c r="G585" s="28" t="s">
        <v>2142</v>
      </c>
      <c r="H585" s="6" t="s">
        <v>4105</v>
      </c>
      <c r="I585" s="49" t="s">
        <v>5331</v>
      </c>
      <c r="J585" s="73">
        <v>27641360</v>
      </c>
      <c r="K585" s="13" t="s">
        <v>3617</v>
      </c>
      <c r="L585" s="60" t="s">
        <v>3289</v>
      </c>
      <c r="M585" s="60" t="s">
        <v>3289</v>
      </c>
      <c r="N585" s="60" t="s">
        <v>3291</v>
      </c>
      <c r="O585" s="60"/>
      <c r="P585" s="60" t="s">
        <v>5495</v>
      </c>
      <c r="Q585" s="20">
        <v>2</v>
      </c>
    </row>
    <row r="586" spans="1:17" ht="96" x14ac:dyDescent="0.2">
      <c r="A586" s="71">
        <v>585</v>
      </c>
      <c r="B586" s="107" t="str">
        <f>HYPERLINK("https://www.ncbi.nlm.nih.gov/gene/9061", "9061")</f>
        <v>9061</v>
      </c>
      <c r="C586" s="109" t="str">
        <f>HYPERLINK("https://www.uniprot.org/uniprot/O43252", "O43252")</f>
        <v>O43252</v>
      </c>
      <c r="D586" s="43" t="s">
        <v>569</v>
      </c>
      <c r="E586" s="35" t="s">
        <v>569</v>
      </c>
      <c r="F586" s="30" t="s">
        <v>2143</v>
      </c>
      <c r="G586" s="30" t="s">
        <v>2144</v>
      </c>
      <c r="H586" s="30" t="s">
        <v>2145</v>
      </c>
      <c r="I586" s="47" t="s">
        <v>3342</v>
      </c>
      <c r="J586" s="73">
        <v>28790117</v>
      </c>
      <c r="K586" s="23" t="s">
        <v>4625</v>
      </c>
      <c r="L586" s="60" t="s">
        <v>3289</v>
      </c>
      <c r="M586" s="60" t="s">
        <v>3289</v>
      </c>
      <c r="N586" s="60" t="s">
        <v>3291</v>
      </c>
      <c r="O586" s="60"/>
      <c r="P586" s="60" t="s">
        <v>5494</v>
      </c>
      <c r="Q586" s="20">
        <v>5</v>
      </c>
    </row>
    <row r="587" spans="1:17" ht="112" x14ac:dyDescent="0.2">
      <c r="A587" s="71">
        <v>586</v>
      </c>
      <c r="B587" s="107" t="str">
        <f>HYPERLINK("https://www.ncbi.nlm.nih.gov/gene/152559", "152559")</f>
        <v>152559</v>
      </c>
      <c r="C587" s="109" t="str">
        <f>HYPERLINK("https://www.uniprot.org/uniprot/Q6TCH7", "Q6TCH7")</f>
        <v>Q6TCH7</v>
      </c>
      <c r="D587" s="43" t="s">
        <v>570</v>
      </c>
      <c r="E587" s="35" t="s">
        <v>570</v>
      </c>
      <c r="F587" s="30"/>
      <c r="G587" s="30" t="s">
        <v>2146</v>
      </c>
      <c r="H587" s="30" t="s">
        <v>4106</v>
      </c>
      <c r="I587" s="47" t="s">
        <v>5332</v>
      </c>
      <c r="J587" s="73">
        <v>28473198</v>
      </c>
      <c r="K587" s="23" t="s">
        <v>4626</v>
      </c>
      <c r="L587" s="60" t="s">
        <v>3291</v>
      </c>
      <c r="M587" s="60" t="s">
        <v>3292</v>
      </c>
      <c r="N587" s="60" t="s">
        <v>3291</v>
      </c>
      <c r="O587" s="60"/>
      <c r="P587" s="60" t="s">
        <v>3323</v>
      </c>
      <c r="Q587" s="20">
        <v>1</v>
      </c>
    </row>
    <row r="588" spans="1:17" ht="80" x14ac:dyDescent="0.2">
      <c r="A588" s="71">
        <v>587</v>
      </c>
      <c r="B588" s="107" t="str">
        <f>HYPERLINK("https://www.ncbi.nlm.nih.gov/gene/8505", "8505")</f>
        <v>8505</v>
      </c>
      <c r="C588" s="109" t="str">
        <f>HYPERLINK("https://www.uniprot.org/uniprot/Q86W56", "Q86W56")</f>
        <v>Q86W56</v>
      </c>
      <c r="D588" s="43" t="s">
        <v>571</v>
      </c>
      <c r="E588" s="35" t="s">
        <v>571</v>
      </c>
      <c r="F588" s="30"/>
      <c r="G588" s="30" t="s">
        <v>2147</v>
      </c>
      <c r="H588" s="30" t="s">
        <v>4107</v>
      </c>
      <c r="I588" s="47" t="s">
        <v>3332</v>
      </c>
      <c r="J588" s="73">
        <v>22785358</v>
      </c>
      <c r="K588" s="23" t="s">
        <v>4627</v>
      </c>
      <c r="L588" s="60" t="s">
        <v>3291</v>
      </c>
      <c r="M588" s="60" t="s">
        <v>3289</v>
      </c>
      <c r="N588" s="60" t="s">
        <v>3291</v>
      </c>
      <c r="O588" s="60"/>
      <c r="P588" s="60" t="s">
        <v>3323</v>
      </c>
      <c r="Q588" s="20">
        <v>1</v>
      </c>
    </row>
    <row r="589" spans="1:17" ht="128" x14ac:dyDescent="0.2">
      <c r="A589" s="71">
        <v>588</v>
      </c>
      <c r="B589" s="107" t="str">
        <f>HYPERLINK("https://www.ncbi.nlm.nih.gov/gene/11315", "11315")</f>
        <v>11315</v>
      </c>
      <c r="C589" s="109" t="str">
        <f>HYPERLINK("https://www.uniprot.org/uniprot/Q99497", "Q99497")</f>
        <v>Q99497</v>
      </c>
      <c r="D589" s="43" t="s">
        <v>572</v>
      </c>
      <c r="E589" s="35" t="s">
        <v>572</v>
      </c>
      <c r="F589" s="30" t="s">
        <v>2148</v>
      </c>
      <c r="G589" s="30" t="s">
        <v>2149</v>
      </c>
      <c r="H589" s="30" t="s">
        <v>4112</v>
      </c>
      <c r="I589" s="47" t="s">
        <v>5333</v>
      </c>
      <c r="J589" s="73" t="s">
        <v>3113</v>
      </c>
      <c r="K589" s="23" t="s">
        <v>4628</v>
      </c>
      <c r="L589" s="60" t="s">
        <v>3289</v>
      </c>
      <c r="M589" s="60" t="s">
        <v>3289</v>
      </c>
      <c r="N589" s="60" t="s">
        <v>3291</v>
      </c>
      <c r="O589" s="60"/>
      <c r="P589" s="60" t="s">
        <v>5492</v>
      </c>
      <c r="Q589" s="20">
        <v>4</v>
      </c>
    </row>
    <row r="590" spans="1:17" ht="112" x14ac:dyDescent="0.2">
      <c r="A590" s="71">
        <v>589</v>
      </c>
      <c r="B590" s="107" t="str">
        <f>HYPERLINK("https://www.ncbi.nlm.nih.gov/gene/142", "142")</f>
        <v>142</v>
      </c>
      <c r="C590" s="109" t="str">
        <f>HYPERLINK("https://www.uniprot.org/uniprot/P09874", "P09874")</f>
        <v>P09874</v>
      </c>
      <c r="D590" s="43" t="s">
        <v>573</v>
      </c>
      <c r="E590" s="16" t="s">
        <v>573</v>
      </c>
      <c r="F590" s="28"/>
      <c r="G590" s="28" t="s">
        <v>5018</v>
      </c>
      <c r="H590" s="28" t="s">
        <v>2150</v>
      </c>
      <c r="I590" s="31" t="s">
        <v>3332</v>
      </c>
      <c r="J590" s="73" t="s">
        <v>3114</v>
      </c>
      <c r="K590" s="23" t="s">
        <v>4629</v>
      </c>
      <c r="L590" s="60" t="s">
        <v>3289</v>
      </c>
      <c r="M590" s="60" t="s">
        <v>3289</v>
      </c>
      <c r="N590" s="60" t="s">
        <v>3313</v>
      </c>
      <c r="O590" s="60" t="s">
        <v>5509</v>
      </c>
      <c r="P590" s="60" t="s">
        <v>5495</v>
      </c>
      <c r="Q590" s="20">
        <v>2</v>
      </c>
    </row>
    <row r="591" spans="1:17" ht="80" x14ac:dyDescent="0.2">
      <c r="A591" s="71">
        <v>590</v>
      </c>
      <c r="B591" s="107" t="str">
        <f>HYPERLINK("https://www.ncbi.nlm.nih.gov/gene/10038", "10038")</f>
        <v>10038</v>
      </c>
      <c r="C591" s="109" t="str">
        <f>HYPERLINK("https://www.uniprot.org/uniprot/Q9UGN5", "Q9UGN5")</f>
        <v>Q9UGN5</v>
      </c>
      <c r="D591" s="43" t="s">
        <v>574</v>
      </c>
      <c r="E591" s="16" t="s">
        <v>574</v>
      </c>
      <c r="F591" s="28"/>
      <c r="G591" s="28" t="s">
        <v>5019</v>
      </c>
      <c r="H591" s="28" t="s">
        <v>2150</v>
      </c>
      <c r="I591" s="31" t="s">
        <v>3332</v>
      </c>
      <c r="J591" s="73">
        <v>20798217</v>
      </c>
      <c r="K591" s="23" t="s">
        <v>3115</v>
      </c>
      <c r="L591" s="60" t="s">
        <v>3289</v>
      </c>
      <c r="M591" s="60" t="s">
        <v>3289</v>
      </c>
      <c r="N591" s="60" t="s">
        <v>3291</v>
      </c>
      <c r="O591" s="60" t="s">
        <v>5509</v>
      </c>
      <c r="P591" s="60" t="s">
        <v>3323</v>
      </c>
      <c r="Q591" s="20">
        <v>1</v>
      </c>
    </row>
    <row r="592" spans="1:17" ht="80" x14ac:dyDescent="0.2">
      <c r="A592" s="71">
        <v>591</v>
      </c>
      <c r="B592" s="107" t="str">
        <f>HYPERLINK("https://www.ncbi.nlm.nih.gov/gene/5076", "5076")</f>
        <v>5076</v>
      </c>
      <c r="C592" s="109" t="str">
        <f>HYPERLINK("https://www.uniprot.org/uniprot/Q02962", "Q02962")</f>
        <v>Q02962</v>
      </c>
      <c r="D592" s="43" t="s">
        <v>575</v>
      </c>
      <c r="E592" s="35" t="s">
        <v>575</v>
      </c>
      <c r="F592" s="30"/>
      <c r="G592" s="30" t="s">
        <v>5020</v>
      </c>
      <c r="H592" s="30" t="s">
        <v>4108</v>
      </c>
      <c r="I592" s="47" t="s">
        <v>2824</v>
      </c>
      <c r="J592" s="73" t="s">
        <v>3116</v>
      </c>
      <c r="K592" s="23" t="s">
        <v>4630</v>
      </c>
      <c r="L592" s="60" t="s">
        <v>3289</v>
      </c>
      <c r="M592" s="60" t="s">
        <v>3289</v>
      </c>
      <c r="N592" s="60" t="s">
        <v>3291</v>
      </c>
      <c r="O592" s="60"/>
      <c r="P592" s="60" t="s">
        <v>5495</v>
      </c>
      <c r="Q592" s="20">
        <v>2</v>
      </c>
    </row>
    <row r="593" spans="1:17" ht="64" x14ac:dyDescent="0.2">
      <c r="A593" s="71">
        <v>592</v>
      </c>
      <c r="B593" s="107" t="str">
        <f>HYPERLINK("https://www.ncbi.nlm.nih.gov/gene/22976", "22976")</f>
        <v>22976</v>
      </c>
      <c r="C593" s="109" t="str">
        <f>HYPERLINK("https://www.uniprot.org/uniprot/Q6ZW49", "Q6ZW49")</f>
        <v>Q6ZW49</v>
      </c>
      <c r="D593" s="43" t="s">
        <v>658</v>
      </c>
      <c r="E593" s="16" t="s">
        <v>658</v>
      </c>
      <c r="F593" s="28" t="s">
        <v>2313</v>
      </c>
      <c r="G593" s="28" t="s">
        <v>2314</v>
      </c>
      <c r="H593" s="28" t="s">
        <v>2315</v>
      </c>
      <c r="I593" s="31" t="s">
        <v>3333</v>
      </c>
      <c r="J593" s="73">
        <v>27443740</v>
      </c>
      <c r="K593" s="30" t="s">
        <v>4631</v>
      </c>
      <c r="L593" s="60" t="s">
        <v>3291</v>
      </c>
      <c r="M593" s="60" t="s">
        <v>3292</v>
      </c>
      <c r="N593" s="60" t="s">
        <v>3291</v>
      </c>
      <c r="O593" s="60"/>
      <c r="P593" s="60" t="s">
        <v>5495</v>
      </c>
      <c r="Q593" s="20">
        <v>2</v>
      </c>
    </row>
    <row r="594" spans="1:17" ht="112" x14ac:dyDescent="0.2">
      <c r="A594" s="71">
        <v>593</v>
      </c>
      <c r="B594" s="107" t="str">
        <f>HYPERLINK("https://www.ncbi.nlm.nih.gov/gene/5087", "5087")</f>
        <v>5087</v>
      </c>
      <c r="C594" s="109" t="str">
        <f>HYPERLINK("https://www.uniprot.org/uniprot/P40424", "P40424")</f>
        <v>P40424</v>
      </c>
      <c r="D594" s="43" t="s">
        <v>576</v>
      </c>
      <c r="E594" s="35" t="s">
        <v>576</v>
      </c>
      <c r="F594" s="30" t="s">
        <v>2151</v>
      </c>
      <c r="G594" s="30" t="s">
        <v>2152</v>
      </c>
      <c r="H594" s="30" t="s">
        <v>2153</v>
      </c>
      <c r="I594" s="47" t="s">
        <v>5132</v>
      </c>
      <c r="J594" s="73">
        <v>27590741</v>
      </c>
      <c r="K594" s="23" t="s">
        <v>4632</v>
      </c>
      <c r="L594" s="60" t="s">
        <v>3289</v>
      </c>
      <c r="M594" s="60" t="s">
        <v>3289</v>
      </c>
      <c r="N594" s="60" t="s">
        <v>3291</v>
      </c>
      <c r="O594" s="60"/>
      <c r="P594" s="60" t="s">
        <v>5493</v>
      </c>
      <c r="Q594" s="20">
        <v>4</v>
      </c>
    </row>
    <row r="595" spans="1:17" ht="80" x14ac:dyDescent="0.2">
      <c r="A595" s="71">
        <v>594</v>
      </c>
      <c r="B595" s="107" t="str">
        <f>HYPERLINK("https://www.ncbi.nlm.nih.gov/gene/57326", "57326")</f>
        <v>57326</v>
      </c>
      <c r="C595" s="109" t="str">
        <f>HYPERLINK("https://www.uniprot.org/uniprot/Q96AQ6", "Q96AQ6")</f>
        <v>Q96AQ6</v>
      </c>
      <c r="D595" s="43" t="s">
        <v>577</v>
      </c>
      <c r="E595" s="35" t="s">
        <v>577</v>
      </c>
      <c r="F595" s="30" t="s">
        <v>2154</v>
      </c>
      <c r="G595" s="30" t="s">
        <v>2155</v>
      </c>
      <c r="H595" s="30" t="s">
        <v>2156</v>
      </c>
      <c r="I595" s="47" t="s">
        <v>5334</v>
      </c>
      <c r="J595" s="73">
        <v>28039608</v>
      </c>
      <c r="K595" s="23" t="s">
        <v>4633</v>
      </c>
      <c r="L595" s="60" t="s">
        <v>3289</v>
      </c>
      <c r="M595" s="60" t="s">
        <v>3289</v>
      </c>
      <c r="N595" s="60" t="s">
        <v>3289</v>
      </c>
      <c r="O595" s="60"/>
      <c r="P595" s="60" t="s">
        <v>5492</v>
      </c>
      <c r="Q595" s="20">
        <v>4</v>
      </c>
    </row>
    <row r="596" spans="1:17" ht="96" x14ac:dyDescent="0.2">
      <c r="A596" s="71">
        <v>595</v>
      </c>
      <c r="B596" s="107" t="str">
        <f>HYPERLINK("https://www.ncbi.nlm.nih.gov/gene/9768", "9768")</f>
        <v>9768</v>
      </c>
      <c r="C596" s="109" t="str">
        <f>HYPERLINK("https://www.uniprot.org/uniprot/Q15004", "Q15004")</f>
        <v>Q15004</v>
      </c>
      <c r="D596" s="43" t="s">
        <v>579</v>
      </c>
      <c r="E596" s="16" t="s">
        <v>579</v>
      </c>
      <c r="F596" s="28" t="s">
        <v>2158</v>
      </c>
      <c r="G596" s="28" t="s">
        <v>2159</v>
      </c>
      <c r="H596" s="28" t="s">
        <v>4109</v>
      </c>
      <c r="I596" s="31" t="s">
        <v>5335</v>
      </c>
      <c r="J596" s="73">
        <v>30129654</v>
      </c>
      <c r="K596" s="23" t="s">
        <v>4634</v>
      </c>
      <c r="L596" s="60" t="s">
        <v>3289</v>
      </c>
      <c r="M596" s="60" t="s">
        <v>3289</v>
      </c>
      <c r="N596" s="60" t="s">
        <v>3291</v>
      </c>
      <c r="O596" s="60"/>
      <c r="P596" s="60" t="s">
        <v>5492</v>
      </c>
      <c r="Q596" s="20">
        <v>4</v>
      </c>
    </row>
    <row r="597" spans="1:17" ht="144" x14ac:dyDescent="0.2">
      <c r="A597" s="71">
        <v>596</v>
      </c>
      <c r="B597" s="107" t="str">
        <f>HYPERLINK("https://www.ncbi.nlm.nih.gov/gene/5111", "5111")</f>
        <v>5111</v>
      </c>
      <c r="C597" s="109" t="str">
        <f>HYPERLINK("https://www.uniprot.org/uniprot/P12004", "P12004")</f>
        <v>P12004</v>
      </c>
      <c r="D597" s="43" t="s">
        <v>578</v>
      </c>
      <c r="E597" s="35" t="s">
        <v>578</v>
      </c>
      <c r="F597" s="30"/>
      <c r="G597" s="30" t="s">
        <v>2157</v>
      </c>
      <c r="H597" s="30" t="s">
        <v>3524</v>
      </c>
      <c r="I597" s="47" t="s">
        <v>5335</v>
      </c>
      <c r="J597" s="73" t="s">
        <v>3117</v>
      </c>
      <c r="K597" s="23" t="s">
        <v>4635</v>
      </c>
      <c r="L597" s="60" t="s">
        <v>3292</v>
      </c>
      <c r="M597" s="60" t="s">
        <v>5518</v>
      </c>
      <c r="N597" s="60" t="s">
        <v>3316</v>
      </c>
      <c r="O597" s="60"/>
      <c r="P597" s="60" t="s">
        <v>5494</v>
      </c>
      <c r="Q597" s="20">
        <v>5</v>
      </c>
    </row>
    <row r="598" spans="1:17" ht="96" x14ac:dyDescent="0.2">
      <c r="A598" s="71">
        <v>597</v>
      </c>
      <c r="B598" s="107" t="str">
        <f>HYPERLINK("https://www.ncbi.nlm.nih.gov/gene/27250", "27250")</f>
        <v>27250</v>
      </c>
      <c r="C598" s="109" t="str">
        <f>HYPERLINK("https://www.uniprot.org/uniprot/Q53EL6", "Q53EL6")</f>
        <v>Q53EL6</v>
      </c>
      <c r="D598" s="43" t="s">
        <v>580</v>
      </c>
      <c r="E598" s="35" t="s">
        <v>580</v>
      </c>
      <c r="F598" s="30" t="s">
        <v>2160</v>
      </c>
      <c r="G598" s="30" t="s">
        <v>2161</v>
      </c>
      <c r="H598" s="30" t="s">
        <v>4110</v>
      </c>
      <c r="I598" s="10" t="s">
        <v>5336</v>
      </c>
      <c r="J598" s="73">
        <v>20735432</v>
      </c>
      <c r="K598" s="23" t="s">
        <v>4636</v>
      </c>
      <c r="L598" s="60" t="s">
        <v>3292</v>
      </c>
      <c r="M598" s="60" t="s">
        <v>3292</v>
      </c>
      <c r="N598" s="60" t="s">
        <v>3291</v>
      </c>
      <c r="O598" s="60"/>
      <c r="P598" s="60" t="s">
        <v>5495</v>
      </c>
      <c r="Q598" s="20">
        <v>2</v>
      </c>
    </row>
    <row r="599" spans="1:17" ht="64" x14ac:dyDescent="0.2">
      <c r="A599" s="71">
        <v>598</v>
      </c>
      <c r="B599" s="107" t="str">
        <f>HYPERLINK("https://www.ncbi.nlm.nih.gov/gene/80310", "80310")</f>
        <v>80310</v>
      </c>
      <c r="C599" s="109" t="str">
        <f>HYPERLINK("https://www.uniprot.org/uniprot/Q9GZP0", "Q9GZP0")</f>
        <v>Q9GZP0</v>
      </c>
      <c r="D599" s="43" t="s">
        <v>581</v>
      </c>
      <c r="E599" s="35" t="s">
        <v>581</v>
      </c>
      <c r="F599" s="30" t="s">
        <v>2162</v>
      </c>
      <c r="G599" s="30" t="s">
        <v>2163</v>
      </c>
      <c r="H599" s="30" t="s">
        <v>2164</v>
      </c>
      <c r="I599" s="47" t="s">
        <v>2835</v>
      </c>
      <c r="J599" s="73">
        <v>29240605</v>
      </c>
      <c r="K599" s="23" t="s">
        <v>4637</v>
      </c>
      <c r="L599" s="60" t="s">
        <v>3289</v>
      </c>
      <c r="M599" s="60" t="s">
        <v>3289</v>
      </c>
      <c r="N599" s="60" t="s">
        <v>3291</v>
      </c>
      <c r="O599" s="60"/>
      <c r="P599" s="60" t="s">
        <v>5497</v>
      </c>
      <c r="Q599" s="20">
        <v>3</v>
      </c>
    </row>
    <row r="600" spans="1:17" ht="80" x14ac:dyDescent="0.2">
      <c r="A600" s="71">
        <v>599</v>
      </c>
      <c r="B600" s="107" t="str">
        <f>HYPERLINK("https://www.ncbi.nlm.nih.gov/gene/5156", "5156")</f>
        <v>5156</v>
      </c>
      <c r="C600" s="109" t="str">
        <f>HYPERLINK("https://www.uniprot.org/uniprot/P16234", "P16234")</f>
        <v>P16234</v>
      </c>
      <c r="D600" s="43" t="s">
        <v>582</v>
      </c>
      <c r="E600" s="16" t="s">
        <v>582</v>
      </c>
      <c r="F600" s="9" t="s">
        <v>2165</v>
      </c>
      <c r="G600" s="28" t="s">
        <v>2166</v>
      </c>
      <c r="H600" s="6" t="s">
        <v>4111</v>
      </c>
      <c r="I600" s="49" t="s">
        <v>2854</v>
      </c>
      <c r="J600" s="73">
        <v>22266184</v>
      </c>
      <c r="K600" s="13" t="s">
        <v>3792</v>
      </c>
      <c r="L600" s="60" t="s">
        <v>3289</v>
      </c>
      <c r="M600" s="60" t="s">
        <v>3289</v>
      </c>
      <c r="N600" s="60" t="s">
        <v>3291</v>
      </c>
      <c r="O600" s="60" t="s">
        <v>5509</v>
      </c>
      <c r="P600" s="60" t="s">
        <v>3323</v>
      </c>
      <c r="Q600" s="20">
        <v>1</v>
      </c>
    </row>
    <row r="601" spans="1:17" ht="96" x14ac:dyDescent="0.2">
      <c r="A601" s="71">
        <v>600</v>
      </c>
      <c r="B601" s="107" t="str">
        <f>HYPERLINK("https://www.ncbi.nlm.nih.gov/gene/5159", "5159")</f>
        <v>5159</v>
      </c>
      <c r="C601" s="109" t="str">
        <f>HYPERLINK("https://www.uniprot.org/uniprot/P09619", "P09619")</f>
        <v>P09619</v>
      </c>
      <c r="D601" s="43" t="s">
        <v>583</v>
      </c>
      <c r="E601" s="35" t="s">
        <v>583</v>
      </c>
      <c r="F601" s="30" t="s">
        <v>2167</v>
      </c>
      <c r="G601" s="30" t="s">
        <v>2168</v>
      </c>
      <c r="H601" s="30" t="s">
        <v>2169</v>
      </c>
      <c r="I601" s="47" t="s">
        <v>2854</v>
      </c>
      <c r="J601" s="73" t="s">
        <v>3835</v>
      </c>
      <c r="K601" s="23" t="s">
        <v>4638</v>
      </c>
      <c r="L601" s="60" t="s">
        <v>3289</v>
      </c>
      <c r="M601" s="60" t="s">
        <v>3289</v>
      </c>
      <c r="N601" s="60" t="s">
        <v>3291</v>
      </c>
      <c r="O601" s="60" t="s">
        <v>5509</v>
      </c>
      <c r="P601" s="60" t="s">
        <v>5492</v>
      </c>
      <c r="Q601" s="20">
        <v>4</v>
      </c>
    </row>
    <row r="602" spans="1:17" ht="96" x14ac:dyDescent="0.2">
      <c r="A602" s="71">
        <v>601</v>
      </c>
      <c r="B602" s="107" t="str">
        <f>HYPERLINK("https://www.ncbi.nlm.nih.gov/gene/2923", "2923")</f>
        <v>2923</v>
      </c>
      <c r="C602" s="109" t="str">
        <f>HYPERLINK("https://www.uniprot.org/uniprot/P30101", "P30101")</f>
        <v>P30101</v>
      </c>
      <c r="D602" s="43" t="s">
        <v>584</v>
      </c>
      <c r="E602" s="35" t="s">
        <v>584</v>
      </c>
      <c r="F602" s="30" t="s">
        <v>2170</v>
      </c>
      <c r="G602" s="30" t="s">
        <v>2171</v>
      </c>
      <c r="H602" s="30" t="s">
        <v>2172</v>
      </c>
      <c r="I602" s="47" t="s">
        <v>5337</v>
      </c>
      <c r="J602" s="73" t="s">
        <v>3118</v>
      </c>
      <c r="K602" s="30" t="s">
        <v>4639</v>
      </c>
      <c r="L602" s="60" t="s">
        <v>3289</v>
      </c>
      <c r="M602" s="60" t="s">
        <v>3289</v>
      </c>
      <c r="N602" s="60" t="s">
        <v>3289</v>
      </c>
      <c r="O602" s="60"/>
      <c r="P602" s="60" t="s">
        <v>3323</v>
      </c>
      <c r="Q602" s="20">
        <v>1</v>
      </c>
    </row>
    <row r="603" spans="1:17" ht="96" x14ac:dyDescent="0.2">
      <c r="A603" s="71">
        <v>602</v>
      </c>
      <c r="B603" s="107" t="str">
        <f>HYPERLINK("https://www.ncbi.nlm.nih.gov/gene/5163", "5163")</f>
        <v>5163</v>
      </c>
      <c r="C603" s="109" t="str">
        <f>HYPERLINK("https://www.uniprot.org/uniprot/Q15118", "Q15118")</f>
        <v>Q15118</v>
      </c>
      <c r="D603" s="43" t="s">
        <v>585</v>
      </c>
      <c r="E603" s="35" t="s">
        <v>585</v>
      </c>
      <c r="F603" s="30" t="s">
        <v>2173</v>
      </c>
      <c r="G603" s="30" t="s">
        <v>2174</v>
      </c>
      <c r="H603" s="30" t="s">
        <v>2175</v>
      </c>
      <c r="I603" s="47" t="s">
        <v>5338</v>
      </c>
      <c r="J603" s="73">
        <v>30229902</v>
      </c>
      <c r="K603" s="30" t="s">
        <v>4640</v>
      </c>
      <c r="L603" s="60" t="s">
        <v>3289</v>
      </c>
      <c r="M603" s="60" t="s">
        <v>3289</v>
      </c>
      <c r="N603" s="60" t="s">
        <v>3291</v>
      </c>
      <c r="O603" s="60"/>
      <c r="P603" s="60" t="s">
        <v>5499</v>
      </c>
      <c r="Q603" s="20">
        <v>5</v>
      </c>
    </row>
    <row r="604" spans="1:17" ht="144" x14ac:dyDescent="0.2">
      <c r="A604" s="71">
        <v>603</v>
      </c>
      <c r="B604" s="107" t="str">
        <f>HYPERLINK("https://www.ncbi.nlm.nih.gov/gene/5166", "5166")</f>
        <v>5166</v>
      </c>
      <c r="C604" s="109" t="str">
        <f>HYPERLINK("https://www.uniprot.org/uniprot/Q16654", "Q16654")</f>
        <v>Q16654</v>
      </c>
      <c r="D604" s="43" t="s">
        <v>586</v>
      </c>
      <c r="E604" s="35" t="s">
        <v>586</v>
      </c>
      <c r="F604" s="30" t="s">
        <v>2176</v>
      </c>
      <c r="G604" s="30" t="s">
        <v>4963</v>
      </c>
      <c r="H604" s="30" t="s">
        <v>2178</v>
      </c>
      <c r="I604" s="47" t="s">
        <v>3353</v>
      </c>
      <c r="J604" s="73" t="s">
        <v>3640</v>
      </c>
      <c r="K604" s="23" t="s">
        <v>4641</v>
      </c>
      <c r="L604" s="60" t="s">
        <v>3289</v>
      </c>
      <c r="M604" s="60" t="s">
        <v>3289</v>
      </c>
      <c r="N604" s="60" t="s">
        <v>3291</v>
      </c>
      <c r="O604" s="60"/>
      <c r="P604" s="60" t="s">
        <v>5495</v>
      </c>
      <c r="Q604" s="20">
        <v>2</v>
      </c>
    </row>
    <row r="605" spans="1:17" ht="128" x14ac:dyDescent="0.2">
      <c r="A605" s="71">
        <v>604</v>
      </c>
      <c r="B605" s="107" t="str">
        <f>HYPERLINK("https://www.ncbi.nlm.nih.gov/gene/5170", "5170")</f>
        <v>5170</v>
      </c>
      <c r="C605" s="109" t="str">
        <f>HYPERLINK("https://www.uniprot.org/uniprot/O15530", "O15530")</f>
        <v>O15530</v>
      </c>
      <c r="D605" s="43" t="s">
        <v>587</v>
      </c>
      <c r="E605" s="35" t="s">
        <v>587</v>
      </c>
      <c r="F605" s="30" t="s">
        <v>585</v>
      </c>
      <c r="G605" s="30" t="s">
        <v>2177</v>
      </c>
      <c r="H605" s="30" t="s">
        <v>4113</v>
      </c>
      <c r="I605" s="47" t="s">
        <v>2847</v>
      </c>
      <c r="J605" s="73" t="s">
        <v>3604</v>
      </c>
      <c r="K605" s="23" t="s">
        <v>4642</v>
      </c>
      <c r="L605" s="60" t="s">
        <v>3289</v>
      </c>
      <c r="M605" s="60" t="s">
        <v>3289</v>
      </c>
      <c r="N605" s="60" t="s">
        <v>3292</v>
      </c>
      <c r="O605" s="60"/>
      <c r="P605" s="60" t="s">
        <v>3323</v>
      </c>
      <c r="Q605" s="20">
        <v>1</v>
      </c>
    </row>
    <row r="606" spans="1:17" ht="128" x14ac:dyDescent="0.2">
      <c r="A606" s="71">
        <v>605</v>
      </c>
      <c r="B606" s="107" t="str">
        <f>HYPERLINK("https://www.ncbi.nlm.nih.gov/gene/8566", "8566")</f>
        <v>8566</v>
      </c>
      <c r="C606" s="109" t="str">
        <f>HYPERLINK("https://www.uniprot.org/uniprot/O00764", "O00764")</f>
        <v>O00764</v>
      </c>
      <c r="D606" s="43" t="s">
        <v>588</v>
      </c>
      <c r="E606" s="35" t="s">
        <v>588</v>
      </c>
      <c r="F606" s="30" t="s">
        <v>2179</v>
      </c>
      <c r="G606" s="30" t="s">
        <v>2180</v>
      </c>
      <c r="H606" s="30" t="s">
        <v>2181</v>
      </c>
      <c r="I606" s="47" t="s">
        <v>3378</v>
      </c>
      <c r="J606" s="73" t="s">
        <v>3119</v>
      </c>
      <c r="K606" s="23" t="s">
        <v>3618</v>
      </c>
      <c r="L606" s="60" t="s">
        <v>3292</v>
      </c>
      <c r="M606" s="60" t="s">
        <v>3292</v>
      </c>
      <c r="N606" s="60" t="s">
        <v>3291</v>
      </c>
      <c r="O606" s="60"/>
      <c r="P606" s="60" t="s">
        <v>5493</v>
      </c>
      <c r="Q606" s="20">
        <v>4</v>
      </c>
    </row>
    <row r="607" spans="1:17" ht="48" x14ac:dyDescent="0.2">
      <c r="A607" s="71">
        <v>606</v>
      </c>
      <c r="B607" s="107" t="str">
        <f>HYPERLINK("https://www.ncbi.nlm.nih.gov/gene/57026", "57026")</f>
        <v>57026</v>
      </c>
      <c r="C607" s="109" t="str">
        <f>HYPERLINK("https://www.uniprot.org/uniprot/Q96GD0", "Q96GD0")</f>
        <v>Q96GD0</v>
      </c>
      <c r="D607" s="43" t="s">
        <v>589</v>
      </c>
      <c r="E607" s="35" t="s">
        <v>589</v>
      </c>
      <c r="F607" s="30" t="s">
        <v>2182</v>
      </c>
      <c r="G607" s="30" t="s">
        <v>2183</v>
      </c>
      <c r="H607" s="30" t="s">
        <v>4114</v>
      </c>
      <c r="I607" s="47" t="s">
        <v>3378</v>
      </c>
      <c r="J607" s="73" t="s">
        <v>3119</v>
      </c>
      <c r="K607" s="23" t="s">
        <v>3619</v>
      </c>
      <c r="L607" s="60" t="s">
        <v>3291</v>
      </c>
      <c r="M607" s="60" t="s">
        <v>3289</v>
      </c>
      <c r="N607" s="60" t="s">
        <v>3291</v>
      </c>
      <c r="O607" s="60"/>
      <c r="P607" s="60" t="s">
        <v>3323</v>
      </c>
      <c r="Q607" s="20">
        <v>1</v>
      </c>
    </row>
    <row r="608" spans="1:17" ht="48" x14ac:dyDescent="0.2">
      <c r="A608" s="71">
        <v>607</v>
      </c>
      <c r="B608" s="107" t="str">
        <f>HYPERLINK("https://www.ncbi.nlm.nih.gov/gene/5174", "5174")</f>
        <v>5174</v>
      </c>
      <c r="C608" s="109" t="str">
        <f>HYPERLINK("https://www.uniprot.org/uniprot/Q5T2W1", "Q5T2W1")</f>
        <v>Q5T2W1</v>
      </c>
      <c r="D608" s="43" t="s">
        <v>590</v>
      </c>
      <c r="E608" s="35" t="s">
        <v>590</v>
      </c>
      <c r="F608" s="30" t="s">
        <v>2184</v>
      </c>
      <c r="G608" s="30" t="s">
        <v>2185</v>
      </c>
      <c r="H608" s="30" t="s">
        <v>2186</v>
      </c>
      <c r="I608" s="47" t="s">
        <v>3843</v>
      </c>
      <c r="J608" s="73">
        <v>27322682</v>
      </c>
      <c r="K608" s="23" t="s">
        <v>3120</v>
      </c>
      <c r="L608" s="60" t="s">
        <v>3291</v>
      </c>
      <c r="M608" s="60" t="s">
        <v>3289</v>
      </c>
      <c r="N608" s="60" t="s">
        <v>3291</v>
      </c>
      <c r="O608" s="60"/>
      <c r="P608" s="60" t="s">
        <v>3323</v>
      </c>
      <c r="Q608" s="20">
        <v>1</v>
      </c>
    </row>
    <row r="609" spans="1:17" ht="160" x14ac:dyDescent="0.2">
      <c r="A609" s="71">
        <v>608</v>
      </c>
      <c r="B609" s="107" t="str">
        <f>HYPERLINK("https://www.ncbi.nlm.nih.gov/gene/8682", "8682")</f>
        <v>8682</v>
      </c>
      <c r="C609" s="109" t="str">
        <f>HYPERLINK("https://www.uniprot.org/uniprot/Q15121", "Q15121")</f>
        <v>Q15121</v>
      </c>
      <c r="D609" s="43" t="s">
        <v>591</v>
      </c>
      <c r="E609" s="35" t="s">
        <v>591</v>
      </c>
      <c r="F609" s="30" t="s">
        <v>2187</v>
      </c>
      <c r="G609" s="30" t="s">
        <v>2188</v>
      </c>
      <c r="H609" s="30" t="s">
        <v>3516</v>
      </c>
      <c r="I609" s="47" t="s">
        <v>5339</v>
      </c>
      <c r="J609" s="73" t="s">
        <v>3121</v>
      </c>
      <c r="K609" s="58" t="s">
        <v>4643</v>
      </c>
      <c r="L609" s="60" t="s">
        <v>3295</v>
      </c>
      <c r="M609" s="60" t="s">
        <v>3295</v>
      </c>
      <c r="N609" s="60" t="s">
        <v>3291</v>
      </c>
      <c r="O609" s="60"/>
      <c r="P609" s="60" t="s">
        <v>5495</v>
      </c>
      <c r="Q609" s="20">
        <v>2</v>
      </c>
    </row>
    <row r="610" spans="1:17" ht="96" x14ac:dyDescent="0.2">
      <c r="A610" s="71">
        <v>609</v>
      </c>
      <c r="B610" s="107" t="str">
        <f>HYPERLINK("https://www.ncbi.nlm.nih.gov/gene/8864", "8864")</f>
        <v>8864</v>
      </c>
      <c r="C610" s="109" t="str">
        <f>HYPERLINK("https://www.uniprot.org/uniprot/O15055", "O15055")</f>
        <v>O15055</v>
      </c>
      <c r="D610" s="43" t="s">
        <v>592</v>
      </c>
      <c r="E610" s="35" t="s">
        <v>592</v>
      </c>
      <c r="F610" s="30"/>
      <c r="G610" s="30" t="s">
        <v>2189</v>
      </c>
      <c r="H610" s="30" t="s">
        <v>2190</v>
      </c>
      <c r="I610" s="47" t="s">
        <v>5340</v>
      </c>
      <c r="J610" s="73">
        <v>33244267</v>
      </c>
      <c r="K610" s="58" t="s">
        <v>4644</v>
      </c>
      <c r="L610" s="60" t="s">
        <v>3292</v>
      </c>
      <c r="M610" s="60" t="s">
        <v>3292</v>
      </c>
      <c r="N610" s="60" t="s">
        <v>3291</v>
      </c>
      <c r="O610" s="60"/>
      <c r="P610" s="60" t="s">
        <v>5495</v>
      </c>
      <c r="Q610" s="20">
        <v>2</v>
      </c>
    </row>
    <row r="611" spans="1:17" ht="80" x14ac:dyDescent="0.2">
      <c r="A611" s="71">
        <v>610</v>
      </c>
      <c r="B611" s="107" t="str">
        <f>HYPERLINK("https://www.ncbi.nlm.nih.gov/gene/5209", "5209")</f>
        <v>5209</v>
      </c>
      <c r="C611" s="109" t="str">
        <f>HYPERLINK("https://www.uniprot.org/uniprot/Q16875", "Q16875")</f>
        <v>Q16875</v>
      </c>
      <c r="D611" s="43" t="s">
        <v>593</v>
      </c>
      <c r="E611" s="16" t="s">
        <v>593</v>
      </c>
      <c r="F611" s="9"/>
      <c r="G611" s="28" t="s">
        <v>2191</v>
      </c>
      <c r="H611" s="6" t="s">
        <v>2192</v>
      </c>
      <c r="I611" s="49" t="s">
        <v>5341</v>
      </c>
      <c r="J611" s="73" t="s">
        <v>3122</v>
      </c>
      <c r="K611" s="13" t="s">
        <v>3876</v>
      </c>
      <c r="L611" s="60" t="s">
        <v>3289</v>
      </c>
      <c r="M611" s="60" t="s">
        <v>3289</v>
      </c>
      <c r="N611" s="60" t="s">
        <v>3314</v>
      </c>
      <c r="O611" s="60"/>
      <c r="P611" s="60" t="s">
        <v>5495</v>
      </c>
      <c r="Q611" s="20">
        <v>2</v>
      </c>
    </row>
    <row r="612" spans="1:17" ht="96" x14ac:dyDescent="0.2">
      <c r="A612" s="71">
        <v>611</v>
      </c>
      <c r="B612" s="107" t="str">
        <f>HYPERLINK("https://www.ncbi.nlm.nih.gov/gene/5226", "5226")</f>
        <v>5226</v>
      </c>
      <c r="C612" s="109" t="str">
        <f>HYPERLINK("https://www.uniprot.org/uniprot/P52209", "P52209")</f>
        <v>P52209</v>
      </c>
      <c r="D612" s="43" t="s">
        <v>594</v>
      </c>
      <c r="E612" s="35" t="s">
        <v>594</v>
      </c>
      <c r="F612" s="30" t="s">
        <v>2193</v>
      </c>
      <c r="G612" s="30" t="s">
        <v>2194</v>
      </c>
      <c r="H612" s="30" t="s">
        <v>2195</v>
      </c>
      <c r="I612" s="47" t="s">
        <v>5204</v>
      </c>
      <c r="J612" s="73">
        <v>28713273</v>
      </c>
      <c r="K612" s="23" t="s">
        <v>4645</v>
      </c>
      <c r="L612" s="60" t="s">
        <v>3289</v>
      </c>
      <c r="M612" s="60" t="s">
        <v>3289</v>
      </c>
      <c r="N612" s="60" t="s">
        <v>3291</v>
      </c>
      <c r="O612" s="60"/>
      <c r="P612" s="60" t="s">
        <v>5493</v>
      </c>
      <c r="Q612" s="20">
        <v>4</v>
      </c>
    </row>
    <row r="613" spans="1:17" ht="112" x14ac:dyDescent="0.2">
      <c r="A613" s="71">
        <v>612</v>
      </c>
      <c r="B613" s="107" t="str">
        <f>HYPERLINK("https://www.ncbi.nlm.nih.gov/gene/5230", "5230")</f>
        <v>5230</v>
      </c>
      <c r="C613" s="109" t="str">
        <f>HYPERLINK("https://www.uniprot.org/uniprot/P00558", "P00558")</f>
        <v>P00558</v>
      </c>
      <c r="D613" s="43" t="s">
        <v>595</v>
      </c>
      <c r="E613" s="35" t="s">
        <v>595</v>
      </c>
      <c r="F613" s="30" t="s">
        <v>2196</v>
      </c>
      <c r="G613" s="30" t="s">
        <v>2197</v>
      </c>
      <c r="H613" s="30" t="s">
        <v>2198</v>
      </c>
      <c r="I613" s="47" t="s">
        <v>5342</v>
      </c>
      <c r="J613" s="73" t="s">
        <v>3875</v>
      </c>
      <c r="K613" s="23" t="s">
        <v>4646</v>
      </c>
      <c r="L613" s="60" t="s">
        <v>3289</v>
      </c>
      <c r="M613" s="60" t="s">
        <v>3289</v>
      </c>
      <c r="N613" s="60" t="s">
        <v>3291</v>
      </c>
      <c r="O613" s="60"/>
      <c r="P613" s="60" t="s">
        <v>5492</v>
      </c>
      <c r="Q613" s="20">
        <v>4</v>
      </c>
    </row>
    <row r="614" spans="1:17" ht="112" x14ac:dyDescent="0.2">
      <c r="A614" s="71">
        <v>613</v>
      </c>
      <c r="B614" s="107" t="str">
        <f>HYPERLINK("https://www.ncbi.nlm.nih.gov/gene/10857", "10857")</f>
        <v>10857</v>
      </c>
      <c r="C614" s="109" t="str">
        <f>HYPERLINK("https://www.uniprot.org/uniprot/O00264", "O00264")</f>
        <v>O00264</v>
      </c>
      <c r="D614" s="43" t="s">
        <v>596</v>
      </c>
      <c r="E614" s="35" t="s">
        <v>596</v>
      </c>
      <c r="F614" s="30" t="s">
        <v>2199</v>
      </c>
      <c r="G614" s="30" t="s">
        <v>2200</v>
      </c>
      <c r="H614" s="30" t="s">
        <v>4951</v>
      </c>
      <c r="I614" s="47" t="s">
        <v>5343</v>
      </c>
      <c r="J614" s="73" t="s">
        <v>3123</v>
      </c>
      <c r="K614" s="23" t="s">
        <v>4647</v>
      </c>
      <c r="L614" s="60" t="s">
        <v>3291</v>
      </c>
      <c r="M614" s="60" t="s">
        <v>3292</v>
      </c>
      <c r="N614" s="60" t="s">
        <v>3291</v>
      </c>
      <c r="O614" s="60"/>
      <c r="P614" s="60" t="s">
        <v>5495</v>
      </c>
      <c r="Q614" s="20">
        <v>2</v>
      </c>
    </row>
    <row r="615" spans="1:17" ht="112" x14ac:dyDescent="0.2">
      <c r="A615" s="71">
        <v>614</v>
      </c>
      <c r="B615" s="107" t="str">
        <f>HYPERLINK("https://www.ncbi.nlm.nih.gov/gene/5245", "5245")</f>
        <v>5245</v>
      </c>
      <c r="C615" s="109" t="str">
        <f>HYPERLINK("https://www.uniprot.org/uniprot/P35232", "P35232")</f>
        <v>P35232</v>
      </c>
      <c r="D615" s="43" t="s">
        <v>597</v>
      </c>
      <c r="E615" s="35" t="s">
        <v>597</v>
      </c>
      <c r="F615" s="30"/>
      <c r="G615" s="30" t="s">
        <v>2201</v>
      </c>
      <c r="H615" s="30" t="s">
        <v>2202</v>
      </c>
      <c r="I615" s="47" t="s">
        <v>5344</v>
      </c>
      <c r="J615" s="73" t="s">
        <v>3124</v>
      </c>
      <c r="K615" s="23" t="s">
        <v>4648</v>
      </c>
      <c r="L615" s="60" t="s">
        <v>3290</v>
      </c>
      <c r="M615" s="60" t="s">
        <v>3290</v>
      </c>
      <c r="N615" s="60" t="s">
        <v>3289</v>
      </c>
      <c r="O615" s="60"/>
      <c r="P615" s="60" t="s">
        <v>5498</v>
      </c>
      <c r="Q615" s="20">
        <v>4</v>
      </c>
    </row>
    <row r="616" spans="1:17" ht="144" x14ac:dyDescent="0.2">
      <c r="A616" s="71">
        <v>615</v>
      </c>
      <c r="B616" s="107" t="str">
        <f>HYPERLINK("https://www.ncbi.nlm.nih.gov/gene/26227", "26227")</f>
        <v>26227</v>
      </c>
      <c r="C616" s="109" t="str">
        <f>HYPERLINK("https://www.uniprot.org/uniprot/O43175", "O43175")</f>
        <v>O43175</v>
      </c>
      <c r="D616" s="43" t="s">
        <v>598</v>
      </c>
      <c r="E616" s="35" t="s">
        <v>598</v>
      </c>
      <c r="F616" s="30" t="s">
        <v>2203</v>
      </c>
      <c r="G616" s="30" t="s">
        <v>2204</v>
      </c>
      <c r="H616" s="30" t="s">
        <v>2205</v>
      </c>
      <c r="I616" s="47" t="s">
        <v>5345</v>
      </c>
      <c r="J616" s="73" t="s">
        <v>3635</v>
      </c>
      <c r="K616" s="23" t="s">
        <v>4649</v>
      </c>
      <c r="L616" s="60" t="s">
        <v>3289</v>
      </c>
      <c r="M616" s="60" t="s">
        <v>3290</v>
      </c>
      <c r="N616" s="60" t="s">
        <v>3291</v>
      </c>
      <c r="O616" s="60"/>
      <c r="P616" s="60" t="s">
        <v>5495</v>
      </c>
      <c r="Q616" s="20">
        <v>2</v>
      </c>
    </row>
    <row r="617" spans="1:17" ht="176" x14ac:dyDescent="0.2">
      <c r="A617" s="71">
        <v>616</v>
      </c>
      <c r="B617" s="107" t="str">
        <f>HYPERLINK("https://www.ncbi.nlm.nih.gov/gene/5290", "5290")</f>
        <v>5290</v>
      </c>
      <c r="C617" s="109" t="str">
        <f>HYPERLINK("https://www.uniprot.org/uniprot/P42336", "P42336")</f>
        <v>P42336</v>
      </c>
      <c r="D617" s="43" t="s">
        <v>599</v>
      </c>
      <c r="E617" s="16" t="s">
        <v>599</v>
      </c>
      <c r="F617" s="5"/>
      <c r="G617" s="28" t="s">
        <v>3492</v>
      </c>
      <c r="H617" s="6" t="s">
        <v>4115</v>
      </c>
      <c r="I617" s="49" t="s">
        <v>2847</v>
      </c>
      <c r="J617" s="73" t="s">
        <v>3125</v>
      </c>
      <c r="K617" s="13" t="s">
        <v>3126</v>
      </c>
      <c r="L617" s="60" t="s">
        <v>3289</v>
      </c>
      <c r="M617" s="60" t="s">
        <v>3289</v>
      </c>
      <c r="N617" s="60" t="s">
        <v>3289</v>
      </c>
      <c r="O617" s="60"/>
      <c r="P617" s="60" t="s">
        <v>5494</v>
      </c>
      <c r="Q617" s="20">
        <v>5</v>
      </c>
    </row>
    <row r="618" spans="1:17" ht="64" x14ac:dyDescent="0.2">
      <c r="A618" s="71">
        <v>617</v>
      </c>
      <c r="B618" s="107" t="str">
        <f>HYPERLINK("https://www.ncbi.nlm.nih.gov/gene/5291", "5291")</f>
        <v>5291</v>
      </c>
      <c r="C618" s="109" t="str">
        <f>HYPERLINK("https://www.uniprot.org/uniprot/P42338", "P42338")</f>
        <v>P42338</v>
      </c>
      <c r="D618" s="43" t="s">
        <v>600</v>
      </c>
      <c r="E618" s="16" t="s">
        <v>600</v>
      </c>
      <c r="F618" s="5" t="s">
        <v>2206</v>
      </c>
      <c r="G618" s="28" t="s">
        <v>2207</v>
      </c>
      <c r="H618" s="6" t="s">
        <v>3431</v>
      </c>
      <c r="I618" s="49" t="s">
        <v>2847</v>
      </c>
      <c r="J618" s="73">
        <v>25884497</v>
      </c>
      <c r="K618" s="13" t="s">
        <v>3793</v>
      </c>
      <c r="L618" s="60" t="s">
        <v>3291</v>
      </c>
      <c r="M618" s="60" t="s">
        <v>3290</v>
      </c>
      <c r="N618" s="60" t="s">
        <v>3291</v>
      </c>
      <c r="O618" s="60"/>
      <c r="P618" s="60" t="s">
        <v>3323</v>
      </c>
      <c r="Q618" s="20">
        <v>1</v>
      </c>
    </row>
    <row r="619" spans="1:17" ht="80" x14ac:dyDescent="0.2">
      <c r="A619" s="71">
        <v>618</v>
      </c>
      <c r="B619" s="107" t="str">
        <f>HYPERLINK("https://www.ncbi.nlm.nih.gov/gene/5294", "5294")</f>
        <v>5294</v>
      </c>
      <c r="C619" s="109" t="str">
        <f>HYPERLINK("https://www.uniprot.org/uniprot/P48736", "P48736")</f>
        <v>P48736</v>
      </c>
      <c r="D619" s="43" t="s">
        <v>601</v>
      </c>
      <c r="E619" s="16" t="s">
        <v>601</v>
      </c>
      <c r="F619" s="5"/>
      <c r="G619" s="28" t="s">
        <v>2208</v>
      </c>
      <c r="H619" s="6" t="s">
        <v>2209</v>
      </c>
      <c r="I619" s="49" t="s">
        <v>2847</v>
      </c>
      <c r="J619" s="73">
        <v>21652733</v>
      </c>
      <c r="K619" s="13" t="s">
        <v>3794</v>
      </c>
      <c r="L619" s="60" t="s">
        <v>3291</v>
      </c>
      <c r="M619" s="60" t="s">
        <v>3289</v>
      </c>
      <c r="N619" s="60" t="s">
        <v>3291</v>
      </c>
      <c r="O619" s="60"/>
      <c r="P619" s="60" t="s">
        <v>3323</v>
      </c>
      <c r="Q619" s="20">
        <v>1</v>
      </c>
    </row>
    <row r="620" spans="1:17" ht="112" x14ac:dyDescent="0.2">
      <c r="A620" s="71">
        <v>619</v>
      </c>
      <c r="B620" s="107" t="str">
        <f>HYPERLINK("https://www.ncbi.nlm.nih.gov/gene/5295", "5295")</f>
        <v>5295</v>
      </c>
      <c r="C620" s="109" t="str">
        <f>HYPERLINK("https://www.uniprot.org/uniprot/P27986", "P27986")</f>
        <v>P27986</v>
      </c>
      <c r="D620" s="43" t="s">
        <v>602</v>
      </c>
      <c r="E620" s="35" t="s">
        <v>602</v>
      </c>
      <c r="F620" s="30" t="s">
        <v>2210</v>
      </c>
      <c r="G620" s="30" t="s">
        <v>2211</v>
      </c>
      <c r="H620" s="30" t="s">
        <v>4116</v>
      </c>
      <c r="I620" s="47" t="s">
        <v>5182</v>
      </c>
      <c r="J620" s="73" t="s">
        <v>3127</v>
      </c>
      <c r="K620" s="23" t="s">
        <v>4650</v>
      </c>
      <c r="L620" s="60" t="s">
        <v>3289</v>
      </c>
      <c r="M620" s="60" t="s">
        <v>3289</v>
      </c>
      <c r="N620" s="60" t="s">
        <v>3291</v>
      </c>
      <c r="O620" s="60"/>
      <c r="P620" s="60" t="s">
        <v>5495</v>
      </c>
      <c r="Q620" s="20">
        <v>2</v>
      </c>
    </row>
    <row r="621" spans="1:17" ht="96" x14ac:dyDescent="0.2">
      <c r="A621" s="71">
        <v>620</v>
      </c>
      <c r="B621" s="107" t="str">
        <f>HYPERLINK("https://www.ncbi.nlm.nih.gov/gene/5296", "5296")</f>
        <v>5296</v>
      </c>
      <c r="C621" s="109" t="str">
        <f>HYPERLINK("https://www.uniprot.org/uniprot/O00459", "O00459")</f>
        <v>O00459</v>
      </c>
      <c r="D621" s="43" t="s">
        <v>603</v>
      </c>
      <c r="E621" s="35" t="s">
        <v>603</v>
      </c>
      <c r="F621" s="30"/>
      <c r="G621" s="30" t="s">
        <v>2212</v>
      </c>
      <c r="H621" s="30" t="s">
        <v>4116</v>
      </c>
      <c r="I621" s="47" t="s">
        <v>2847</v>
      </c>
      <c r="J621" s="73">
        <v>29327155</v>
      </c>
      <c r="K621" s="17" t="s">
        <v>3128</v>
      </c>
      <c r="L621" s="60" t="s">
        <v>3289</v>
      </c>
      <c r="M621" s="60" t="s">
        <v>3289</v>
      </c>
      <c r="N621" s="60" t="s">
        <v>3291</v>
      </c>
      <c r="O621" s="60"/>
      <c r="P621" s="60" t="s">
        <v>5495</v>
      </c>
      <c r="Q621" s="20">
        <v>2</v>
      </c>
    </row>
    <row r="622" spans="1:17" ht="128" x14ac:dyDescent="0.2">
      <c r="A622" s="71">
        <v>621</v>
      </c>
      <c r="B622" s="107" t="str">
        <f>HYPERLINK("https://www.ncbi.nlm.nih.gov/gene/5292", "5292")</f>
        <v>5292</v>
      </c>
      <c r="C622" s="109" t="str">
        <f>HYPERLINK("https://www.uniprot.org/uniprot/P11309", "P11309")</f>
        <v>P11309</v>
      </c>
      <c r="D622" s="43" t="s">
        <v>604</v>
      </c>
      <c r="E622" s="35" t="s">
        <v>604</v>
      </c>
      <c r="F622" s="30"/>
      <c r="G622" s="30" t="s">
        <v>5021</v>
      </c>
      <c r="H622" s="30" t="s">
        <v>4117</v>
      </c>
      <c r="I622" s="47" t="s">
        <v>5346</v>
      </c>
      <c r="J622" s="73" t="s">
        <v>3129</v>
      </c>
      <c r="K622" s="30" t="s">
        <v>4651</v>
      </c>
      <c r="L622" s="60" t="s">
        <v>3289</v>
      </c>
      <c r="M622" s="60" t="s">
        <v>3289</v>
      </c>
      <c r="N622" s="60" t="s">
        <v>3291</v>
      </c>
      <c r="O622" s="60"/>
      <c r="P622" s="60" t="s">
        <v>3323</v>
      </c>
      <c r="Q622" s="20">
        <v>1</v>
      </c>
    </row>
    <row r="623" spans="1:17" ht="112" x14ac:dyDescent="0.2">
      <c r="A623" s="71">
        <v>622</v>
      </c>
      <c r="B623" s="107" t="str">
        <f>HYPERLINK("https://www.ncbi.nlm.nih.gov/gene/11040", "11040")</f>
        <v>11040</v>
      </c>
      <c r="C623" s="109" t="str">
        <f>HYPERLINK("https://www.uniprot.org/uniprot/Q9P1W9", "Q9P1W9")</f>
        <v>Q9P1W9</v>
      </c>
      <c r="D623" s="43" t="s">
        <v>605</v>
      </c>
      <c r="E623" s="35" t="s">
        <v>605</v>
      </c>
      <c r="F623" s="30"/>
      <c r="G623" s="30" t="s">
        <v>5022</v>
      </c>
      <c r="H623" s="30" t="s">
        <v>4118</v>
      </c>
      <c r="I623" s="47" t="s">
        <v>5347</v>
      </c>
      <c r="J623" s="73">
        <v>25099161</v>
      </c>
      <c r="K623" s="23" t="s">
        <v>4652</v>
      </c>
      <c r="L623" s="60" t="s">
        <v>3291</v>
      </c>
      <c r="M623" s="60" t="s">
        <v>3289</v>
      </c>
      <c r="N623" s="60" t="s">
        <v>3289</v>
      </c>
      <c r="O623" s="60"/>
      <c r="P623" s="60" t="s">
        <v>3323</v>
      </c>
      <c r="Q623" s="20">
        <v>1</v>
      </c>
    </row>
    <row r="624" spans="1:17" ht="112" x14ac:dyDescent="0.2">
      <c r="A624" s="71">
        <v>623</v>
      </c>
      <c r="B624" s="107" t="str">
        <f>HYPERLINK("https://www.ncbi.nlm.nih.gov/gene/65018", "65018")</f>
        <v>65018</v>
      </c>
      <c r="C624" s="109" t="str">
        <f>HYPERLINK("https://www.uniprot.org/uniprot/Q9BXM7", "Q9BXM7")</f>
        <v>Q9BXM7</v>
      </c>
      <c r="D624" s="43" t="s">
        <v>606</v>
      </c>
      <c r="E624" s="35" t="s">
        <v>606</v>
      </c>
      <c r="F624" s="30" t="s">
        <v>2213</v>
      </c>
      <c r="G624" s="30" t="s">
        <v>2214</v>
      </c>
      <c r="H624" s="30" t="s">
        <v>2215</v>
      </c>
      <c r="I624" s="47" t="s">
        <v>5348</v>
      </c>
      <c r="J624" s="73" t="s">
        <v>3130</v>
      </c>
      <c r="K624" s="23" t="s">
        <v>4653</v>
      </c>
      <c r="L624" s="60" t="s">
        <v>3291</v>
      </c>
      <c r="M624" s="60" t="s">
        <v>3289</v>
      </c>
      <c r="N624" s="60" t="s">
        <v>3289</v>
      </c>
      <c r="O624" s="60"/>
      <c r="P624" s="60" t="s">
        <v>5495</v>
      </c>
      <c r="Q624" s="20">
        <v>2</v>
      </c>
    </row>
    <row r="625" spans="1:17" ht="96" x14ac:dyDescent="0.2">
      <c r="A625" s="71">
        <v>624</v>
      </c>
      <c r="B625" s="107" t="str">
        <f>HYPERLINK("https://www.ncbi.nlm.nih.gov/gene/55124", "55124")</f>
        <v>55124</v>
      </c>
      <c r="C625" s="109" t="str">
        <f>HYPERLINK("https://www.uniprot.org/uniprot/Q8TC59", "Q8TC59")</f>
        <v>Q8TC59</v>
      </c>
      <c r="D625" s="43" t="s">
        <v>607</v>
      </c>
      <c r="E625" s="35" t="s">
        <v>607</v>
      </c>
      <c r="F625" s="30" t="s">
        <v>2216</v>
      </c>
      <c r="G625" s="30" t="s">
        <v>2217</v>
      </c>
      <c r="H625" s="30" t="s">
        <v>2218</v>
      </c>
      <c r="I625" s="47" t="s">
        <v>2850</v>
      </c>
      <c r="J625" s="73" t="s">
        <v>3131</v>
      </c>
      <c r="K625" s="23" t="s">
        <v>4654</v>
      </c>
      <c r="L625" s="60" t="s">
        <v>3289</v>
      </c>
      <c r="M625" s="60" t="s">
        <v>3289</v>
      </c>
      <c r="N625" s="60" t="s">
        <v>3291</v>
      </c>
      <c r="O625" s="60"/>
      <c r="P625" s="60" t="s">
        <v>3323</v>
      </c>
      <c r="Q625" s="20">
        <v>1</v>
      </c>
    </row>
    <row r="626" spans="1:17" ht="160" x14ac:dyDescent="0.2">
      <c r="A626" s="71">
        <v>625</v>
      </c>
      <c r="B626" s="107" t="str">
        <f>HYPERLINK("https://www.ncbi.nlm.nih.gov/gene/5315", "5315")</f>
        <v>5315</v>
      </c>
      <c r="C626" s="109" t="str">
        <f>HYPERLINK("https://www.uniprot.org/uniprot/P14618", "P14618")</f>
        <v>P14618</v>
      </c>
      <c r="D626" s="43" t="s">
        <v>608</v>
      </c>
      <c r="E626" s="35" t="s">
        <v>608</v>
      </c>
      <c r="F626" s="30" t="s">
        <v>2219</v>
      </c>
      <c r="G626" s="30" t="s">
        <v>2220</v>
      </c>
      <c r="H626" s="30" t="s">
        <v>4119</v>
      </c>
      <c r="I626" s="47" t="s">
        <v>5349</v>
      </c>
      <c r="J626" s="73" t="s">
        <v>3551</v>
      </c>
      <c r="K626" s="23" t="s">
        <v>4655</v>
      </c>
      <c r="L626" s="60" t="s">
        <v>3290</v>
      </c>
      <c r="M626" s="60" t="s">
        <v>3290</v>
      </c>
      <c r="N626" s="60" t="s">
        <v>3289</v>
      </c>
      <c r="O626" s="60"/>
      <c r="P626" s="60" t="s">
        <v>5492</v>
      </c>
      <c r="Q626" s="20">
        <v>4</v>
      </c>
    </row>
    <row r="627" spans="1:17" ht="80" x14ac:dyDescent="0.2">
      <c r="A627" s="71">
        <v>626</v>
      </c>
      <c r="B627" s="107" t="str">
        <f>HYPERLINK("https://www.ncbi.nlm.nih.gov/gene/9373", "9373")</f>
        <v>9373</v>
      </c>
      <c r="C627" s="109" t="str">
        <f>HYPERLINK("https://www.uniprot.org/uniprot/Q9Y263", "Q9Y263")</f>
        <v>Q9Y263</v>
      </c>
      <c r="D627" s="43" t="s">
        <v>609</v>
      </c>
      <c r="E627" s="16" t="s">
        <v>609</v>
      </c>
      <c r="F627" s="5" t="s">
        <v>2221</v>
      </c>
      <c r="G627" s="28" t="s">
        <v>2222</v>
      </c>
      <c r="H627" s="6" t="s">
        <v>2223</v>
      </c>
      <c r="I627" s="49" t="s">
        <v>5294</v>
      </c>
      <c r="J627" s="73" t="s">
        <v>3132</v>
      </c>
      <c r="K627" s="5" t="s">
        <v>3133</v>
      </c>
      <c r="L627" s="60" t="s">
        <v>3292</v>
      </c>
      <c r="M627" s="60" t="s">
        <v>3292</v>
      </c>
      <c r="N627" s="60" t="s">
        <v>3289</v>
      </c>
      <c r="O627" s="60"/>
      <c r="P627" s="60" t="s">
        <v>5499</v>
      </c>
      <c r="Q627" s="20">
        <v>4</v>
      </c>
    </row>
    <row r="628" spans="1:17" ht="160" x14ac:dyDescent="0.2">
      <c r="A628" s="71">
        <v>627</v>
      </c>
      <c r="B628" s="107" t="str">
        <f>HYPERLINK("https://www.ncbi.nlm.nih.gov/gene/5347", "5347")</f>
        <v>5347</v>
      </c>
      <c r="C628" s="109" t="str">
        <f>HYPERLINK("https://www.uniprot.org/uniprot/P53350", "P53350")</f>
        <v>P53350</v>
      </c>
      <c r="D628" s="43" t="s">
        <v>610</v>
      </c>
      <c r="E628" s="35" t="s">
        <v>610</v>
      </c>
      <c r="F628" s="30"/>
      <c r="G628" s="30" t="s">
        <v>2224</v>
      </c>
      <c r="H628" s="30" t="s">
        <v>4120</v>
      </c>
      <c r="I628" s="47" t="s">
        <v>5350</v>
      </c>
      <c r="J628" s="73" t="s">
        <v>3134</v>
      </c>
      <c r="K628" s="23" t="s">
        <v>4656</v>
      </c>
      <c r="L628" s="60" t="s">
        <v>3289</v>
      </c>
      <c r="M628" s="60" t="s">
        <v>3289</v>
      </c>
      <c r="N628" s="60" t="s">
        <v>3291</v>
      </c>
      <c r="O628" s="60"/>
      <c r="P628" s="60" t="s">
        <v>5499</v>
      </c>
      <c r="Q628" s="20">
        <v>5</v>
      </c>
    </row>
    <row r="629" spans="1:17" ht="64" x14ac:dyDescent="0.2">
      <c r="A629" s="71">
        <v>628</v>
      </c>
      <c r="B629" s="107" t="str">
        <f>HYPERLINK("https://www.ncbi.nlm.nih.gov/gene/10769", "10769")</f>
        <v>10769</v>
      </c>
      <c r="C629" s="109" t="str">
        <f>HYPERLINK("https://www.uniprot.org/uniprot/Q9NYY3", "Q9NYY3")</f>
        <v>Q9NYY3</v>
      </c>
      <c r="D629" s="43" t="s">
        <v>611</v>
      </c>
      <c r="E629" s="35" t="s">
        <v>611</v>
      </c>
      <c r="F629" s="30" t="s">
        <v>2225</v>
      </c>
      <c r="G629" s="30" t="s">
        <v>2226</v>
      </c>
      <c r="H629" s="30" t="s">
        <v>4121</v>
      </c>
      <c r="I629" s="47" t="s">
        <v>5351</v>
      </c>
      <c r="J629" s="73" t="s">
        <v>3135</v>
      </c>
      <c r="K629" s="23" t="s">
        <v>3620</v>
      </c>
      <c r="L629" s="60" t="s">
        <v>3289</v>
      </c>
      <c r="M629" s="60" t="s">
        <v>3289</v>
      </c>
      <c r="N629" s="60" t="s">
        <v>3291</v>
      </c>
      <c r="O629" s="60"/>
      <c r="P629" s="60" t="s">
        <v>5492</v>
      </c>
      <c r="Q629" s="20">
        <v>4</v>
      </c>
    </row>
    <row r="630" spans="1:17" ht="64" x14ac:dyDescent="0.2">
      <c r="A630" s="71">
        <v>629</v>
      </c>
      <c r="B630" s="107" t="str">
        <f>HYPERLINK("https://www.ncbi.nlm.nih.gov/gene/5366", "5366")</f>
        <v>5366</v>
      </c>
      <c r="C630" s="109" t="str">
        <f>HYPERLINK("https://www.uniprot.org/uniprot/Q13794", "Q13794")</f>
        <v>Q13794</v>
      </c>
      <c r="D630" s="43" t="s">
        <v>612</v>
      </c>
      <c r="E630" s="16" t="s">
        <v>612</v>
      </c>
      <c r="F630" s="5" t="s">
        <v>2227</v>
      </c>
      <c r="G630" s="28" t="s">
        <v>2228</v>
      </c>
      <c r="H630" s="6" t="s">
        <v>4122</v>
      </c>
      <c r="I630" s="49" t="s">
        <v>5226</v>
      </c>
      <c r="J630" s="73" t="s">
        <v>3136</v>
      </c>
      <c r="K630" s="13" t="s">
        <v>3795</v>
      </c>
      <c r="L630" s="60" t="s">
        <v>3291</v>
      </c>
      <c r="M630" s="60" t="s">
        <v>3292</v>
      </c>
      <c r="N630" s="60" t="s">
        <v>3289</v>
      </c>
      <c r="O630" s="60"/>
      <c r="P630" s="60" t="s">
        <v>3323</v>
      </c>
      <c r="Q630" s="20">
        <v>1</v>
      </c>
    </row>
    <row r="631" spans="1:17" ht="64" x14ac:dyDescent="0.2">
      <c r="A631" s="71">
        <v>630</v>
      </c>
      <c r="B631" s="107" t="str">
        <f>HYPERLINK("https://www.ncbi.nlm.nih.gov/gene/6490", "6490")</f>
        <v>6490</v>
      </c>
      <c r="C631" s="109" t="str">
        <f>HYPERLINK("https://www.uniprot.org/uniprot/P40967", "P40967")</f>
        <v>P40967</v>
      </c>
      <c r="D631" s="43" t="s">
        <v>613</v>
      </c>
      <c r="E631" s="16" t="s">
        <v>613</v>
      </c>
      <c r="F631" s="5" t="s">
        <v>2229</v>
      </c>
      <c r="G631" s="28" t="s">
        <v>2230</v>
      </c>
      <c r="H631" s="6" t="s">
        <v>4123</v>
      </c>
      <c r="I631" s="49" t="s">
        <v>5143</v>
      </c>
      <c r="J631" s="73" t="s">
        <v>3137</v>
      </c>
      <c r="K631" s="13" t="s">
        <v>3796</v>
      </c>
      <c r="L631" s="60" t="s">
        <v>3289</v>
      </c>
      <c r="M631" s="60" t="s">
        <v>3289</v>
      </c>
      <c r="N631" s="60" t="s">
        <v>3289</v>
      </c>
      <c r="O631" s="60"/>
      <c r="P631" s="60" t="s">
        <v>3323</v>
      </c>
      <c r="Q631" s="20">
        <v>1</v>
      </c>
    </row>
    <row r="632" spans="1:17" ht="112" x14ac:dyDescent="0.2">
      <c r="A632" s="71">
        <v>631</v>
      </c>
      <c r="B632" s="107" t="str">
        <f>HYPERLINK("https://www.ncbi.nlm.nih.gov/gene/5371", "5371")</f>
        <v>5371</v>
      </c>
      <c r="C632" s="109" t="str">
        <f>HYPERLINK("https://www.uniprot.org/uniprot/P29590", "P29590")</f>
        <v>P29590</v>
      </c>
      <c r="D632" s="43" t="s">
        <v>614</v>
      </c>
      <c r="E632" s="16" t="s">
        <v>614</v>
      </c>
      <c r="F632" s="80" t="s">
        <v>2231</v>
      </c>
      <c r="G632" s="28" t="s">
        <v>2232</v>
      </c>
      <c r="H632" s="6" t="s">
        <v>2233</v>
      </c>
      <c r="I632" s="49" t="s">
        <v>2824</v>
      </c>
      <c r="J632" s="73" t="s">
        <v>3138</v>
      </c>
      <c r="K632" s="13" t="s">
        <v>3797</v>
      </c>
      <c r="L632" s="60" t="s">
        <v>3292</v>
      </c>
      <c r="M632" s="60" t="s">
        <v>3292</v>
      </c>
      <c r="N632" s="60" t="s">
        <v>3289</v>
      </c>
      <c r="O632" s="60"/>
      <c r="P632" s="60" t="s">
        <v>5495</v>
      </c>
      <c r="Q632" s="20">
        <v>2</v>
      </c>
    </row>
    <row r="633" spans="1:17" ht="96" x14ac:dyDescent="0.2">
      <c r="A633" s="71">
        <v>632</v>
      </c>
      <c r="B633" s="107" t="str">
        <f>HYPERLINK("https://www.ncbi.nlm.nih.gov/gene/5395", "5395")</f>
        <v>5395</v>
      </c>
      <c r="C633" s="109" t="str">
        <f>HYPERLINK("https://www.uniprot.org/uniprot/P54278", "P54278")</f>
        <v>P54278</v>
      </c>
      <c r="D633" s="43" t="s">
        <v>615</v>
      </c>
      <c r="E633" s="16" t="s">
        <v>615</v>
      </c>
      <c r="F633" s="5" t="s">
        <v>3365</v>
      </c>
      <c r="G633" s="28" t="s">
        <v>3364</v>
      </c>
      <c r="H633" s="6" t="s">
        <v>4124</v>
      </c>
      <c r="I633" s="49" t="s">
        <v>5295</v>
      </c>
      <c r="J633" s="73" t="s">
        <v>3139</v>
      </c>
      <c r="K633" s="13" t="s">
        <v>3798</v>
      </c>
      <c r="L633" s="60" t="s">
        <v>3292</v>
      </c>
      <c r="M633" s="60" t="s">
        <v>3292</v>
      </c>
      <c r="N633" s="60" t="s">
        <v>3289</v>
      </c>
      <c r="O633" s="60"/>
      <c r="P633" s="60" t="s">
        <v>5492</v>
      </c>
      <c r="Q633" s="20">
        <v>4</v>
      </c>
    </row>
    <row r="634" spans="1:17" ht="112" x14ac:dyDescent="0.2">
      <c r="A634" s="71">
        <v>633</v>
      </c>
      <c r="B634" s="107" t="str">
        <f>HYPERLINK("https://www.ncbi.nlm.nih.gov/gene/11284", "11284")</f>
        <v>11284</v>
      </c>
      <c r="C634" s="109" t="str">
        <f>HYPERLINK("https://www.uniprot.org/uniprot/Q96T60", "Q96T60")</f>
        <v>Q96T60</v>
      </c>
      <c r="D634" s="43" t="s">
        <v>616</v>
      </c>
      <c r="E634" s="16" t="s">
        <v>616</v>
      </c>
      <c r="F634" s="5" t="s">
        <v>2234</v>
      </c>
      <c r="G634" s="28" t="s">
        <v>5023</v>
      </c>
      <c r="H634" s="6" t="s">
        <v>2235</v>
      </c>
      <c r="I634" s="49" t="s">
        <v>5352</v>
      </c>
      <c r="J634" s="73" t="s">
        <v>3140</v>
      </c>
      <c r="K634" s="13" t="s">
        <v>3141</v>
      </c>
      <c r="L634" s="60" t="s">
        <v>3291</v>
      </c>
      <c r="M634" s="60" t="s">
        <v>3289</v>
      </c>
      <c r="N634" s="60" t="s">
        <v>3291</v>
      </c>
      <c r="O634" s="60"/>
      <c r="P634" s="60" t="s">
        <v>3323</v>
      </c>
      <c r="Q634" s="20">
        <v>1</v>
      </c>
    </row>
    <row r="635" spans="1:17" ht="64" x14ac:dyDescent="0.2">
      <c r="A635" s="71">
        <v>634</v>
      </c>
      <c r="B635" s="107" t="str">
        <f>HYPERLINK("https://www.ncbi.nlm.nih.gov/gene/5420", "5420")</f>
        <v>5420</v>
      </c>
      <c r="C635" s="109" t="str">
        <f>HYPERLINK("https://www.uniprot.org/uniprot/O00592", "O00592")</f>
        <v>O00592</v>
      </c>
      <c r="D635" s="43" t="s">
        <v>617</v>
      </c>
      <c r="E635" s="16" t="s">
        <v>617</v>
      </c>
      <c r="F635" s="5" t="s">
        <v>2236</v>
      </c>
      <c r="G635" s="28" t="s">
        <v>2237</v>
      </c>
      <c r="H635" s="6" t="s">
        <v>2238</v>
      </c>
      <c r="I635" s="49" t="s">
        <v>2830</v>
      </c>
      <c r="J635" s="73">
        <v>25915207</v>
      </c>
      <c r="K635" s="13" t="s">
        <v>3853</v>
      </c>
      <c r="L635" s="60" t="s">
        <v>3291</v>
      </c>
      <c r="M635" s="60" t="s">
        <v>3289</v>
      </c>
      <c r="N635" s="60" t="s">
        <v>3291</v>
      </c>
      <c r="O635" s="60"/>
      <c r="P635" s="60" t="s">
        <v>3323</v>
      </c>
      <c r="Q635" s="20">
        <v>1</v>
      </c>
    </row>
    <row r="636" spans="1:17" ht="176" x14ac:dyDescent="0.2">
      <c r="A636" s="71">
        <v>635</v>
      </c>
      <c r="B636" s="107" t="str">
        <f>HYPERLINK("https://www.ncbi.nlm.nih.gov/gene/5423", "5423")</f>
        <v>5423</v>
      </c>
      <c r="C636" s="109" t="str">
        <f>HYPERLINK("https://www.uniprot.org/uniprot/P06746", "P06746")</f>
        <v>P06746</v>
      </c>
      <c r="D636" s="43" t="s">
        <v>618</v>
      </c>
      <c r="E636" s="38" t="s">
        <v>618</v>
      </c>
      <c r="F636" s="30"/>
      <c r="G636" s="6" t="s">
        <v>2239</v>
      </c>
      <c r="H636" s="6" t="s">
        <v>2240</v>
      </c>
      <c r="I636" s="49" t="s">
        <v>5353</v>
      </c>
      <c r="J636" s="73" t="s">
        <v>3142</v>
      </c>
      <c r="K636" s="23" t="s">
        <v>4657</v>
      </c>
      <c r="L636" s="60" t="s">
        <v>3292</v>
      </c>
      <c r="M636" s="60" t="s">
        <v>3292</v>
      </c>
      <c r="N636" s="60" t="s">
        <v>3291</v>
      </c>
      <c r="O636" s="60"/>
      <c r="P636" s="60" t="s">
        <v>5493</v>
      </c>
      <c r="Q636" s="20">
        <v>4</v>
      </c>
    </row>
    <row r="637" spans="1:17" ht="96" x14ac:dyDescent="0.2">
      <c r="A637" s="71">
        <v>636</v>
      </c>
      <c r="B637" s="107" t="str">
        <f>HYPERLINK("https://www.ncbi.nlm.nih.gov/gene/5424", "5424")</f>
        <v>5424</v>
      </c>
      <c r="C637" s="109" t="str">
        <f>HYPERLINK("https://www.uniprot.org/uniprot/P28340", "P28340")</f>
        <v>P28340</v>
      </c>
      <c r="D637" s="43" t="s">
        <v>619</v>
      </c>
      <c r="E637" s="16" t="s">
        <v>619</v>
      </c>
      <c r="F637" s="5" t="s">
        <v>3526</v>
      </c>
      <c r="G637" s="28" t="s">
        <v>3525</v>
      </c>
      <c r="H637" s="6" t="s">
        <v>3936</v>
      </c>
      <c r="I637" s="49" t="s">
        <v>2826</v>
      </c>
      <c r="J637" s="73" t="s">
        <v>3143</v>
      </c>
      <c r="K637" s="13" t="s">
        <v>3144</v>
      </c>
      <c r="L637" s="60" t="s">
        <v>3289</v>
      </c>
      <c r="M637" s="60" t="s">
        <v>3289</v>
      </c>
      <c r="N637" s="60" t="s">
        <v>3291</v>
      </c>
      <c r="O637" s="60" t="s">
        <v>5509</v>
      </c>
      <c r="P637" s="60" t="s">
        <v>5497</v>
      </c>
      <c r="Q637" s="20">
        <v>4</v>
      </c>
    </row>
    <row r="638" spans="1:17" ht="96" x14ac:dyDescent="0.2">
      <c r="A638" s="71">
        <v>637</v>
      </c>
      <c r="B638" s="107" t="str">
        <f>HYPERLINK("https://www.ncbi.nlm.nih.gov/gene/5425", "5425")</f>
        <v>5425</v>
      </c>
      <c r="C638" s="109" t="str">
        <f>HYPERLINK("https://www.uniprot.org/uniprot/P49005", "P49005")</f>
        <v>P49005</v>
      </c>
      <c r="D638" s="43" t="s">
        <v>620</v>
      </c>
      <c r="E638" s="16" t="s">
        <v>620</v>
      </c>
      <c r="F638" s="5"/>
      <c r="G638" s="28" t="s">
        <v>3432</v>
      </c>
      <c r="H638" s="6" t="s">
        <v>3433</v>
      </c>
      <c r="I638" s="49" t="s">
        <v>2826</v>
      </c>
      <c r="J638" s="73" t="s">
        <v>3145</v>
      </c>
      <c r="K638" s="5" t="s">
        <v>3799</v>
      </c>
      <c r="L638" s="60" t="s">
        <v>3289</v>
      </c>
      <c r="M638" s="60" t="s">
        <v>3289</v>
      </c>
      <c r="N638" s="60" t="s">
        <v>3291</v>
      </c>
      <c r="O638" s="60"/>
      <c r="P638" s="60" t="s">
        <v>5493</v>
      </c>
      <c r="Q638" s="20">
        <v>4</v>
      </c>
    </row>
    <row r="639" spans="1:17" ht="80" x14ac:dyDescent="0.2">
      <c r="A639" s="71">
        <v>638</v>
      </c>
      <c r="B639" s="107" t="str">
        <f>HYPERLINK("https://www.ncbi.nlm.nih.gov/gene/10714", "10714")</f>
        <v>10714</v>
      </c>
      <c r="C639" s="109" t="str">
        <f>HYPERLINK("https://www.uniprot.org/uniprot/Q15054", "Q15054")</f>
        <v>Q15054</v>
      </c>
      <c r="D639" s="43" t="s">
        <v>621</v>
      </c>
      <c r="E639" s="16" t="s">
        <v>621</v>
      </c>
      <c r="F639" s="5"/>
      <c r="G639" s="28" t="s">
        <v>3434</v>
      </c>
      <c r="H639" s="6" t="s">
        <v>3435</v>
      </c>
      <c r="I639" s="49" t="s">
        <v>2826</v>
      </c>
      <c r="J639" s="73" t="s">
        <v>3146</v>
      </c>
      <c r="K639" s="13" t="s">
        <v>3147</v>
      </c>
      <c r="L639" s="60" t="s">
        <v>3289</v>
      </c>
      <c r="M639" s="60" t="s">
        <v>3289</v>
      </c>
      <c r="N639" s="60" t="s">
        <v>3291</v>
      </c>
      <c r="O639" s="60"/>
      <c r="P639" s="60" t="s">
        <v>5493</v>
      </c>
      <c r="Q639" s="20">
        <v>4</v>
      </c>
    </row>
    <row r="640" spans="1:17" ht="96" x14ac:dyDescent="0.2">
      <c r="A640" s="71">
        <v>639</v>
      </c>
      <c r="B640" s="107" t="str">
        <f>HYPERLINK("https://www.ncbi.nlm.nih.gov/gene/54107", "54107")</f>
        <v>54107</v>
      </c>
      <c r="C640" s="109" t="str">
        <f>HYPERLINK("https://www.uniprot.org/uniprot/Q9NRF9", "Q9NRF9")</f>
        <v>Q9NRF9</v>
      </c>
      <c r="D640" s="43" t="s">
        <v>622</v>
      </c>
      <c r="E640" s="16" t="s">
        <v>622</v>
      </c>
      <c r="F640" s="5"/>
      <c r="G640" s="28" t="s">
        <v>3436</v>
      </c>
      <c r="H640" s="6" t="s">
        <v>3437</v>
      </c>
      <c r="I640" s="49" t="s">
        <v>2826</v>
      </c>
      <c r="J640" s="73" t="s">
        <v>3148</v>
      </c>
      <c r="K640" s="13" t="s">
        <v>3149</v>
      </c>
      <c r="L640" s="60" t="s">
        <v>3289</v>
      </c>
      <c r="M640" s="60" t="s">
        <v>3289</v>
      </c>
      <c r="N640" s="60" t="s">
        <v>3289</v>
      </c>
      <c r="O640" s="60"/>
      <c r="P640" s="60" t="s">
        <v>5495</v>
      </c>
      <c r="Q640" s="20">
        <v>2</v>
      </c>
    </row>
    <row r="641" spans="1:17" ht="112" x14ac:dyDescent="0.2">
      <c r="A641" s="71">
        <v>640</v>
      </c>
      <c r="B641" s="107" t="str">
        <f>HYPERLINK("https://www.ncbi.nlm.nih.gov/gene/5429", "5429")</f>
        <v>5429</v>
      </c>
      <c r="C641" s="109" t="str">
        <f>HYPERLINK("https://www.uniprot.org/uniprot/Q9Y253", "Q9Y253")</f>
        <v>Q9Y253</v>
      </c>
      <c r="D641" s="43" t="s">
        <v>623</v>
      </c>
      <c r="E641" s="38" t="s">
        <v>623</v>
      </c>
      <c r="F641" s="6" t="s">
        <v>2241</v>
      </c>
      <c r="G641" s="28" t="s">
        <v>2242</v>
      </c>
      <c r="H641" s="6" t="s">
        <v>2243</v>
      </c>
      <c r="I641" s="49" t="s">
        <v>3337</v>
      </c>
      <c r="J641" s="73" t="s">
        <v>3150</v>
      </c>
      <c r="K641" s="23" t="s">
        <v>4658</v>
      </c>
      <c r="L641" s="60" t="s">
        <v>3289</v>
      </c>
      <c r="M641" s="60" t="s">
        <v>3289</v>
      </c>
      <c r="N641" s="60" t="s">
        <v>3291</v>
      </c>
      <c r="O641" s="60"/>
      <c r="P641" s="60" t="s">
        <v>3323</v>
      </c>
      <c r="Q641" s="20">
        <v>1</v>
      </c>
    </row>
    <row r="642" spans="1:17" ht="96" x14ac:dyDescent="0.2">
      <c r="A642" s="71">
        <v>641</v>
      </c>
      <c r="B642" s="107" t="str">
        <f>HYPERLINK("https://www.ncbi.nlm.nih.gov/gene/51426", "51426")</f>
        <v>51426</v>
      </c>
      <c r="C642" s="109" t="str">
        <f>HYPERLINK("https://www.uniprot.org/uniprot/Q9UBT6", "Q9UBT6")</f>
        <v>Q9UBT6</v>
      </c>
      <c r="D642" s="43" t="s">
        <v>624</v>
      </c>
      <c r="E642" s="38" t="s">
        <v>624</v>
      </c>
      <c r="F642" s="6" t="s">
        <v>2244</v>
      </c>
      <c r="G642" s="28" t="s">
        <v>2245</v>
      </c>
      <c r="H642" s="6" t="s">
        <v>2246</v>
      </c>
      <c r="I642" s="49" t="s">
        <v>3337</v>
      </c>
      <c r="J642" s="73" t="s">
        <v>3151</v>
      </c>
      <c r="K642" s="23" t="s">
        <v>4659</v>
      </c>
      <c r="L642" s="60" t="s">
        <v>3291</v>
      </c>
      <c r="M642" s="60" t="s">
        <v>3289</v>
      </c>
      <c r="N642" s="60" t="s">
        <v>3289</v>
      </c>
      <c r="O642" s="60"/>
      <c r="P642" s="60" t="s">
        <v>3323</v>
      </c>
      <c r="Q642" s="20">
        <v>1</v>
      </c>
    </row>
    <row r="643" spans="1:17" ht="80" x14ac:dyDescent="0.2">
      <c r="A643" s="71">
        <v>642</v>
      </c>
      <c r="B643" s="107" t="str">
        <f>HYPERLINK("https://www.ncbi.nlm.nih.gov/gene/27434", "27434")</f>
        <v>27434</v>
      </c>
      <c r="C643" s="109" t="str">
        <f>HYPERLINK("https://www.uniprot.org/uniprot/Q9NP87", "Q9NP87")</f>
        <v>Q9NP87</v>
      </c>
      <c r="D643" s="43" t="s">
        <v>625</v>
      </c>
      <c r="E643" s="38" t="s">
        <v>625</v>
      </c>
      <c r="F643" s="6" t="s">
        <v>2247</v>
      </c>
      <c r="G643" s="28" t="s">
        <v>2248</v>
      </c>
      <c r="H643" s="6" t="s">
        <v>2249</v>
      </c>
      <c r="I643" s="49" t="s">
        <v>2826</v>
      </c>
      <c r="J643" s="73">
        <v>12578393</v>
      </c>
      <c r="K643" s="30" t="s">
        <v>4660</v>
      </c>
      <c r="L643" s="60" t="s">
        <v>3291</v>
      </c>
      <c r="M643" s="60" t="s">
        <v>3289</v>
      </c>
      <c r="N643" s="60" t="s">
        <v>3291</v>
      </c>
      <c r="O643" s="60"/>
      <c r="P643" s="60" t="s">
        <v>3323</v>
      </c>
      <c r="Q643" s="20">
        <v>1</v>
      </c>
    </row>
    <row r="644" spans="1:17" ht="64" x14ac:dyDescent="0.2">
      <c r="A644" s="71">
        <v>643</v>
      </c>
      <c r="B644" s="107" t="str">
        <f>HYPERLINK("https://www.ncbi.nlm.nih.gov/gene/353497", "353497")</f>
        <v>353497</v>
      </c>
      <c r="C644" s="109" t="str">
        <f>HYPERLINK("https://www.uniprot.org/uniprot/Q7Z5Q5", "Q7Z5Q5")</f>
        <v>Q7Z5Q5</v>
      </c>
      <c r="D644" s="43" t="s">
        <v>626</v>
      </c>
      <c r="E644" s="16" t="s">
        <v>626</v>
      </c>
      <c r="F644" s="28"/>
      <c r="G644" s="28" t="s">
        <v>3438</v>
      </c>
      <c r="H644" s="28" t="s">
        <v>3439</v>
      </c>
      <c r="I644" s="31" t="s">
        <v>2826</v>
      </c>
      <c r="J644" s="73" t="s">
        <v>3152</v>
      </c>
      <c r="K644" s="30" t="s">
        <v>4661</v>
      </c>
      <c r="L644" s="60" t="s">
        <v>3291</v>
      </c>
      <c r="M644" s="60" t="s">
        <v>3289</v>
      </c>
      <c r="N644" s="60" t="s">
        <v>3291</v>
      </c>
      <c r="O644" s="60"/>
      <c r="P644" s="60" t="s">
        <v>3323</v>
      </c>
      <c r="Q644" s="20">
        <v>1</v>
      </c>
    </row>
    <row r="645" spans="1:17" ht="96" x14ac:dyDescent="0.2">
      <c r="A645" s="71">
        <v>644</v>
      </c>
      <c r="B645" s="107" t="str">
        <f>HYPERLINK("https://www.ncbi.nlm.nih.gov/gene/10721", "10721")</f>
        <v>10721</v>
      </c>
      <c r="C645" s="109" t="str">
        <f>HYPERLINK("https://www.uniprot.org/uniprot/O75417", "O75417")</f>
        <v>O75417</v>
      </c>
      <c r="D645" s="43" t="s">
        <v>627</v>
      </c>
      <c r="E645" s="16" t="s">
        <v>627</v>
      </c>
      <c r="F645" s="5"/>
      <c r="G645" s="28" t="s">
        <v>5024</v>
      </c>
      <c r="H645" s="6" t="s">
        <v>2250</v>
      </c>
      <c r="I645" s="49" t="s">
        <v>2826</v>
      </c>
      <c r="J645" s="73">
        <v>27533083</v>
      </c>
      <c r="K645" s="23" t="s">
        <v>4662</v>
      </c>
      <c r="L645" s="60" t="s">
        <v>3289</v>
      </c>
      <c r="M645" s="60" t="s">
        <v>3289</v>
      </c>
      <c r="N645" s="60" t="s">
        <v>3291</v>
      </c>
      <c r="O645" s="60"/>
      <c r="P645" s="60" t="s">
        <v>3323</v>
      </c>
      <c r="Q645" s="20">
        <v>1</v>
      </c>
    </row>
    <row r="646" spans="1:17" ht="64" x14ac:dyDescent="0.2">
      <c r="A646" s="71">
        <v>645</v>
      </c>
      <c r="B646" s="107" t="str">
        <f>HYPERLINK("https://www.ncbi.nlm.nih.gov/gene/10631", "10631")</f>
        <v>10631</v>
      </c>
      <c r="C646" s="109" t="str">
        <f>HYPERLINK("https://www.uniprot.org/uniprot/Q15063", "Q15063")</f>
        <v>Q15063</v>
      </c>
      <c r="D646" s="43" t="s">
        <v>628</v>
      </c>
      <c r="E646" s="34" t="s">
        <v>628</v>
      </c>
      <c r="F646" s="86" t="s">
        <v>2251</v>
      </c>
      <c r="G646" s="28" t="s">
        <v>2252</v>
      </c>
      <c r="H646" s="28" t="s">
        <v>4125</v>
      </c>
      <c r="I646" s="31" t="s">
        <v>5354</v>
      </c>
      <c r="J646" s="73">
        <v>26716408</v>
      </c>
      <c r="K646" s="23" t="s">
        <v>4663</v>
      </c>
      <c r="L646" s="60" t="s">
        <v>3289</v>
      </c>
      <c r="M646" s="60" t="s">
        <v>3289</v>
      </c>
      <c r="N646" s="60" t="s">
        <v>3291</v>
      </c>
      <c r="O646" s="60"/>
      <c r="P646" s="60" t="s">
        <v>5493</v>
      </c>
      <c r="Q646" s="20">
        <v>4</v>
      </c>
    </row>
    <row r="647" spans="1:17" ht="128" x14ac:dyDescent="0.2">
      <c r="A647" s="71">
        <v>646</v>
      </c>
      <c r="B647" s="107" t="str">
        <f>HYPERLINK("https://www.ncbi.nlm.nih.gov/gene/5460", "5460")</f>
        <v>5460</v>
      </c>
      <c r="C647" s="109" t="str">
        <f>HYPERLINK("https://www.uniprot.org/uniprot/Q01860", "Q01860")</f>
        <v>Q01860</v>
      </c>
      <c r="D647" s="43" t="s">
        <v>629</v>
      </c>
      <c r="E647" s="16" t="s">
        <v>629</v>
      </c>
      <c r="F647" s="5" t="s">
        <v>2253</v>
      </c>
      <c r="G647" s="28" t="s">
        <v>5025</v>
      </c>
      <c r="H647" s="6" t="s">
        <v>4126</v>
      </c>
      <c r="I647" s="49" t="s">
        <v>2827</v>
      </c>
      <c r="J647" s="73" t="s">
        <v>3153</v>
      </c>
      <c r="K647" s="13" t="s">
        <v>3800</v>
      </c>
      <c r="L647" s="60" t="s">
        <v>3289</v>
      </c>
      <c r="M647" s="60" t="s">
        <v>3289</v>
      </c>
      <c r="N647" s="60" t="s">
        <v>3291</v>
      </c>
      <c r="O647" s="60"/>
      <c r="P647" s="60" t="s">
        <v>3323</v>
      </c>
      <c r="Q647" s="20">
        <v>4</v>
      </c>
    </row>
    <row r="648" spans="1:17" ht="144" x14ac:dyDescent="0.2">
      <c r="A648" s="71">
        <v>647</v>
      </c>
      <c r="B648" s="107" t="str">
        <f>HYPERLINK("https://www.ncbi.nlm.nih.gov/gene/10891", "10891")</f>
        <v>10891</v>
      </c>
      <c r="C648" s="109" t="str">
        <f>HYPERLINK("https://www.uniprot.org/uniprot/Q9UBK2", "Q9UBK2")</f>
        <v>Q9UBK2</v>
      </c>
      <c r="D648" s="43" t="s">
        <v>630</v>
      </c>
      <c r="E648" s="16" t="s">
        <v>630</v>
      </c>
      <c r="F648" s="5" t="s">
        <v>2254</v>
      </c>
      <c r="G648" s="28" t="s">
        <v>2255</v>
      </c>
      <c r="H648" s="6" t="s">
        <v>2256</v>
      </c>
      <c r="I648" s="49" t="s">
        <v>3340</v>
      </c>
      <c r="J648" s="73" t="s">
        <v>3154</v>
      </c>
      <c r="K648" s="13" t="s">
        <v>3801</v>
      </c>
      <c r="L648" s="60" t="s">
        <v>3289</v>
      </c>
      <c r="M648" s="60" t="s">
        <v>3289</v>
      </c>
      <c r="N648" s="60" t="s">
        <v>3289</v>
      </c>
      <c r="O648" s="60"/>
      <c r="P648" s="60" t="s">
        <v>3323</v>
      </c>
      <c r="Q648" s="20">
        <v>1</v>
      </c>
    </row>
    <row r="649" spans="1:17" ht="128" x14ac:dyDescent="0.2">
      <c r="A649" s="71">
        <v>648</v>
      </c>
      <c r="B649" s="107" t="str">
        <f>HYPERLINK("https://www.ncbi.nlm.nih.gov/gene/133522", "133522")</f>
        <v>133522</v>
      </c>
      <c r="C649" s="109" t="str">
        <f>HYPERLINK("https://www.uniprot.org/uniprot/Q86YN6", "Q86YN6")</f>
        <v>Q86YN6</v>
      </c>
      <c r="D649" s="43" t="s">
        <v>631</v>
      </c>
      <c r="E649" s="16" t="s">
        <v>631</v>
      </c>
      <c r="F649" s="5" t="s">
        <v>2257</v>
      </c>
      <c r="G649" s="28" t="s">
        <v>2258</v>
      </c>
      <c r="H649" s="6" t="s">
        <v>2259</v>
      </c>
      <c r="I649" s="49" t="s">
        <v>5355</v>
      </c>
      <c r="J649" s="73">
        <v>22777349</v>
      </c>
      <c r="K649" s="13" t="s">
        <v>3802</v>
      </c>
      <c r="L649" s="60" t="s">
        <v>3289</v>
      </c>
      <c r="M649" s="60" t="s">
        <v>3289</v>
      </c>
      <c r="N649" s="60" t="s">
        <v>3291</v>
      </c>
      <c r="O649" s="60"/>
      <c r="P649" s="60" t="s">
        <v>3323</v>
      </c>
      <c r="Q649" s="20">
        <v>1</v>
      </c>
    </row>
    <row r="650" spans="1:17" ht="128" x14ac:dyDescent="0.2">
      <c r="A650" s="71">
        <v>649</v>
      </c>
      <c r="B650" s="107" t="str">
        <f>HYPERLINK("https://www.ncbi.nlm.nih.gov/gene/5493", "5493")</f>
        <v>5493</v>
      </c>
      <c r="C650" s="109" t="str">
        <f>HYPERLINK("https://www.uniprot.org/uniprot/O60437", "O60437")</f>
        <v>O60437</v>
      </c>
      <c r="D650" s="43" t="s">
        <v>632</v>
      </c>
      <c r="E650" s="16" t="s">
        <v>632</v>
      </c>
      <c r="F650" s="5"/>
      <c r="G650" s="28" t="s">
        <v>2260</v>
      </c>
      <c r="H650" s="6" t="s">
        <v>2261</v>
      </c>
      <c r="I650" s="49" t="s">
        <v>5356</v>
      </c>
      <c r="J650" s="73">
        <v>19583808</v>
      </c>
      <c r="K650" s="13" t="s">
        <v>3803</v>
      </c>
      <c r="L650" s="60" t="s">
        <v>3289</v>
      </c>
      <c r="M650" s="60" t="s">
        <v>3289</v>
      </c>
      <c r="N650" s="60" t="s">
        <v>3291</v>
      </c>
      <c r="O650" s="60"/>
      <c r="P650" s="60" t="s">
        <v>3323</v>
      </c>
      <c r="Q650" s="20">
        <v>1</v>
      </c>
    </row>
    <row r="651" spans="1:17" ht="112" x14ac:dyDescent="0.2">
      <c r="A651" s="71">
        <v>650</v>
      </c>
      <c r="B651" s="107" t="str">
        <f>HYPERLINK("https://www.ncbi.nlm.nih.gov/gene/8493", "8493")</f>
        <v>8493</v>
      </c>
      <c r="C651" s="109" t="str">
        <f>HYPERLINK("https://www.uniprot.org/uniprot/O15297", "O15297")</f>
        <v>O15297</v>
      </c>
      <c r="D651" s="43" t="s">
        <v>633</v>
      </c>
      <c r="E651" s="35" t="s">
        <v>633</v>
      </c>
      <c r="F651" s="30" t="s">
        <v>2262</v>
      </c>
      <c r="G651" s="30" t="s">
        <v>2263</v>
      </c>
      <c r="H651" s="30" t="s">
        <v>4127</v>
      </c>
      <c r="I651" s="47" t="s">
        <v>5357</v>
      </c>
      <c r="J651" s="73" t="s">
        <v>3155</v>
      </c>
      <c r="K651" s="30" t="s">
        <v>4664</v>
      </c>
      <c r="L651" s="60" t="s">
        <v>3289</v>
      </c>
      <c r="M651" s="60" t="s">
        <v>3289</v>
      </c>
      <c r="N651" s="60" t="s">
        <v>3311</v>
      </c>
      <c r="O651" s="60"/>
      <c r="P651" s="60" t="s">
        <v>5495</v>
      </c>
      <c r="Q651" s="20">
        <v>2</v>
      </c>
    </row>
    <row r="652" spans="1:17" ht="112" x14ac:dyDescent="0.2">
      <c r="A652" s="71">
        <v>651</v>
      </c>
      <c r="B652" s="107" t="str">
        <f>HYPERLINK("https://www.ncbi.nlm.nih.gov/gene/5515", "5515")</f>
        <v>5515</v>
      </c>
      <c r="C652" s="109" t="str">
        <f>HYPERLINK("https://www.uniprot.org/uniprot/P67775", "P67775")</f>
        <v>P67775</v>
      </c>
      <c r="D652" s="43" t="s">
        <v>634</v>
      </c>
      <c r="E652" s="35" t="s">
        <v>634</v>
      </c>
      <c r="F652" s="30"/>
      <c r="G652" s="30" t="s">
        <v>2264</v>
      </c>
      <c r="H652" s="30" t="s">
        <v>2265</v>
      </c>
      <c r="I652" s="47" t="s">
        <v>5358</v>
      </c>
      <c r="J652" s="73">
        <v>23518861</v>
      </c>
      <c r="K652" s="23" t="s">
        <v>4665</v>
      </c>
      <c r="L652" s="60" t="s">
        <v>3292</v>
      </c>
      <c r="M652" s="60" t="s">
        <v>3292</v>
      </c>
      <c r="N652" s="60" t="s">
        <v>3291</v>
      </c>
      <c r="O652" s="60"/>
      <c r="P652" s="60" t="s">
        <v>5492</v>
      </c>
      <c r="Q652" s="20">
        <v>4</v>
      </c>
    </row>
    <row r="653" spans="1:17" ht="128" x14ac:dyDescent="0.2">
      <c r="A653" s="71">
        <v>652</v>
      </c>
      <c r="B653" s="107" t="str">
        <f>HYPERLINK("https://www.ncbi.nlm.nih.gov/gene/5520", "5520")</f>
        <v>5520</v>
      </c>
      <c r="C653" s="109" t="str">
        <f>HYPERLINK("https://www.uniprot.org/uniprot/P63151", "P63151")</f>
        <v>P63151</v>
      </c>
      <c r="D653" s="43" t="s">
        <v>635</v>
      </c>
      <c r="E653" s="34" t="s">
        <v>635</v>
      </c>
      <c r="F653" s="30"/>
      <c r="G653" s="28" t="s">
        <v>2266</v>
      </c>
      <c r="H653" s="28" t="s">
        <v>2267</v>
      </c>
      <c r="I653" s="31" t="s">
        <v>5359</v>
      </c>
      <c r="J653" s="73" t="s">
        <v>3156</v>
      </c>
      <c r="K653" s="23" t="s">
        <v>4666</v>
      </c>
      <c r="L653" s="60" t="s">
        <v>3292</v>
      </c>
      <c r="M653" s="60" t="s">
        <v>3292</v>
      </c>
      <c r="N653" s="60" t="s">
        <v>3291</v>
      </c>
      <c r="O653" s="60"/>
      <c r="P653" s="60" t="s">
        <v>3323</v>
      </c>
      <c r="Q653" s="20">
        <v>1</v>
      </c>
    </row>
    <row r="654" spans="1:17" ht="112" x14ac:dyDescent="0.2">
      <c r="A654" s="71">
        <v>653</v>
      </c>
      <c r="B654" s="107" t="str">
        <f>HYPERLINK("https://www.ncbi.nlm.nih.gov/gene/10935", "10935")</f>
        <v>10935</v>
      </c>
      <c r="C654" s="109" t="str">
        <f>HYPERLINK("https://www.uniprot.org/uniprot/P30048", "P30048")</f>
        <v>P30048</v>
      </c>
      <c r="D654" s="43" t="s">
        <v>636</v>
      </c>
      <c r="E654" s="35" t="s">
        <v>636</v>
      </c>
      <c r="F654" s="30" t="s">
        <v>2268</v>
      </c>
      <c r="G654" s="30" t="s">
        <v>2269</v>
      </c>
      <c r="H654" s="30" t="s">
        <v>2270</v>
      </c>
      <c r="I654" s="47" t="s">
        <v>5259</v>
      </c>
      <c r="J654" s="73" t="s">
        <v>3157</v>
      </c>
      <c r="K654" s="23" t="s">
        <v>4667</v>
      </c>
      <c r="L654" s="60" t="s">
        <v>3289</v>
      </c>
      <c r="M654" s="60" t="s">
        <v>3289</v>
      </c>
      <c r="N654" s="60" t="s">
        <v>3291</v>
      </c>
      <c r="O654" s="60"/>
      <c r="P654" s="60" t="s">
        <v>5492</v>
      </c>
      <c r="Q654" s="20">
        <v>4</v>
      </c>
    </row>
    <row r="655" spans="1:17" ht="64" x14ac:dyDescent="0.2">
      <c r="A655" s="71">
        <v>654</v>
      </c>
      <c r="B655" s="107" t="str">
        <f>HYPERLINK("https://www.ncbi.nlm.nih.gov/gene/5562", "5562")</f>
        <v>5562</v>
      </c>
      <c r="C655" s="109" t="str">
        <f>HYPERLINK("https://www.uniprot.org/uniprot/Q13131", "Q13131")</f>
        <v>Q13131</v>
      </c>
      <c r="D655" s="43" t="s">
        <v>637</v>
      </c>
      <c r="E655" s="34" t="s">
        <v>637</v>
      </c>
      <c r="F655" s="30" t="s">
        <v>2271</v>
      </c>
      <c r="G655" s="28" t="s">
        <v>2272</v>
      </c>
      <c r="H655" s="28" t="s">
        <v>2273</v>
      </c>
      <c r="I655" s="31" t="s">
        <v>5358</v>
      </c>
      <c r="J655" s="73" t="s">
        <v>3158</v>
      </c>
      <c r="K655" s="23" t="s">
        <v>4668</v>
      </c>
      <c r="L655" s="60" t="s">
        <v>3295</v>
      </c>
      <c r="M655" s="60" t="s">
        <v>3295</v>
      </c>
      <c r="N655" s="60" t="s">
        <v>3291</v>
      </c>
      <c r="O655" s="60"/>
      <c r="P655" s="60" t="s">
        <v>5492</v>
      </c>
      <c r="Q655" s="20">
        <v>4</v>
      </c>
    </row>
    <row r="656" spans="1:17" ht="80" x14ac:dyDescent="0.2">
      <c r="A656" s="71">
        <v>655</v>
      </c>
      <c r="B656" s="107" t="str">
        <f>HYPERLINK("https://www.ncbi.nlm.nih.gov/gene/5563", "5563")</f>
        <v>5563</v>
      </c>
      <c r="C656" s="109" t="str">
        <f>HYPERLINK("https://www.uniprot.org/uniprot/P54646", "P54646")</f>
        <v>P54646</v>
      </c>
      <c r="D656" s="43" t="s">
        <v>638</v>
      </c>
      <c r="E656" s="34" t="s">
        <v>638</v>
      </c>
      <c r="F656" s="30" t="s">
        <v>2274</v>
      </c>
      <c r="G656" s="28" t="s">
        <v>2275</v>
      </c>
      <c r="H656" s="28" t="s">
        <v>2276</v>
      </c>
      <c r="I656" s="31" t="s">
        <v>5360</v>
      </c>
      <c r="J656" s="73" t="s">
        <v>3159</v>
      </c>
      <c r="K656" s="23" t="s">
        <v>4669</v>
      </c>
      <c r="L656" s="60" t="s">
        <v>3290</v>
      </c>
      <c r="M656" s="60" t="s">
        <v>3290</v>
      </c>
      <c r="N656" s="60" t="s">
        <v>3291</v>
      </c>
      <c r="O656" s="60"/>
      <c r="P656" s="60" t="s">
        <v>3323</v>
      </c>
      <c r="Q656" s="20">
        <v>1</v>
      </c>
    </row>
    <row r="657" spans="1:17" ht="64" x14ac:dyDescent="0.2">
      <c r="A657" s="71">
        <v>656</v>
      </c>
      <c r="B657" s="107" t="str">
        <f>HYPERLINK("https://www.ncbi.nlm.nih.gov/gene/5564", "5564")</f>
        <v>5564</v>
      </c>
      <c r="C657" s="109" t="str">
        <f>HYPERLINK("https://www.uniprot.org/uniprot/Q9Y478", "Q9Y478")</f>
        <v>Q9Y478</v>
      </c>
      <c r="D657" s="43" t="s">
        <v>639</v>
      </c>
      <c r="E657" s="34" t="s">
        <v>639</v>
      </c>
      <c r="F657" s="30"/>
      <c r="G657" s="28" t="s">
        <v>5026</v>
      </c>
      <c r="H657" s="28" t="s">
        <v>3440</v>
      </c>
      <c r="I657" s="31" t="s">
        <v>5358</v>
      </c>
      <c r="J657" s="73">
        <v>20722101</v>
      </c>
      <c r="K657" s="23" t="s">
        <v>4670</v>
      </c>
      <c r="L657" s="60" t="s">
        <v>3291</v>
      </c>
      <c r="M657" s="60" t="s">
        <v>3289</v>
      </c>
      <c r="N657" s="60" t="s">
        <v>3291</v>
      </c>
      <c r="O657" s="60"/>
      <c r="P657" s="60" t="s">
        <v>3323</v>
      </c>
      <c r="Q657" s="20">
        <v>1</v>
      </c>
    </row>
    <row r="658" spans="1:17" ht="64" x14ac:dyDescent="0.2">
      <c r="A658" s="71">
        <v>657</v>
      </c>
      <c r="B658" s="107" t="str">
        <f>HYPERLINK("https://www.ncbi.nlm.nih.gov/gene/5565", "5565")</f>
        <v>5565</v>
      </c>
      <c r="C658" s="109" t="str">
        <f>HYPERLINK("https://www.uniprot.org/uniprot/O43741", "O43741")</f>
        <v>O43741</v>
      </c>
      <c r="D658" s="43" t="s">
        <v>640</v>
      </c>
      <c r="E658" s="34" t="s">
        <v>640</v>
      </c>
      <c r="F658" s="30"/>
      <c r="G658" s="28" t="s">
        <v>5027</v>
      </c>
      <c r="H658" s="28" t="s">
        <v>3440</v>
      </c>
      <c r="I658" s="31" t="s">
        <v>5358</v>
      </c>
      <c r="J658" s="73" t="s">
        <v>3158</v>
      </c>
      <c r="K658" s="23" t="s">
        <v>4671</v>
      </c>
      <c r="L658" s="60" t="s">
        <v>3291</v>
      </c>
      <c r="M658" s="60" t="s">
        <v>3289</v>
      </c>
      <c r="N658" s="60" t="s">
        <v>3291</v>
      </c>
      <c r="O658" s="60"/>
      <c r="P658" s="60" t="s">
        <v>3323</v>
      </c>
      <c r="Q658" s="20">
        <v>1</v>
      </c>
    </row>
    <row r="659" spans="1:17" ht="160" x14ac:dyDescent="0.2">
      <c r="A659" s="71">
        <v>658</v>
      </c>
      <c r="B659" s="107" t="str">
        <f>HYPERLINK("https://www.ncbi.nlm.nih.gov/gene/5573", "5573")</f>
        <v>5573</v>
      </c>
      <c r="C659" s="109" t="str">
        <f>HYPERLINK("https://www.uniprot.org/uniprot/P10644", "P10644")</f>
        <v>P10644</v>
      </c>
      <c r="D659" s="43" t="s">
        <v>641</v>
      </c>
      <c r="E659" s="16" t="s">
        <v>641</v>
      </c>
      <c r="F659" s="5" t="s">
        <v>2277</v>
      </c>
      <c r="G659" s="28" t="s">
        <v>2278</v>
      </c>
      <c r="H659" s="6" t="s">
        <v>4128</v>
      </c>
      <c r="I659" s="49" t="s">
        <v>2841</v>
      </c>
      <c r="J659" s="73" t="s">
        <v>3160</v>
      </c>
      <c r="K659" s="13" t="s">
        <v>3161</v>
      </c>
      <c r="L659" s="60" t="s">
        <v>3292</v>
      </c>
      <c r="M659" s="60" t="s">
        <v>3292</v>
      </c>
      <c r="N659" s="60" t="s">
        <v>3291</v>
      </c>
      <c r="O659" s="60"/>
      <c r="P659" s="60" t="s">
        <v>5492</v>
      </c>
      <c r="Q659" s="20">
        <v>4</v>
      </c>
    </row>
    <row r="660" spans="1:17" ht="176" x14ac:dyDescent="0.2">
      <c r="A660" s="71">
        <v>659</v>
      </c>
      <c r="B660" s="107" t="str">
        <f>HYPERLINK("https://www.ncbi.nlm.nih.gov/gene/5578", "5578")</f>
        <v>5578</v>
      </c>
      <c r="C660" s="109" t="str">
        <f>HYPERLINK("https://www.uniprot.org/uniprot/P17252", "P17252")</f>
        <v>P17252</v>
      </c>
      <c r="D660" s="43" t="s">
        <v>642</v>
      </c>
      <c r="E660" s="16" t="s">
        <v>642</v>
      </c>
      <c r="F660" s="5" t="s">
        <v>2279</v>
      </c>
      <c r="G660" s="28" t="s">
        <v>2280</v>
      </c>
      <c r="H660" s="6" t="s">
        <v>2281</v>
      </c>
      <c r="I660" s="49" t="s">
        <v>5361</v>
      </c>
      <c r="J660" s="73" t="s">
        <v>3162</v>
      </c>
      <c r="K660" s="13" t="s">
        <v>3559</v>
      </c>
      <c r="L660" s="60" t="s">
        <v>3290</v>
      </c>
      <c r="M660" s="60" t="s">
        <v>3290</v>
      </c>
      <c r="N660" s="60" t="s">
        <v>3289</v>
      </c>
      <c r="O660" s="60"/>
      <c r="P660" s="60" t="s">
        <v>3323</v>
      </c>
      <c r="Q660" s="20">
        <v>1</v>
      </c>
    </row>
    <row r="661" spans="1:17" ht="112" x14ac:dyDescent="0.2">
      <c r="A661" s="71">
        <v>660</v>
      </c>
      <c r="B661" s="107" t="str">
        <f>HYPERLINK("https://www.ncbi.nlm.nih.gov/gene/5579", "5579")</f>
        <v>5579</v>
      </c>
      <c r="C661" s="109" t="str">
        <f>HYPERLINK("https://www.uniprot.org/uniprot/P05771", "P05771")</f>
        <v>P05771</v>
      </c>
      <c r="D661" s="43" t="s">
        <v>643</v>
      </c>
      <c r="E661" s="16" t="s">
        <v>643</v>
      </c>
      <c r="F661" s="5" t="s">
        <v>2282</v>
      </c>
      <c r="G661" s="28" t="s">
        <v>2283</v>
      </c>
      <c r="H661" s="6" t="s">
        <v>3441</v>
      </c>
      <c r="I661" s="49" t="s">
        <v>5361</v>
      </c>
      <c r="J661" s="73" t="s">
        <v>3163</v>
      </c>
      <c r="K661" s="13" t="s">
        <v>3804</v>
      </c>
      <c r="L661" s="60" t="s">
        <v>3290</v>
      </c>
      <c r="M661" s="60" t="s">
        <v>3290</v>
      </c>
      <c r="N661" s="60" t="s">
        <v>3291</v>
      </c>
      <c r="O661" s="60"/>
      <c r="P661" s="60" t="s">
        <v>3323</v>
      </c>
      <c r="Q661" s="20">
        <v>1</v>
      </c>
    </row>
    <row r="662" spans="1:17" ht="160" x14ac:dyDescent="0.2">
      <c r="A662" s="71">
        <v>661</v>
      </c>
      <c r="B662" s="107" t="str">
        <f>HYPERLINK("https://www.ncbi.nlm.nih.gov/gene/5580", "5580")</f>
        <v>5580</v>
      </c>
      <c r="C662" s="109" t="str">
        <f>HYPERLINK("https://www.uniprot.org/uniprot/Q05655", "Q05655")</f>
        <v>Q05655</v>
      </c>
      <c r="D662" s="43" t="s">
        <v>644</v>
      </c>
      <c r="E662" s="35" t="s">
        <v>644</v>
      </c>
      <c r="F662" s="30"/>
      <c r="G662" s="30" t="s">
        <v>2284</v>
      </c>
      <c r="H662" s="30" t="s">
        <v>2285</v>
      </c>
      <c r="I662" s="47" t="s">
        <v>2857</v>
      </c>
      <c r="J662" s="73" t="s">
        <v>3164</v>
      </c>
      <c r="K662" s="23" t="s">
        <v>4672</v>
      </c>
      <c r="L662" s="60" t="s">
        <v>3292</v>
      </c>
      <c r="M662" s="60" t="s">
        <v>3292</v>
      </c>
      <c r="N662" s="60" t="s">
        <v>3289</v>
      </c>
      <c r="O662" s="60"/>
      <c r="P662" s="60" t="s">
        <v>5493</v>
      </c>
      <c r="Q662" s="20">
        <v>4</v>
      </c>
    </row>
    <row r="663" spans="1:17" ht="80" x14ac:dyDescent="0.2">
      <c r="A663" s="71">
        <v>662</v>
      </c>
      <c r="B663" s="107" t="str">
        <f>HYPERLINK("https://www.ncbi.nlm.nih.gov/gene/5591", "5591")</f>
        <v>5591</v>
      </c>
      <c r="C663" s="109" t="str">
        <f>HYPERLINK("https://www.uniprot.org/uniprot/P78527", "P78527")</f>
        <v>P78527</v>
      </c>
      <c r="D663" s="43" t="s">
        <v>645</v>
      </c>
      <c r="E663" s="16" t="s">
        <v>645</v>
      </c>
      <c r="F663" s="28" t="s">
        <v>2286</v>
      </c>
      <c r="G663" s="28" t="s">
        <v>2287</v>
      </c>
      <c r="H663" s="30" t="s">
        <v>2288</v>
      </c>
      <c r="I663" s="47" t="s">
        <v>5362</v>
      </c>
      <c r="J663" s="73" t="s">
        <v>3593</v>
      </c>
      <c r="K663" s="23" t="s">
        <v>4673</v>
      </c>
      <c r="L663" s="60" t="s">
        <v>3290</v>
      </c>
      <c r="M663" s="60" t="s">
        <v>3290</v>
      </c>
      <c r="N663" s="60" t="s">
        <v>3289</v>
      </c>
      <c r="O663" s="60"/>
      <c r="P663" s="60" t="s">
        <v>5492</v>
      </c>
      <c r="Q663" s="20">
        <v>4</v>
      </c>
    </row>
    <row r="664" spans="1:17" ht="144" x14ac:dyDescent="0.2">
      <c r="A664" s="71">
        <v>663</v>
      </c>
      <c r="B664" s="107" t="str">
        <f>HYPERLINK("https://www.ncbi.nlm.nih.gov/gene/5592", "5592")</f>
        <v>5592</v>
      </c>
      <c r="C664" s="109" t="str">
        <f>HYPERLINK("https://www.uniprot.org/uniprot/Q13976", "Q13976")</f>
        <v>Q13976</v>
      </c>
      <c r="D664" s="43" t="s">
        <v>646</v>
      </c>
      <c r="E664" s="35" t="s">
        <v>646</v>
      </c>
      <c r="F664" s="30" t="s">
        <v>2289</v>
      </c>
      <c r="G664" s="30" t="s">
        <v>2290</v>
      </c>
      <c r="H664" s="30" t="s">
        <v>2291</v>
      </c>
      <c r="I664" s="47" t="s">
        <v>5363</v>
      </c>
      <c r="J664" s="73" t="s">
        <v>3165</v>
      </c>
      <c r="K664" s="23" t="s">
        <v>4674</v>
      </c>
      <c r="L664" s="60" t="s">
        <v>3291</v>
      </c>
      <c r="M664" s="60" t="s">
        <v>3289</v>
      </c>
      <c r="N664" s="60" t="s">
        <v>3291</v>
      </c>
      <c r="O664" s="60"/>
      <c r="P664" s="60" t="s">
        <v>3323</v>
      </c>
      <c r="Q664" s="20">
        <v>4</v>
      </c>
    </row>
    <row r="665" spans="1:17" ht="64" x14ac:dyDescent="0.2">
      <c r="A665" s="71">
        <v>664</v>
      </c>
      <c r="B665" s="107" t="str">
        <f>HYPERLINK("https://www.ncbi.nlm.nih.gov/gene/8575", "8575")</f>
        <v>8575</v>
      </c>
      <c r="C665" s="109" t="str">
        <f>HYPERLINK("https://www.uniprot.org/uniprot/O75569", "O75569")</f>
        <v>O75569</v>
      </c>
      <c r="D665" s="43" t="s">
        <v>647</v>
      </c>
      <c r="E665" s="35" t="s">
        <v>647</v>
      </c>
      <c r="F665" s="30" t="s">
        <v>2292</v>
      </c>
      <c r="G665" s="30" t="s">
        <v>2293</v>
      </c>
      <c r="H665" s="30" t="s">
        <v>4129</v>
      </c>
      <c r="I665" s="47" t="s">
        <v>5364</v>
      </c>
      <c r="J665" s="73">
        <v>30305341</v>
      </c>
      <c r="K665" s="23" t="s">
        <v>4675</v>
      </c>
      <c r="L665" s="60" t="s">
        <v>3291</v>
      </c>
      <c r="M665" s="60" t="s">
        <v>3289</v>
      </c>
      <c r="N665" s="60" t="s">
        <v>3291</v>
      </c>
      <c r="O665" s="60"/>
      <c r="P665" s="60" t="s">
        <v>5495</v>
      </c>
      <c r="Q665" s="20">
        <v>2</v>
      </c>
    </row>
    <row r="666" spans="1:17" ht="144" x14ac:dyDescent="0.2">
      <c r="A666" s="71">
        <v>665</v>
      </c>
      <c r="B666" s="107" t="str">
        <f>HYPERLINK("https://www.ncbi.nlm.nih.gov/gene/8842", "8842")</f>
        <v>8842</v>
      </c>
      <c r="C666" s="109" t="str">
        <f>HYPERLINK("https://www.uniprot.org/uniprot/O43490", "O43490")</f>
        <v>O43490</v>
      </c>
      <c r="D666" s="43" t="s">
        <v>648</v>
      </c>
      <c r="E666" s="16" t="s">
        <v>648</v>
      </c>
      <c r="F666" s="28" t="s">
        <v>2294</v>
      </c>
      <c r="G666" s="28" t="s">
        <v>2295</v>
      </c>
      <c r="H666" s="28" t="s">
        <v>4130</v>
      </c>
      <c r="I666" s="31" t="s">
        <v>5365</v>
      </c>
      <c r="J666" s="73" t="s">
        <v>3166</v>
      </c>
      <c r="K666" s="23" t="s">
        <v>4676</v>
      </c>
      <c r="L666" s="60" t="s">
        <v>3289</v>
      </c>
      <c r="M666" s="60" t="s">
        <v>3289</v>
      </c>
      <c r="N666" s="60" t="s">
        <v>3291</v>
      </c>
      <c r="O666" s="60"/>
      <c r="P666" s="60" t="s">
        <v>5494</v>
      </c>
      <c r="Q666" s="20">
        <v>5</v>
      </c>
    </row>
    <row r="667" spans="1:17" ht="128" x14ac:dyDescent="0.2">
      <c r="A667" s="71">
        <v>666</v>
      </c>
      <c r="B667" s="107" t="str">
        <f>HYPERLINK("https://www.ncbi.nlm.nih.gov/gene/54458", "54458")</f>
        <v>54458</v>
      </c>
      <c r="C667" s="109" t="str">
        <f>HYPERLINK("https://www.uniprot.org/uniprot/Q9NZ81", "Q9NZ81")</f>
        <v>Q9NZ81</v>
      </c>
      <c r="D667" s="43" t="s">
        <v>649</v>
      </c>
      <c r="E667" s="35" t="s">
        <v>649</v>
      </c>
      <c r="F667" s="30" t="s">
        <v>2296</v>
      </c>
      <c r="G667" s="30" t="s">
        <v>2297</v>
      </c>
      <c r="H667" s="30" t="s">
        <v>2298</v>
      </c>
      <c r="I667" s="47" t="s">
        <v>2838</v>
      </c>
      <c r="J667" s="73" t="s">
        <v>3167</v>
      </c>
      <c r="K667" s="23" t="s">
        <v>4677</v>
      </c>
      <c r="L667" s="60" t="s">
        <v>3289</v>
      </c>
      <c r="M667" s="60" t="s">
        <v>3289</v>
      </c>
      <c r="N667" s="60" t="s">
        <v>3291</v>
      </c>
      <c r="O667" s="60"/>
      <c r="P667" s="60" t="s">
        <v>5494</v>
      </c>
      <c r="Q667" s="20">
        <v>5</v>
      </c>
    </row>
    <row r="668" spans="1:17" ht="80" x14ac:dyDescent="0.2">
      <c r="A668" s="71">
        <v>667</v>
      </c>
      <c r="B668" s="107" t="str">
        <f>HYPERLINK("https://www.ncbi.nlm.nih.gov/gene/5644", "5644")</f>
        <v>5644</v>
      </c>
      <c r="C668" s="109" t="str">
        <f>HYPERLINK("https://www.uniprot.org/uniprot/P07477", "P07477")</f>
        <v>P07477</v>
      </c>
      <c r="D668" s="43" t="s">
        <v>650</v>
      </c>
      <c r="E668" s="16" t="s">
        <v>650</v>
      </c>
      <c r="F668" s="5" t="s">
        <v>2299</v>
      </c>
      <c r="G668" s="28" t="s">
        <v>2300</v>
      </c>
      <c r="H668" s="70" t="s">
        <v>4131</v>
      </c>
      <c r="I668" s="100" t="s">
        <v>5366</v>
      </c>
      <c r="J668" s="73" t="s">
        <v>3352</v>
      </c>
      <c r="K668" s="13" t="s">
        <v>3805</v>
      </c>
      <c r="L668" s="60" t="s">
        <v>3289</v>
      </c>
      <c r="M668" s="60" t="s">
        <v>3289</v>
      </c>
      <c r="N668" s="60" t="s">
        <v>3291</v>
      </c>
      <c r="O668" s="60"/>
      <c r="P668" s="60" t="s">
        <v>5493</v>
      </c>
      <c r="Q668" s="20">
        <v>4</v>
      </c>
    </row>
    <row r="669" spans="1:17" ht="80" x14ac:dyDescent="0.2">
      <c r="A669" s="71">
        <v>668</v>
      </c>
      <c r="B669" s="107" t="str">
        <f>HYPERLINK("https://www.ncbi.nlm.nih.gov/gene/5699", "5699")</f>
        <v>5699</v>
      </c>
      <c r="C669" s="109" t="str">
        <f>HYPERLINK("https://www.uniprot.org/uniprot/P40306", "P40306")</f>
        <v>P40306</v>
      </c>
      <c r="D669" s="43" t="s">
        <v>651</v>
      </c>
      <c r="E669" s="16" t="s">
        <v>651</v>
      </c>
      <c r="F669" s="5"/>
      <c r="G669" s="28" t="s">
        <v>2301</v>
      </c>
      <c r="H669" s="6" t="s">
        <v>3442</v>
      </c>
      <c r="I669" s="49" t="s">
        <v>2858</v>
      </c>
      <c r="J669" s="73">
        <v>23165153</v>
      </c>
      <c r="K669" s="13" t="s">
        <v>3806</v>
      </c>
      <c r="L669" s="60" t="s">
        <v>3289</v>
      </c>
      <c r="M669" s="60" t="s">
        <v>3289</v>
      </c>
      <c r="N669" s="60" t="s">
        <v>3291</v>
      </c>
      <c r="O669" s="60"/>
      <c r="P669" s="60" t="s">
        <v>3323</v>
      </c>
      <c r="Q669" s="20">
        <v>1</v>
      </c>
    </row>
    <row r="670" spans="1:17" ht="32" x14ac:dyDescent="0.2">
      <c r="A670" s="71">
        <v>669</v>
      </c>
      <c r="B670" s="107" t="str">
        <f>HYPERLINK("https://www.ncbi.nlm.nih.gov/gene/5698", "5698")</f>
        <v>5698</v>
      </c>
      <c r="C670" s="109" t="str">
        <f>HYPERLINK("https://www.uniprot.org/uniprot/P28065", "P28065")</f>
        <v>P28065</v>
      </c>
      <c r="D670" s="43" t="s">
        <v>652</v>
      </c>
      <c r="E670" s="16" t="s">
        <v>652</v>
      </c>
      <c r="F670" s="5"/>
      <c r="G670" s="28" t="s">
        <v>2302</v>
      </c>
      <c r="H670" s="6" t="s">
        <v>3443</v>
      </c>
      <c r="I670" s="49" t="s">
        <v>2858</v>
      </c>
      <c r="J670" s="73">
        <v>23165153</v>
      </c>
      <c r="K670" s="13" t="s">
        <v>3807</v>
      </c>
      <c r="L670" s="60" t="s">
        <v>3289</v>
      </c>
      <c r="M670" s="60" t="s">
        <v>3289</v>
      </c>
      <c r="N670" s="60" t="s">
        <v>3291</v>
      </c>
      <c r="O670" s="60"/>
      <c r="P670" s="60" t="s">
        <v>3323</v>
      </c>
      <c r="Q670" s="20">
        <v>1</v>
      </c>
    </row>
    <row r="671" spans="1:17" ht="80" x14ac:dyDescent="0.2">
      <c r="A671" s="71">
        <v>670</v>
      </c>
      <c r="B671" s="107" t="str">
        <f>HYPERLINK("https://www.ncbi.nlm.nih.gov/gene/5724", "5724")</f>
        <v>5724</v>
      </c>
      <c r="C671" s="109" t="str">
        <f>HYPERLINK("https://www.uniprot.org/uniprot/P25105", "P25105")</f>
        <v>P25105</v>
      </c>
      <c r="D671" s="43" t="s">
        <v>653</v>
      </c>
      <c r="E671" s="35" t="s">
        <v>653</v>
      </c>
      <c r="F671" s="30" t="s">
        <v>2303</v>
      </c>
      <c r="G671" s="30" t="s">
        <v>2304</v>
      </c>
      <c r="H671" s="30" t="s">
        <v>4132</v>
      </c>
      <c r="I671" s="47" t="s">
        <v>5367</v>
      </c>
      <c r="J671" s="73">
        <v>24921917</v>
      </c>
      <c r="K671" s="23" t="s">
        <v>4678</v>
      </c>
      <c r="L671" s="60" t="s">
        <v>3291</v>
      </c>
      <c r="M671" s="60" t="s">
        <v>3289</v>
      </c>
      <c r="N671" s="60" t="s">
        <v>3289</v>
      </c>
      <c r="O671" s="60"/>
      <c r="P671" s="60" t="s">
        <v>5495</v>
      </c>
      <c r="Q671" s="20">
        <v>2</v>
      </c>
    </row>
    <row r="672" spans="1:17" ht="80" x14ac:dyDescent="0.2">
      <c r="A672" s="71">
        <v>671</v>
      </c>
      <c r="B672" s="107" t="str">
        <f>HYPERLINK("https://www.ncbi.nlm.nih.gov/gene/5727", "5727")</f>
        <v>5727</v>
      </c>
      <c r="C672" s="109" t="str">
        <f>HYPERLINK("https://www.uniprot.org/uniprot/Q13635", "Q13635")</f>
        <v>Q13635</v>
      </c>
      <c r="D672" s="43" t="s">
        <v>654</v>
      </c>
      <c r="E672" s="16" t="s">
        <v>654</v>
      </c>
      <c r="F672" s="5" t="s">
        <v>2305</v>
      </c>
      <c r="G672" s="28" t="s">
        <v>2306</v>
      </c>
      <c r="H672" s="6" t="s">
        <v>4133</v>
      </c>
      <c r="I672" s="49" t="s">
        <v>5368</v>
      </c>
      <c r="J672" s="73">
        <v>30110910</v>
      </c>
      <c r="K672" s="13" t="s">
        <v>3808</v>
      </c>
      <c r="L672" s="60" t="s">
        <v>3289</v>
      </c>
      <c r="M672" s="60" t="s">
        <v>3289</v>
      </c>
      <c r="N672" s="60" t="s">
        <v>3291</v>
      </c>
      <c r="O672" s="60"/>
      <c r="P672" s="60" t="s">
        <v>3323</v>
      </c>
      <c r="Q672" s="20">
        <v>1</v>
      </c>
    </row>
    <row r="673" spans="1:17" ht="160" x14ac:dyDescent="0.2">
      <c r="A673" s="71">
        <v>672</v>
      </c>
      <c r="B673" s="107" t="str">
        <f>HYPERLINK("https://www.ncbi.nlm.nih.gov/gene/5728", "5728")</f>
        <v>5728</v>
      </c>
      <c r="C673" s="109" t="str">
        <f>HYPERLINK("https://www.uniprot.org/uniprot/P60484", "P60484")</f>
        <v>P60484</v>
      </c>
      <c r="D673" s="43" t="s">
        <v>655</v>
      </c>
      <c r="E673" s="16" t="s">
        <v>655</v>
      </c>
      <c r="F673" s="5" t="s">
        <v>2307</v>
      </c>
      <c r="G673" s="28" t="s">
        <v>2308</v>
      </c>
      <c r="H673" s="6" t="s">
        <v>4134</v>
      </c>
      <c r="I673" s="49" t="s">
        <v>5356</v>
      </c>
      <c r="J673" s="73" t="s">
        <v>3168</v>
      </c>
      <c r="K673" s="13" t="s">
        <v>3809</v>
      </c>
      <c r="L673" s="60" t="s">
        <v>3292</v>
      </c>
      <c r="M673" s="60" t="s">
        <v>3292</v>
      </c>
      <c r="N673" s="60" t="s">
        <v>3291</v>
      </c>
      <c r="O673" s="60"/>
      <c r="P673" s="60" t="s">
        <v>5494</v>
      </c>
      <c r="Q673" s="20">
        <v>5</v>
      </c>
    </row>
    <row r="674" spans="1:17" ht="112" x14ac:dyDescent="0.2">
      <c r="A674" s="71">
        <v>673</v>
      </c>
      <c r="B674" s="107" t="str">
        <f>HYPERLINK("https://www.ncbi.nlm.nih.gov/gene/5733", "5733")</f>
        <v>5733</v>
      </c>
      <c r="C674" s="109" t="str">
        <f>HYPERLINK("https://www.uniprot.org/uniprot/P43115", "P43115")</f>
        <v>P43115</v>
      </c>
      <c r="D674" s="43" t="s">
        <v>656</v>
      </c>
      <c r="E674" s="16" t="s">
        <v>656</v>
      </c>
      <c r="F674" s="9" t="s">
        <v>2309</v>
      </c>
      <c r="G674" s="28" t="s">
        <v>2310</v>
      </c>
      <c r="H674" s="6" t="s">
        <v>4135</v>
      </c>
      <c r="I674" s="49" t="s">
        <v>5369</v>
      </c>
      <c r="J674" s="73">
        <v>30655206</v>
      </c>
      <c r="K674" s="5" t="s">
        <v>3810</v>
      </c>
      <c r="L674" s="60" t="s">
        <v>3289</v>
      </c>
      <c r="M674" s="60" t="s">
        <v>3289</v>
      </c>
      <c r="N674" s="60" t="s">
        <v>3291</v>
      </c>
      <c r="O674" s="60" t="s">
        <v>5509</v>
      </c>
      <c r="P674" s="60" t="s">
        <v>5495</v>
      </c>
      <c r="Q674" s="20">
        <v>2</v>
      </c>
    </row>
    <row r="675" spans="1:17" ht="80" x14ac:dyDescent="0.2">
      <c r="A675" s="71">
        <v>674</v>
      </c>
      <c r="B675" s="107" t="str">
        <f>HYPERLINK("https://www.ncbi.nlm.nih.gov/gene/5743", "5743")</f>
        <v>5743</v>
      </c>
      <c r="C675" s="109" t="str">
        <f>HYPERLINK("https://www.uniprot.org/uniprot/P35354", "P35354")</f>
        <v>P35354</v>
      </c>
      <c r="D675" s="43" t="s">
        <v>657</v>
      </c>
      <c r="E675" s="35" t="s">
        <v>657</v>
      </c>
      <c r="F675" s="30" t="s">
        <v>2311</v>
      </c>
      <c r="G675" s="30" t="s">
        <v>2312</v>
      </c>
      <c r="H675" s="30" t="s">
        <v>5491</v>
      </c>
      <c r="I675" s="47" t="s">
        <v>5369</v>
      </c>
      <c r="J675" s="73">
        <v>16831230</v>
      </c>
      <c r="K675" s="23" t="s">
        <v>4679</v>
      </c>
      <c r="L675" s="60" t="s">
        <v>3289</v>
      </c>
      <c r="M675" s="60" t="s">
        <v>3289</v>
      </c>
      <c r="N675" s="60" t="s">
        <v>3291</v>
      </c>
      <c r="O675" s="60" t="s">
        <v>5509</v>
      </c>
      <c r="P675" s="60" t="s">
        <v>5497</v>
      </c>
      <c r="Q675" s="20">
        <v>3</v>
      </c>
    </row>
    <row r="676" spans="1:17" ht="80" x14ac:dyDescent="0.2">
      <c r="A676" s="71">
        <v>675</v>
      </c>
      <c r="B676" s="107" t="str">
        <f>HYPERLINK("https://www.ncbi.nlm.nih.gov/gene/5747", "5747")</f>
        <v>5747</v>
      </c>
      <c r="C676" s="109" t="str">
        <f>HYPERLINK("https://www.uniprot.org/uniprot/Q05397", "Q05397")</f>
        <v>Q05397</v>
      </c>
      <c r="D676" s="43" t="s">
        <v>659</v>
      </c>
      <c r="E676" s="16" t="s">
        <v>659</v>
      </c>
      <c r="F676" s="28" t="s">
        <v>2316</v>
      </c>
      <c r="G676" s="28" t="s">
        <v>2317</v>
      </c>
      <c r="H676" s="28" t="s">
        <v>2318</v>
      </c>
      <c r="I676" s="31" t="s">
        <v>2830</v>
      </c>
      <c r="J676" s="73" t="s">
        <v>3672</v>
      </c>
      <c r="K676" s="23" t="s">
        <v>4680</v>
      </c>
      <c r="L676" s="60" t="s">
        <v>3289</v>
      </c>
      <c r="M676" s="60" t="s">
        <v>3289</v>
      </c>
      <c r="N676" s="60" t="s">
        <v>3292</v>
      </c>
      <c r="O676" s="60"/>
      <c r="P676" s="60" t="s">
        <v>5493</v>
      </c>
      <c r="Q676" s="20">
        <v>4</v>
      </c>
    </row>
    <row r="677" spans="1:17" ht="64" x14ac:dyDescent="0.2">
      <c r="A677" s="71">
        <v>676</v>
      </c>
      <c r="B677" s="107" t="str">
        <f>HYPERLINK("https://www.ncbi.nlm.nih.gov/gene/5774", "5774")</f>
        <v>5774</v>
      </c>
      <c r="C677" s="109" t="str">
        <f>HYPERLINK("https://www.uniprot.org/uniprot/P26045", "P26045")</f>
        <v>P26045</v>
      </c>
      <c r="D677" s="43" t="s">
        <v>660</v>
      </c>
      <c r="E677" s="35" t="s">
        <v>660</v>
      </c>
      <c r="F677" s="30" t="s">
        <v>2319</v>
      </c>
      <c r="G677" s="30" t="s">
        <v>2320</v>
      </c>
      <c r="H677" s="30" t="s">
        <v>2321</v>
      </c>
      <c r="I677" s="47" t="s">
        <v>2849</v>
      </c>
      <c r="J677" s="73">
        <v>27833130</v>
      </c>
      <c r="K677" s="23" t="s">
        <v>4681</v>
      </c>
      <c r="L677" s="60" t="s">
        <v>3289</v>
      </c>
      <c r="M677" s="60" t="s">
        <v>3289</v>
      </c>
      <c r="N677" s="60" t="s">
        <v>3291</v>
      </c>
      <c r="O677" s="60"/>
      <c r="P677" s="60" t="s">
        <v>5495</v>
      </c>
      <c r="Q677" s="20">
        <v>2</v>
      </c>
    </row>
    <row r="678" spans="1:17" ht="144" x14ac:dyDescent="0.2">
      <c r="A678" s="71">
        <v>677</v>
      </c>
      <c r="B678" s="107" t="str">
        <f>HYPERLINK("https://www.ncbi.nlm.nih.gov/gene/5829", "5829")</f>
        <v>5829</v>
      </c>
      <c r="C678" s="110" t="str">
        <f>HYPERLINK("https://www.uniprot.org/uniprot/P49023", "P49023")</f>
        <v>P49023</v>
      </c>
      <c r="D678" s="43" t="s">
        <v>661</v>
      </c>
      <c r="E678" s="35" t="s">
        <v>661</v>
      </c>
      <c r="F678" s="30"/>
      <c r="G678" s="30" t="s">
        <v>2322</v>
      </c>
      <c r="H678" s="30" t="s">
        <v>2323</v>
      </c>
      <c r="I678" s="47" t="s">
        <v>2830</v>
      </c>
      <c r="J678" s="73">
        <v>24096476</v>
      </c>
      <c r="K678" s="23" t="s">
        <v>4682</v>
      </c>
      <c r="L678" s="60" t="s">
        <v>3295</v>
      </c>
      <c r="M678" s="60" t="s">
        <v>3295</v>
      </c>
      <c r="N678" s="60" t="s">
        <v>3291</v>
      </c>
      <c r="O678" s="60"/>
      <c r="P678" s="60" t="s">
        <v>5494</v>
      </c>
      <c r="Q678" s="20">
        <v>5</v>
      </c>
    </row>
    <row r="679" spans="1:17" ht="128" x14ac:dyDescent="0.2">
      <c r="A679" s="71">
        <v>678</v>
      </c>
      <c r="B679" s="107" t="str">
        <f>HYPERLINK("https://www.ncbi.nlm.nih.gov/gene/22931", "22931")</f>
        <v>22931</v>
      </c>
      <c r="C679" s="109" t="str">
        <f>HYPERLINK("https://www.uniprot.org/uniprot/Q9NP72", "Q9NP72")</f>
        <v>Q9NP72</v>
      </c>
      <c r="D679" s="43" t="s">
        <v>662</v>
      </c>
      <c r="E679" s="35" t="s">
        <v>662</v>
      </c>
      <c r="F679" s="30"/>
      <c r="G679" s="30" t="s">
        <v>2324</v>
      </c>
      <c r="H679" s="30" t="s">
        <v>2325</v>
      </c>
      <c r="I679" s="47" t="s">
        <v>5125</v>
      </c>
      <c r="J679" s="73" t="s">
        <v>3375</v>
      </c>
      <c r="K679" s="23" t="s">
        <v>4683</v>
      </c>
      <c r="L679" s="60" t="s">
        <v>3289</v>
      </c>
      <c r="M679" s="60" t="s">
        <v>3289</v>
      </c>
      <c r="N679" s="60" t="s">
        <v>3291</v>
      </c>
      <c r="O679" s="60"/>
      <c r="P679" s="60" t="s">
        <v>3323</v>
      </c>
      <c r="Q679" s="20">
        <v>1</v>
      </c>
    </row>
    <row r="680" spans="1:17" ht="112" x14ac:dyDescent="0.2">
      <c r="A680" s="71">
        <v>679</v>
      </c>
      <c r="B680" s="107" t="str">
        <f>HYPERLINK("https://www.ncbi.nlm.nih.gov/gene/57111", "57111")</f>
        <v>57111</v>
      </c>
      <c r="C680" s="109" t="str">
        <f>HYPERLINK("https://www.uniprot.org/uniprot/P57735", "P57735")</f>
        <v>P57735</v>
      </c>
      <c r="D680" s="43" t="s">
        <v>663</v>
      </c>
      <c r="E680" s="35" t="s">
        <v>663</v>
      </c>
      <c r="F680" s="30" t="s">
        <v>2326</v>
      </c>
      <c r="G680" s="30" t="s">
        <v>2327</v>
      </c>
      <c r="H680" s="30" t="s">
        <v>4136</v>
      </c>
      <c r="I680" s="47" t="s">
        <v>2839</v>
      </c>
      <c r="J680" s="73" t="s">
        <v>3169</v>
      </c>
      <c r="K680" s="23" t="s">
        <v>4684</v>
      </c>
      <c r="L680" s="60" t="s">
        <v>3291</v>
      </c>
      <c r="M680" s="60" t="s">
        <v>3289</v>
      </c>
      <c r="N680" s="60" t="s">
        <v>3291</v>
      </c>
      <c r="O680" s="60"/>
      <c r="P680" s="60" t="s">
        <v>5495</v>
      </c>
      <c r="Q680" s="20">
        <v>2</v>
      </c>
    </row>
    <row r="681" spans="1:17" ht="96" x14ac:dyDescent="0.2">
      <c r="A681" s="71">
        <v>680</v>
      </c>
      <c r="B681" s="107" t="str">
        <f>HYPERLINK("https://www.ncbi.nlm.nih.gov/gene/5878", "5878")</f>
        <v>5878</v>
      </c>
      <c r="C681" s="109" t="str">
        <f>HYPERLINK("https://www.uniprot.org/uniprot/P51148", "P51148")</f>
        <v>P51148</v>
      </c>
      <c r="D681" s="43" t="s">
        <v>664</v>
      </c>
      <c r="E681" s="35" t="s">
        <v>664</v>
      </c>
      <c r="F681" s="30" t="s">
        <v>3343</v>
      </c>
      <c r="G681" s="30" t="s">
        <v>3344</v>
      </c>
      <c r="H681" s="30" t="s">
        <v>4137</v>
      </c>
      <c r="I681" s="47" t="s">
        <v>5370</v>
      </c>
      <c r="J681" s="73">
        <v>25096996</v>
      </c>
      <c r="K681" s="23" t="s">
        <v>4685</v>
      </c>
      <c r="L681" s="60" t="s">
        <v>3292</v>
      </c>
      <c r="M681" s="60" t="s">
        <v>3292</v>
      </c>
      <c r="N681" s="60" t="s">
        <v>3291</v>
      </c>
      <c r="O681" s="60"/>
      <c r="P681" s="60" t="s">
        <v>3323</v>
      </c>
      <c r="Q681" s="20">
        <v>1</v>
      </c>
    </row>
    <row r="682" spans="1:17" ht="128" x14ac:dyDescent="0.2">
      <c r="A682" s="71">
        <v>681</v>
      </c>
      <c r="B682" s="107" t="str">
        <f>HYPERLINK("https://www.ncbi.nlm.nih.gov/gene/7879", "7879")</f>
        <v>7879</v>
      </c>
      <c r="C682" s="109" t="str">
        <f>HYPERLINK("https://www.uniprot.org/uniprot/P51149", "P51149")</f>
        <v>P51149</v>
      </c>
      <c r="D682" s="43" t="s">
        <v>665</v>
      </c>
      <c r="E682" s="35" t="s">
        <v>665</v>
      </c>
      <c r="F682" s="30" t="s">
        <v>2328</v>
      </c>
      <c r="G682" s="30" t="s">
        <v>5028</v>
      </c>
      <c r="H682" s="30" t="s">
        <v>2329</v>
      </c>
      <c r="I682" s="47" t="s">
        <v>5371</v>
      </c>
      <c r="J682" s="73" t="s">
        <v>3170</v>
      </c>
      <c r="K682" s="30" t="s">
        <v>4686</v>
      </c>
      <c r="L682" s="60" t="s">
        <v>3292</v>
      </c>
      <c r="M682" s="60" t="s">
        <v>3292</v>
      </c>
      <c r="N682" s="60" t="s">
        <v>3291</v>
      </c>
      <c r="O682" s="60"/>
      <c r="P682" s="60" t="s">
        <v>5493</v>
      </c>
      <c r="Q682" s="20">
        <v>4</v>
      </c>
    </row>
    <row r="683" spans="1:17" ht="80" x14ac:dyDescent="0.2">
      <c r="A683" s="71">
        <v>682</v>
      </c>
      <c r="B683" s="107" t="str">
        <f>HYPERLINK("https://www.ncbi.nlm.nih.gov/gene/4218", "4218")</f>
        <v>4218</v>
      </c>
      <c r="C683" s="109" t="str">
        <f>HYPERLINK("https://www.uniprot.org/uniprot/P61006", "P61006")</f>
        <v>P61006</v>
      </c>
      <c r="D683" s="43" t="s">
        <v>666</v>
      </c>
      <c r="E683" s="35" t="s">
        <v>666</v>
      </c>
      <c r="F683" s="30" t="s">
        <v>2330</v>
      </c>
      <c r="G683" s="30" t="s">
        <v>2331</v>
      </c>
      <c r="H683" s="30" t="s">
        <v>4138</v>
      </c>
      <c r="I683" s="47" t="s">
        <v>5372</v>
      </c>
      <c r="J683" s="73">
        <v>21969054</v>
      </c>
      <c r="K683" s="23" t="s">
        <v>4687</v>
      </c>
      <c r="L683" s="60" t="s">
        <v>3289</v>
      </c>
      <c r="M683" s="60" t="s">
        <v>3289</v>
      </c>
      <c r="N683" s="105" t="s">
        <v>3291</v>
      </c>
      <c r="O683" s="105"/>
      <c r="P683" s="105" t="s">
        <v>3323</v>
      </c>
      <c r="Q683" s="20">
        <v>1</v>
      </c>
    </row>
    <row r="684" spans="1:17" ht="160" x14ac:dyDescent="0.2">
      <c r="A684" s="71">
        <v>683</v>
      </c>
      <c r="B684" s="107" t="str">
        <f>HYPERLINK("https://www.ncbi.nlm.nih.gov/gene/5879", "5879")</f>
        <v>5879</v>
      </c>
      <c r="C684" s="109" t="str">
        <f>HYPERLINK("https://www.uniprot.org/uniprot/P40792", "P40792")</f>
        <v>P40792</v>
      </c>
      <c r="D684" s="43" t="s">
        <v>667</v>
      </c>
      <c r="E684" s="35" t="s">
        <v>667</v>
      </c>
      <c r="F684" s="30" t="s">
        <v>2332</v>
      </c>
      <c r="G684" s="30" t="s">
        <v>5029</v>
      </c>
      <c r="H684" s="30" t="s">
        <v>4139</v>
      </c>
      <c r="I684" s="47" t="s">
        <v>2830</v>
      </c>
      <c r="J684" s="73" t="s">
        <v>3171</v>
      </c>
      <c r="K684" s="23" t="s">
        <v>4688</v>
      </c>
      <c r="L684" s="60" t="s">
        <v>3289</v>
      </c>
      <c r="M684" s="60" t="s">
        <v>3289</v>
      </c>
      <c r="N684" s="105" t="s">
        <v>3291</v>
      </c>
      <c r="O684" s="105"/>
      <c r="P684" s="105" t="s">
        <v>5495</v>
      </c>
      <c r="Q684" s="20">
        <v>2</v>
      </c>
    </row>
    <row r="685" spans="1:17" ht="32" x14ac:dyDescent="0.2">
      <c r="A685" s="71">
        <v>684</v>
      </c>
      <c r="B685" s="107" t="str">
        <f>HYPERLINK("https://www.ncbi.nlm.nih.gov/gene/5887", "5887")</f>
        <v>5887</v>
      </c>
      <c r="C685" s="109" t="str">
        <f>HYPERLINK("https://www.uniprot.org/uniprot/P54727", "P54727")</f>
        <v>P54727</v>
      </c>
      <c r="D685" s="43" t="s">
        <v>668</v>
      </c>
      <c r="E685" s="77" t="s">
        <v>668</v>
      </c>
      <c r="F685" s="18" t="s">
        <v>2333</v>
      </c>
      <c r="G685" s="28" t="s">
        <v>2334</v>
      </c>
      <c r="H685" s="28" t="s">
        <v>2335</v>
      </c>
      <c r="I685" s="31" t="s">
        <v>3334</v>
      </c>
      <c r="J685" s="73" t="s">
        <v>3172</v>
      </c>
      <c r="K685" s="15" t="s">
        <v>3811</v>
      </c>
      <c r="L685" s="60" t="s">
        <v>3291</v>
      </c>
      <c r="M685" s="60" t="s">
        <v>3289</v>
      </c>
      <c r="N685" s="60" t="s">
        <v>3291</v>
      </c>
      <c r="O685" s="60"/>
      <c r="P685" s="60" t="s">
        <v>3323</v>
      </c>
      <c r="Q685" s="20">
        <v>1</v>
      </c>
    </row>
    <row r="686" spans="1:17" ht="64" x14ac:dyDescent="0.2">
      <c r="A686" s="71">
        <v>685</v>
      </c>
      <c r="B686" s="107" t="str">
        <f>HYPERLINK("https://www.ncbi.nlm.nih.gov/gene/10111", "10111")</f>
        <v>10111</v>
      </c>
      <c r="C686" s="109" t="str">
        <f>HYPERLINK("https://www.uniprot.org/uniprot/Q92878", "Q92878")</f>
        <v>Q92878</v>
      </c>
      <c r="D686" s="43" t="s">
        <v>669</v>
      </c>
      <c r="E686" s="35" t="s">
        <v>669</v>
      </c>
      <c r="F686" s="30"/>
      <c r="G686" s="30" t="s">
        <v>3444</v>
      </c>
      <c r="H686" s="30" t="s">
        <v>3445</v>
      </c>
      <c r="I686" s="47" t="s">
        <v>3332</v>
      </c>
      <c r="J686" s="73">
        <v>19487811</v>
      </c>
      <c r="K686" s="23" t="s">
        <v>4689</v>
      </c>
      <c r="L686" s="60" t="s">
        <v>3291</v>
      </c>
      <c r="M686" s="60" t="s">
        <v>3289</v>
      </c>
      <c r="N686" s="60" t="s">
        <v>3291</v>
      </c>
      <c r="O686" s="60"/>
      <c r="P686" s="60" t="s">
        <v>3323</v>
      </c>
      <c r="Q686" s="20">
        <v>1</v>
      </c>
    </row>
    <row r="687" spans="1:17" ht="160" x14ac:dyDescent="0.2">
      <c r="A687" s="71">
        <v>686</v>
      </c>
      <c r="B687" s="107" t="str">
        <f>HYPERLINK("https://www.ncbi.nlm.nih.gov/gene/5888", "5888")</f>
        <v>5888</v>
      </c>
      <c r="C687" s="109" t="str">
        <f>HYPERLINK("https://www.uniprot.org/uniprot/Q06609", "Q06609")</f>
        <v>Q06609</v>
      </c>
      <c r="D687" s="43" t="s">
        <v>670</v>
      </c>
      <c r="E687" s="16" t="s">
        <v>670</v>
      </c>
      <c r="F687" s="28" t="s">
        <v>3531</v>
      </c>
      <c r="G687" s="28" t="s">
        <v>3532</v>
      </c>
      <c r="H687" s="28" t="s">
        <v>4140</v>
      </c>
      <c r="I687" s="31" t="s">
        <v>5373</v>
      </c>
      <c r="J687" s="73" t="s">
        <v>3173</v>
      </c>
      <c r="K687" s="23" t="s">
        <v>4690</v>
      </c>
      <c r="L687" s="60" t="s">
        <v>3291</v>
      </c>
      <c r="M687" s="60" t="s">
        <v>3289</v>
      </c>
      <c r="N687" s="60" t="s">
        <v>3289</v>
      </c>
      <c r="O687" s="60"/>
      <c r="P687" s="60" t="s">
        <v>5495</v>
      </c>
      <c r="Q687" s="20">
        <v>2</v>
      </c>
    </row>
    <row r="688" spans="1:17" ht="80" x14ac:dyDescent="0.2">
      <c r="A688" s="71">
        <v>687</v>
      </c>
      <c r="B688" s="107" t="str">
        <f>HYPERLINK("https://www.ncbi.nlm.nih.gov/gene/5890", "5890")</f>
        <v>5890</v>
      </c>
      <c r="C688" s="109" t="str">
        <f>HYPERLINK("https://www.uniprot.org/uniprot/O15315", "O15315")</f>
        <v>O15315</v>
      </c>
      <c r="D688" s="43" t="s">
        <v>671</v>
      </c>
      <c r="E688" s="16" t="s">
        <v>671</v>
      </c>
      <c r="F688" s="5" t="s">
        <v>3533</v>
      </c>
      <c r="G688" s="28" t="s">
        <v>3534</v>
      </c>
      <c r="H688" s="6" t="s">
        <v>4141</v>
      </c>
      <c r="I688" s="49" t="s">
        <v>3332</v>
      </c>
      <c r="J688" s="73" t="s">
        <v>3174</v>
      </c>
      <c r="K688" s="13" t="s">
        <v>3812</v>
      </c>
      <c r="L688" s="60" t="s">
        <v>3291</v>
      </c>
      <c r="M688" s="60" t="s">
        <v>3289</v>
      </c>
      <c r="N688" s="60" t="s">
        <v>3291</v>
      </c>
      <c r="O688" s="60"/>
      <c r="P688" s="60" t="s">
        <v>3323</v>
      </c>
      <c r="Q688" s="20">
        <v>1</v>
      </c>
    </row>
    <row r="689" spans="1:17" ht="128" x14ac:dyDescent="0.2">
      <c r="A689" s="71">
        <v>688</v>
      </c>
      <c r="B689" s="107" t="str">
        <f>HYPERLINK("https://www.ncbi.nlm.nih.gov/gene/5889", "5889")</f>
        <v>5889</v>
      </c>
      <c r="C689" s="109" t="str">
        <f>HYPERLINK("https://www.uniprot.org/uniprot/O43502", "O43502")</f>
        <v>O43502</v>
      </c>
      <c r="D689" s="43" t="s">
        <v>672</v>
      </c>
      <c r="E689" s="16" t="s">
        <v>672</v>
      </c>
      <c r="F689" s="5" t="s">
        <v>3535</v>
      </c>
      <c r="G689" s="28" t="s">
        <v>3536</v>
      </c>
      <c r="H689" s="6" t="s">
        <v>4142</v>
      </c>
      <c r="I689" s="49" t="s">
        <v>5373</v>
      </c>
      <c r="J689" s="73" t="s">
        <v>3175</v>
      </c>
      <c r="K689" s="13" t="s">
        <v>3813</v>
      </c>
      <c r="L689" s="60" t="s">
        <v>3289</v>
      </c>
      <c r="M689" s="60" t="s">
        <v>3289</v>
      </c>
      <c r="N689" s="60" t="s">
        <v>3291</v>
      </c>
      <c r="O689" s="60"/>
      <c r="P689" s="60" t="s">
        <v>5493</v>
      </c>
      <c r="Q689" s="20">
        <v>4</v>
      </c>
    </row>
    <row r="690" spans="1:17" ht="96" x14ac:dyDescent="0.2">
      <c r="A690" s="71">
        <v>689</v>
      </c>
      <c r="B690" s="107" t="str">
        <f>HYPERLINK("https://www.ncbi.nlm.nih.gov/gene/5892", "5892")</f>
        <v>5892</v>
      </c>
      <c r="C690" s="109" t="str">
        <f>HYPERLINK("https://www.uniprot.org/uniprot/O75771", "O75771")</f>
        <v>O75771</v>
      </c>
      <c r="D690" s="43" t="s">
        <v>673</v>
      </c>
      <c r="E690" s="16" t="s">
        <v>673</v>
      </c>
      <c r="F690" s="5" t="s">
        <v>2336</v>
      </c>
      <c r="G690" s="28" t="s">
        <v>3537</v>
      </c>
      <c r="H690" s="6" t="s">
        <v>4141</v>
      </c>
      <c r="I690" s="49" t="s">
        <v>3332</v>
      </c>
      <c r="J690" s="73" t="s">
        <v>3176</v>
      </c>
      <c r="K690" s="13" t="s">
        <v>3814</v>
      </c>
      <c r="L690" s="60" t="s">
        <v>3291</v>
      </c>
      <c r="M690" s="60" t="s">
        <v>3289</v>
      </c>
      <c r="N690" s="60" t="s">
        <v>3291</v>
      </c>
      <c r="O690" s="60"/>
      <c r="P690" s="60" t="s">
        <v>3323</v>
      </c>
      <c r="Q690" s="20">
        <v>1</v>
      </c>
    </row>
    <row r="691" spans="1:17" ht="96" x14ac:dyDescent="0.2">
      <c r="A691" s="71">
        <v>690</v>
      </c>
      <c r="B691" s="107" t="str">
        <f>HYPERLINK("https://www.ncbi.nlm.nih.gov/gene/5893", "5893")</f>
        <v>5893</v>
      </c>
      <c r="C691" s="109" t="str">
        <f>HYPERLINK("https://www.uniprot.org/uniprot/P43351", "P43351")</f>
        <v>P43351</v>
      </c>
      <c r="D691" s="43" t="s">
        <v>674</v>
      </c>
      <c r="E691" s="16" t="s">
        <v>674</v>
      </c>
      <c r="F691" s="28"/>
      <c r="G691" s="28" t="s">
        <v>3538</v>
      </c>
      <c r="H691" s="28" t="s">
        <v>3446</v>
      </c>
      <c r="I691" s="31" t="s">
        <v>5374</v>
      </c>
      <c r="J691" s="73" t="s">
        <v>3539</v>
      </c>
      <c r="K691" s="23" t="s">
        <v>4691</v>
      </c>
      <c r="L691" s="60" t="s">
        <v>3289</v>
      </c>
      <c r="M691" s="60" t="s">
        <v>3289</v>
      </c>
      <c r="N691" s="60" t="s">
        <v>3291</v>
      </c>
      <c r="O691" s="60"/>
      <c r="P691" s="60" t="s">
        <v>5492</v>
      </c>
      <c r="Q691" s="20">
        <v>4</v>
      </c>
    </row>
    <row r="692" spans="1:17" ht="80" x14ac:dyDescent="0.2">
      <c r="A692" s="71">
        <v>691</v>
      </c>
      <c r="B692" s="107" t="str">
        <f>HYPERLINK("https://www.ncbi.nlm.nih.gov/gene/8438", "8438")</f>
        <v>8438</v>
      </c>
      <c r="C692" s="109" t="str">
        <f>HYPERLINK("https://www.uniprot.org/uniprot/Q92698", "Q92698")</f>
        <v>Q92698</v>
      </c>
      <c r="D692" s="43" t="s">
        <v>675</v>
      </c>
      <c r="E692" s="34" t="s">
        <v>675</v>
      </c>
      <c r="F692" s="30" t="s">
        <v>3449</v>
      </c>
      <c r="G692" s="28" t="s">
        <v>3448</v>
      </c>
      <c r="H692" s="28" t="s">
        <v>3447</v>
      </c>
      <c r="I692" s="31" t="s">
        <v>3332</v>
      </c>
      <c r="J692" s="73">
        <v>16520463</v>
      </c>
      <c r="K692" s="23" t="s">
        <v>3177</v>
      </c>
      <c r="L692" s="60" t="s">
        <v>3291</v>
      </c>
      <c r="M692" s="60" t="s">
        <v>3289</v>
      </c>
      <c r="N692" s="60" t="s">
        <v>3291</v>
      </c>
      <c r="O692" s="60"/>
      <c r="P692" s="60" t="s">
        <v>5498</v>
      </c>
      <c r="Q692" s="20">
        <v>3</v>
      </c>
    </row>
    <row r="693" spans="1:17" ht="64" x14ac:dyDescent="0.2">
      <c r="A693" s="71">
        <v>692</v>
      </c>
      <c r="B693" s="107" t="str">
        <f>HYPERLINK("https://www.ncbi.nlm.nih.gov/gene/55086", "55086")</f>
        <v>55086</v>
      </c>
      <c r="C693" s="109" t="str">
        <f>HYPERLINK("https://www.uniprot.org/uniprot/Q6NSI4", "Q6NSI4")</f>
        <v>Q6NSI4</v>
      </c>
      <c r="D693" s="43" t="s">
        <v>676</v>
      </c>
      <c r="E693" s="16" t="s">
        <v>676</v>
      </c>
      <c r="F693" s="28" t="s">
        <v>2337</v>
      </c>
      <c r="G693" s="28" t="s">
        <v>2338</v>
      </c>
      <c r="H693" s="28" t="s">
        <v>2339</v>
      </c>
      <c r="I693" s="31" t="s">
        <v>3333</v>
      </c>
      <c r="J693" s="73">
        <v>28735897</v>
      </c>
      <c r="K693" s="23" t="s">
        <v>3178</v>
      </c>
      <c r="L693" s="60" t="s">
        <v>3291</v>
      </c>
      <c r="M693" s="60" t="s">
        <v>3292</v>
      </c>
      <c r="N693" s="60" t="s">
        <v>3291</v>
      </c>
      <c r="O693" s="60"/>
      <c r="P693" s="60" t="s">
        <v>3323</v>
      </c>
      <c r="Q693" s="20">
        <v>1</v>
      </c>
    </row>
    <row r="694" spans="1:17" ht="112" x14ac:dyDescent="0.2">
      <c r="A694" s="71">
        <v>693</v>
      </c>
      <c r="B694" s="107" t="str">
        <f>HYPERLINK("https://www.ncbi.nlm.nih.gov/gene/11186", "11186")</f>
        <v>11186</v>
      </c>
      <c r="C694" s="109" t="str">
        <f>HYPERLINK("https://www.uniprot.org/uniprot/Q9NS23", "Q9NS23")</f>
        <v>Q9NS23</v>
      </c>
      <c r="D694" s="43" t="s">
        <v>677</v>
      </c>
      <c r="E694" s="16" t="s">
        <v>677</v>
      </c>
      <c r="F694" s="28" t="s">
        <v>2340</v>
      </c>
      <c r="G694" s="28" t="s">
        <v>2341</v>
      </c>
      <c r="H694" s="28" t="s">
        <v>4143</v>
      </c>
      <c r="I694" s="31" t="s">
        <v>5375</v>
      </c>
      <c r="J694" s="73" t="s">
        <v>3179</v>
      </c>
      <c r="K694" s="23" t="s">
        <v>4692</v>
      </c>
      <c r="L694" s="60" t="s">
        <v>3292</v>
      </c>
      <c r="M694" s="60" t="s">
        <v>3292</v>
      </c>
      <c r="N694" s="60" t="s">
        <v>3291</v>
      </c>
      <c r="O694" s="60"/>
      <c r="P694" s="60" t="s">
        <v>5493</v>
      </c>
      <c r="Q694" s="20">
        <v>4</v>
      </c>
    </row>
    <row r="695" spans="1:17" ht="96" x14ac:dyDescent="0.2">
      <c r="A695" s="71">
        <v>694</v>
      </c>
      <c r="B695" s="107" t="str">
        <f>HYPERLINK("https://www.ncbi.nlm.nih.gov/gene/5925", "5925")</f>
        <v>5925</v>
      </c>
      <c r="C695" s="109" t="str">
        <f>HYPERLINK("https://www.uniprot.org/uniprot/P06400", "P06400")</f>
        <v>P06400</v>
      </c>
      <c r="D695" s="43" t="s">
        <v>678</v>
      </c>
      <c r="E695" s="16" t="s">
        <v>678</v>
      </c>
      <c r="F695" s="5"/>
      <c r="G695" s="28" t="s">
        <v>2342</v>
      </c>
      <c r="H695" s="6" t="s">
        <v>4144</v>
      </c>
      <c r="I695" s="49" t="s">
        <v>2846</v>
      </c>
      <c r="J695" s="73" t="s">
        <v>4960</v>
      </c>
      <c r="K695" s="13" t="s">
        <v>3180</v>
      </c>
      <c r="L695" s="60" t="s">
        <v>3290</v>
      </c>
      <c r="M695" s="60" t="s">
        <v>3290</v>
      </c>
      <c r="N695" s="60" t="s">
        <v>3289</v>
      </c>
      <c r="O695" s="60"/>
      <c r="P695" s="60" t="s">
        <v>5493</v>
      </c>
      <c r="Q695" s="20">
        <v>4</v>
      </c>
    </row>
    <row r="696" spans="1:17" ht="48" x14ac:dyDescent="0.2">
      <c r="A696" s="71">
        <v>695</v>
      </c>
      <c r="B696" s="107" t="str">
        <f>HYPERLINK("https://www.ncbi.nlm.nih.gov/gene/5932", "5932")</f>
        <v>5932</v>
      </c>
      <c r="C696" s="109" t="str">
        <f>HYPERLINK("https://www.uniprot.org/uniprot/Q99708", "Q99708")</f>
        <v>Q99708</v>
      </c>
      <c r="D696" s="43" t="s">
        <v>679</v>
      </c>
      <c r="E696" s="16" t="s">
        <v>679</v>
      </c>
      <c r="F696" s="5" t="s">
        <v>2343</v>
      </c>
      <c r="G696" s="28" t="s">
        <v>5030</v>
      </c>
      <c r="H696" s="6" t="s">
        <v>2344</v>
      </c>
      <c r="I696" s="49" t="s">
        <v>3332</v>
      </c>
      <c r="J696" s="73" t="s">
        <v>3181</v>
      </c>
      <c r="K696" s="13" t="s">
        <v>3182</v>
      </c>
      <c r="L696" s="60" t="s">
        <v>3289</v>
      </c>
      <c r="M696" s="60" t="s">
        <v>3289</v>
      </c>
      <c r="N696" s="60" t="s">
        <v>3291</v>
      </c>
      <c r="O696" s="60"/>
      <c r="P696" s="60" t="s">
        <v>5508</v>
      </c>
      <c r="Q696" s="20">
        <v>4</v>
      </c>
    </row>
    <row r="697" spans="1:17" ht="96" x14ac:dyDescent="0.2">
      <c r="A697" s="71">
        <v>696</v>
      </c>
      <c r="B697" s="107" t="str">
        <f>HYPERLINK("https://www.ncbi.nlm.nih.gov/gene/84991", "84991")</f>
        <v>84991</v>
      </c>
      <c r="C697" s="109" t="str">
        <f>HYPERLINK("https://www.uniprot.org/uniprot/Q96I25", "Q96I25")</f>
        <v>Q96I25</v>
      </c>
      <c r="D697" s="43" t="s">
        <v>680</v>
      </c>
      <c r="E697" s="35" t="s">
        <v>680</v>
      </c>
      <c r="F697" s="30" t="s">
        <v>2345</v>
      </c>
      <c r="G697" s="30" t="s">
        <v>2346</v>
      </c>
      <c r="H697" s="30" t="s">
        <v>4145</v>
      </c>
      <c r="I697" s="47" t="s">
        <v>5376</v>
      </c>
      <c r="J697" s="73" t="s">
        <v>3183</v>
      </c>
      <c r="K697" s="23" t="s">
        <v>4693</v>
      </c>
      <c r="L697" s="60" t="s">
        <v>3291</v>
      </c>
      <c r="M697" s="60" t="s">
        <v>3289</v>
      </c>
      <c r="N697" s="60" t="s">
        <v>3291</v>
      </c>
      <c r="O697" s="60"/>
      <c r="P697" s="60" t="s">
        <v>3323</v>
      </c>
      <c r="Q697" s="20">
        <v>1</v>
      </c>
    </row>
    <row r="698" spans="1:17" ht="128" x14ac:dyDescent="0.2">
      <c r="A698" s="71">
        <v>697</v>
      </c>
      <c r="B698" s="107" t="str">
        <f>HYPERLINK("https://www.ncbi.nlm.nih.gov/gene/5935", "5935")</f>
        <v>5935</v>
      </c>
      <c r="C698" s="109" t="str">
        <f>HYPERLINK("https://www.uniprot.org/uniprot/P98179", "P98179")</f>
        <v>P98179</v>
      </c>
      <c r="D698" s="43" t="s">
        <v>681</v>
      </c>
      <c r="E698" s="35" t="s">
        <v>681</v>
      </c>
      <c r="F698" s="30" t="s">
        <v>2347</v>
      </c>
      <c r="G698" s="30" t="s">
        <v>2348</v>
      </c>
      <c r="H698" s="30" t="s">
        <v>4146</v>
      </c>
      <c r="I698" s="47" t="s">
        <v>2850</v>
      </c>
      <c r="J698" s="73">
        <v>20727170</v>
      </c>
      <c r="K698" s="23" t="s">
        <v>4694</v>
      </c>
      <c r="L698" s="60" t="s">
        <v>3292</v>
      </c>
      <c r="M698" s="60" t="s">
        <v>3292</v>
      </c>
      <c r="N698" s="60" t="s">
        <v>3291</v>
      </c>
      <c r="O698" s="60"/>
      <c r="P698" s="60" t="s">
        <v>5493</v>
      </c>
      <c r="Q698" s="20">
        <v>4</v>
      </c>
    </row>
    <row r="699" spans="1:17" ht="80" x14ac:dyDescent="0.2">
      <c r="A699" s="71">
        <v>698</v>
      </c>
      <c r="B699" s="107" t="str">
        <f>HYPERLINK("https://www.ncbi.nlm.nih.gov/gene/27303", "27303")</f>
        <v>27303</v>
      </c>
      <c r="C699" s="109" t="str">
        <f>HYPERLINK("https://www.uniprot.org/uniprot/Q6XE24", "Q6XE24")</f>
        <v>Q6XE24</v>
      </c>
      <c r="D699" s="43" t="s">
        <v>682</v>
      </c>
      <c r="E699" s="35" t="s">
        <v>682</v>
      </c>
      <c r="F699" s="30"/>
      <c r="G699" s="30" t="s">
        <v>2349</v>
      </c>
      <c r="H699" s="30" t="s">
        <v>2350</v>
      </c>
      <c r="I699" s="47" t="s">
        <v>5377</v>
      </c>
      <c r="J699" s="73">
        <v>30279231</v>
      </c>
      <c r="K699" s="23" t="s">
        <v>4695</v>
      </c>
      <c r="L699" s="60" t="s">
        <v>3292</v>
      </c>
      <c r="M699" s="60" t="s">
        <v>3292</v>
      </c>
      <c r="N699" s="60" t="s">
        <v>3291</v>
      </c>
      <c r="O699" s="60"/>
      <c r="P699" s="60" t="s">
        <v>5495</v>
      </c>
      <c r="Q699" s="20">
        <v>2</v>
      </c>
    </row>
    <row r="700" spans="1:17" ht="144" x14ac:dyDescent="0.2">
      <c r="A700" s="71">
        <v>699</v>
      </c>
      <c r="B700" s="107" t="str">
        <f>HYPERLINK("https://www.ncbi.nlm.nih.gov/gene/5965", "5965")</f>
        <v>5965</v>
      </c>
      <c r="C700" s="109" t="str">
        <f>HYPERLINK("https://www.uniprot.org/uniprot/P46063", "P46063")</f>
        <v>P46063</v>
      </c>
      <c r="D700" s="43" t="s">
        <v>683</v>
      </c>
      <c r="E700" s="16" t="s">
        <v>683</v>
      </c>
      <c r="F700" s="9" t="s">
        <v>2351</v>
      </c>
      <c r="G700" s="28" t="s">
        <v>2352</v>
      </c>
      <c r="H700" s="6" t="s">
        <v>4147</v>
      </c>
      <c r="I700" s="49" t="s">
        <v>3332</v>
      </c>
      <c r="J700" s="73" t="s">
        <v>3184</v>
      </c>
      <c r="K700" s="16" t="s">
        <v>3815</v>
      </c>
      <c r="L700" s="60" t="s">
        <v>3290</v>
      </c>
      <c r="M700" s="60" t="s">
        <v>3289</v>
      </c>
      <c r="N700" s="60" t="s">
        <v>3291</v>
      </c>
      <c r="O700" s="60"/>
      <c r="P700" s="60" t="s">
        <v>5495</v>
      </c>
      <c r="Q700" s="20">
        <v>2</v>
      </c>
    </row>
    <row r="701" spans="1:17" ht="112" x14ac:dyDescent="0.2">
      <c r="A701" s="71">
        <v>700</v>
      </c>
      <c r="B701" s="107" t="str">
        <f>HYPERLINK("https://www.ncbi.nlm.nih.gov/gene/9401", "9401")</f>
        <v>9401</v>
      </c>
      <c r="C701" s="109" t="str">
        <f>HYPERLINK("https://www.uniprot.org/uniprot/O94761", "O94761")</f>
        <v>O94761</v>
      </c>
      <c r="D701" s="43" t="s">
        <v>684</v>
      </c>
      <c r="E701" s="16" t="s">
        <v>684</v>
      </c>
      <c r="F701" s="9" t="s">
        <v>2353</v>
      </c>
      <c r="G701" s="28" t="s">
        <v>5031</v>
      </c>
      <c r="H701" s="6" t="s">
        <v>4950</v>
      </c>
      <c r="I701" s="49" t="s">
        <v>3332</v>
      </c>
      <c r="J701" s="73">
        <v>27013200</v>
      </c>
      <c r="K701" s="16" t="s">
        <v>3816</v>
      </c>
      <c r="L701" s="60" t="s">
        <v>3289</v>
      </c>
      <c r="M701" s="60" t="s">
        <v>3289</v>
      </c>
      <c r="N701" s="60" t="s">
        <v>3291</v>
      </c>
      <c r="O701" s="60"/>
      <c r="P701" s="60" t="s">
        <v>5500</v>
      </c>
      <c r="Q701" s="20">
        <v>4</v>
      </c>
    </row>
    <row r="702" spans="1:17" ht="144" x14ac:dyDescent="0.2">
      <c r="A702" s="71">
        <v>701</v>
      </c>
      <c r="B702" s="107" t="str">
        <f>HYPERLINK("https://www.ncbi.nlm.nih.gov/gene/5970", "5970")</f>
        <v>5970</v>
      </c>
      <c r="C702" s="113" t="str">
        <f>HYPERLINK("https://www.uniprot.org/uniprot/Q04206", "Q04206")</f>
        <v>Q04206</v>
      </c>
      <c r="D702" s="43" t="s">
        <v>685</v>
      </c>
      <c r="E702" s="35" t="s">
        <v>685</v>
      </c>
      <c r="F702" s="47" t="s">
        <v>2354</v>
      </c>
      <c r="G702" s="47" t="s">
        <v>2355</v>
      </c>
      <c r="H702" s="47" t="s">
        <v>2356</v>
      </c>
      <c r="I702" s="47" t="s">
        <v>5378</v>
      </c>
      <c r="J702" s="73">
        <v>20585448</v>
      </c>
      <c r="K702" s="23" t="s">
        <v>4696</v>
      </c>
      <c r="L702" s="60" t="s">
        <v>3289</v>
      </c>
      <c r="M702" s="60" t="s">
        <v>3289</v>
      </c>
      <c r="N702" s="60" t="s">
        <v>3291</v>
      </c>
      <c r="O702" s="60"/>
      <c r="P702" s="60" t="s">
        <v>5494</v>
      </c>
      <c r="Q702" s="64">
        <v>5</v>
      </c>
    </row>
    <row r="703" spans="1:17" ht="80" x14ac:dyDescent="0.2">
      <c r="A703" s="71">
        <v>702</v>
      </c>
      <c r="B703" s="107" t="str">
        <f>HYPERLINK("https://www.ncbi.nlm.nih.gov/gene/5971", "5971")</f>
        <v>5971</v>
      </c>
      <c r="C703" s="109" t="str">
        <f>HYPERLINK("https://www.uniprot.org/uniprot/Q01201", "Q01201")</f>
        <v>Q01201</v>
      </c>
      <c r="D703" s="43" t="s">
        <v>3464</v>
      </c>
      <c r="E703" s="35" t="s">
        <v>3464</v>
      </c>
      <c r="F703" s="30"/>
      <c r="G703" s="30" t="s">
        <v>3466</v>
      </c>
      <c r="H703" s="30" t="s">
        <v>3467</v>
      </c>
      <c r="I703" s="47" t="s">
        <v>5378</v>
      </c>
      <c r="J703" s="73" t="s">
        <v>3465</v>
      </c>
      <c r="K703" s="23" t="s">
        <v>4697</v>
      </c>
      <c r="L703" s="60" t="s">
        <v>3289</v>
      </c>
      <c r="M703" s="60" t="s">
        <v>3289</v>
      </c>
      <c r="N703" s="60" t="s">
        <v>3291</v>
      </c>
      <c r="O703" s="60"/>
      <c r="P703" s="60" t="s">
        <v>5493</v>
      </c>
      <c r="Q703" s="20">
        <v>4</v>
      </c>
    </row>
    <row r="704" spans="1:17" ht="112" x14ac:dyDescent="0.2">
      <c r="A704" s="71">
        <v>703</v>
      </c>
      <c r="B704" s="107" t="str">
        <f>HYPERLINK("https://www.ncbi.nlm.nih.gov/gene/5979", "5979")</f>
        <v>5979</v>
      </c>
      <c r="C704" s="109" t="str">
        <f>HYPERLINK("https://www.uniprot.org/uniprot/P07949", "P07949")</f>
        <v>P07949</v>
      </c>
      <c r="D704" s="43" t="s">
        <v>686</v>
      </c>
      <c r="E704" s="16" t="s">
        <v>686</v>
      </c>
      <c r="F704" s="5" t="s">
        <v>2357</v>
      </c>
      <c r="G704" s="28" t="s">
        <v>2358</v>
      </c>
      <c r="H704" s="6" t="s">
        <v>4148</v>
      </c>
      <c r="I704" s="49" t="s">
        <v>5082</v>
      </c>
      <c r="J704" s="73" t="s">
        <v>3185</v>
      </c>
      <c r="K704" s="16" t="s">
        <v>3817</v>
      </c>
      <c r="L704" s="60" t="s">
        <v>3289</v>
      </c>
      <c r="M704" s="60" t="s">
        <v>3289</v>
      </c>
      <c r="N704" s="60" t="s">
        <v>3291</v>
      </c>
      <c r="O704" s="60" t="s">
        <v>5509</v>
      </c>
      <c r="P704" s="60" t="s">
        <v>5495</v>
      </c>
      <c r="Q704" s="20">
        <v>2</v>
      </c>
    </row>
    <row r="705" spans="1:17" ht="160" x14ac:dyDescent="0.2">
      <c r="A705" s="71">
        <v>704</v>
      </c>
      <c r="B705" s="107" t="str">
        <f>HYPERLINK("https://www.ncbi.nlm.nih.gov/gene/51455", "51455")</f>
        <v>51455</v>
      </c>
      <c r="C705" s="109" t="str">
        <f>HYPERLINK("https://www.uniprot.org/uniprot/Q9UBZ9", "Q9UBZ9")</f>
        <v>Q9UBZ9</v>
      </c>
      <c r="D705" s="43" t="s">
        <v>687</v>
      </c>
      <c r="E705" s="35" t="s">
        <v>687</v>
      </c>
      <c r="F705" s="30"/>
      <c r="G705" s="30" t="s">
        <v>5032</v>
      </c>
      <c r="H705" s="30" t="s">
        <v>2359</v>
      </c>
      <c r="I705" s="47" t="s">
        <v>3337</v>
      </c>
      <c r="J705" s="73" t="s">
        <v>3186</v>
      </c>
      <c r="K705" s="23" t="s">
        <v>4698</v>
      </c>
      <c r="L705" s="60" t="s">
        <v>3289</v>
      </c>
      <c r="M705" s="60" t="s">
        <v>3289</v>
      </c>
      <c r="N705" s="60" t="s">
        <v>3291</v>
      </c>
      <c r="O705" s="60"/>
      <c r="P705" s="60" t="s">
        <v>5493</v>
      </c>
      <c r="Q705" s="20">
        <v>4</v>
      </c>
    </row>
    <row r="706" spans="1:17" ht="160" x14ac:dyDescent="0.2">
      <c r="A706" s="71">
        <v>705</v>
      </c>
      <c r="B706" s="107" t="str">
        <f>HYPERLINK("https://www.ncbi.nlm.nih.gov/gene/5980", "5980")</f>
        <v>5980</v>
      </c>
      <c r="C706" s="109" t="str">
        <f>HYPERLINK("https://www.uniprot.org/uniprot/O60673", "O60673")</f>
        <v>O60673</v>
      </c>
      <c r="D706" s="43" t="s">
        <v>688</v>
      </c>
      <c r="E706" s="38" t="s">
        <v>688</v>
      </c>
      <c r="F706" s="6" t="s">
        <v>2360</v>
      </c>
      <c r="G706" s="28" t="s">
        <v>2361</v>
      </c>
      <c r="H706" s="6" t="s">
        <v>3594</v>
      </c>
      <c r="I706" s="49" t="s">
        <v>3337</v>
      </c>
      <c r="J706" s="73" t="s">
        <v>3187</v>
      </c>
      <c r="K706" s="23" t="s">
        <v>4699</v>
      </c>
      <c r="L706" s="60" t="s">
        <v>3289</v>
      </c>
      <c r="M706" s="60" t="s">
        <v>3289</v>
      </c>
      <c r="N706" s="60" t="s">
        <v>3289</v>
      </c>
      <c r="O706" s="60"/>
      <c r="P706" s="60" t="s">
        <v>5497</v>
      </c>
      <c r="Q706" s="20">
        <v>4</v>
      </c>
    </row>
    <row r="707" spans="1:17" ht="64" x14ac:dyDescent="0.2">
      <c r="A707" s="71">
        <v>706</v>
      </c>
      <c r="B707" s="107" t="str">
        <f>HYPERLINK("https://www.ncbi.nlm.nih.gov/gene/5981", "5981")</f>
        <v>5981</v>
      </c>
      <c r="C707" s="109" t="str">
        <f>HYPERLINK("https://www.uniprot.org/uniprot/P35251", "P35251")</f>
        <v>P35251</v>
      </c>
      <c r="D707" s="43" t="s">
        <v>689</v>
      </c>
      <c r="E707" s="77" t="s">
        <v>689</v>
      </c>
      <c r="F707" s="18" t="s">
        <v>3596</v>
      </c>
      <c r="G707" s="28" t="s">
        <v>3597</v>
      </c>
      <c r="H707" s="28" t="s">
        <v>3595</v>
      </c>
      <c r="I707" s="31" t="s">
        <v>2826</v>
      </c>
      <c r="J707" s="73" t="s">
        <v>3188</v>
      </c>
      <c r="K707" s="15" t="s">
        <v>3818</v>
      </c>
      <c r="L707" s="60" t="s">
        <v>3291</v>
      </c>
      <c r="M707" s="60" t="s">
        <v>3289</v>
      </c>
      <c r="N707" s="60" t="s">
        <v>3291</v>
      </c>
      <c r="O707" s="60"/>
      <c r="P707" s="60" t="s">
        <v>3323</v>
      </c>
      <c r="Q707" s="20">
        <v>1</v>
      </c>
    </row>
    <row r="708" spans="1:17" ht="64" x14ac:dyDescent="0.2">
      <c r="A708" s="71">
        <v>707</v>
      </c>
      <c r="B708" s="107" t="str">
        <f>HYPERLINK("https://www.ncbi.nlm.nih.gov/gene/5982", "5982")</f>
        <v>5982</v>
      </c>
      <c r="C708" s="109" t="str">
        <f>HYPERLINK("https://www.uniprot.org/uniprot/P35250", "P35250")</f>
        <v>P35250</v>
      </c>
      <c r="D708" s="43" t="s">
        <v>690</v>
      </c>
      <c r="E708" s="77" t="s">
        <v>690</v>
      </c>
      <c r="F708" s="18"/>
      <c r="G708" s="28" t="s">
        <v>3451</v>
      </c>
      <c r="H708" s="28" t="s">
        <v>3450</v>
      </c>
      <c r="I708" s="31" t="s">
        <v>2826</v>
      </c>
      <c r="J708" s="73">
        <v>19053130</v>
      </c>
      <c r="K708" s="15" t="s">
        <v>3819</v>
      </c>
      <c r="L708" s="60" t="s">
        <v>3291</v>
      </c>
      <c r="M708" s="60" t="s">
        <v>3289</v>
      </c>
      <c r="N708" s="60" t="s">
        <v>3291</v>
      </c>
      <c r="O708" s="60"/>
      <c r="P708" s="60" t="s">
        <v>3323</v>
      </c>
      <c r="Q708" s="20">
        <v>1</v>
      </c>
    </row>
    <row r="709" spans="1:17" ht="128" x14ac:dyDescent="0.2">
      <c r="A709" s="71">
        <v>708</v>
      </c>
      <c r="B709" s="107" t="str">
        <f>HYPERLINK("https://www.ncbi.nlm.nih.gov/gene/6001", "6001")</f>
        <v>6001</v>
      </c>
      <c r="C709" s="109" t="str">
        <f>HYPERLINK("https://www.uniprot.org/uniprot/O43665", "O43665")</f>
        <v>O43665</v>
      </c>
      <c r="D709" s="43" t="s">
        <v>691</v>
      </c>
      <c r="E709" s="35" t="s">
        <v>691</v>
      </c>
      <c r="F709" s="30"/>
      <c r="G709" s="30" t="s">
        <v>2362</v>
      </c>
      <c r="H709" s="30" t="s">
        <v>2363</v>
      </c>
      <c r="I709" s="47" t="s">
        <v>2847</v>
      </c>
      <c r="J709" s="73" t="s">
        <v>3189</v>
      </c>
      <c r="K709" s="23" t="s">
        <v>4700</v>
      </c>
      <c r="L709" s="60" t="s">
        <v>3292</v>
      </c>
      <c r="M709" s="60" t="s">
        <v>3292</v>
      </c>
      <c r="N709" s="60" t="s">
        <v>3292</v>
      </c>
      <c r="O709" s="60"/>
      <c r="P709" s="60" t="s">
        <v>3323</v>
      </c>
      <c r="Q709" s="20">
        <v>1</v>
      </c>
    </row>
    <row r="710" spans="1:17" ht="32" x14ac:dyDescent="0.2">
      <c r="A710" s="71">
        <v>709</v>
      </c>
      <c r="B710" s="107" t="str">
        <f>HYPERLINK("https://www.ncbi.nlm.nih.gov/gene/26575", "26575")</f>
        <v>26575</v>
      </c>
      <c r="C710" s="109" t="str">
        <f>HYPERLINK("https://www.uniprot.org/uniprot/Q9UGC6", "Q9UGC6")</f>
        <v>Q9UGC6</v>
      </c>
      <c r="D710" s="43" t="s">
        <v>692</v>
      </c>
      <c r="E710" s="35" t="s">
        <v>692</v>
      </c>
      <c r="F710" s="30" t="s">
        <v>2364</v>
      </c>
      <c r="G710" s="30" t="s">
        <v>2365</v>
      </c>
      <c r="H710" s="30" t="s">
        <v>2366</v>
      </c>
      <c r="I710" s="47" t="s">
        <v>2847</v>
      </c>
      <c r="J710" s="73" t="s">
        <v>3189</v>
      </c>
      <c r="K710" s="23" t="s">
        <v>2366</v>
      </c>
      <c r="L710" s="60" t="s">
        <v>3292</v>
      </c>
      <c r="M710" s="60" t="s">
        <v>3292</v>
      </c>
      <c r="N710" s="60" t="s">
        <v>3292</v>
      </c>
      <c r="O710" s="60"/>
      <c r="P710" s="60" t="s">
        <v>3323</v>
      </c>
      <c r="Q710" s="20">
        <v>1</v>
      </c>
    </row>
    <row r="711" spans="1:17" ht="128" x14ac:dyDescent="0.2">
      <c r="A711" s="71">
        <v>710</v>
      </c>
      <c r="B711" s="107" t="str">
        <f>HYPERLINK("https://www.ncbi.nlm.nih.gov/gene/387", "387")</f>
        <v>387</v>
      </c>
      <c r="C711" s="109" t="str">
        <f>HYPERLINK("https://www.uniprot.org/uniprot/P61586", "P61586")</f>
        <v>P61586</v>
      </c>
      <c r="D711" s="43" t="s">
        <v>693</v>
      </c>
      <c r="E711" s="35" t="s">
        <v>693</v>
      </c>
      <c r="F711" s="30" t="s">
        <v>2367</v>
      </c>
      <c r="G711" s="30" t="s">
        <v>2368</v>
      </c>
      <c r="H711" s="30" t="s">
        <v>2369</v>
      </c>
      <c r="I711" s="47" t="s">
        <v>5216</v>
      </c>
      <c r="J711" s="73" t="s">
        <v>3836</v>
      </c>
      <c r="K711" s="23" t="s">
        <v>4701</v>
      </c>
      <c r="L711" s="60" t="s">
        <v>3289</v>
      </c>
      <c r="M711" s="60" t="s">
        <v>3290</v>
      </c>
      <c r="N711" s="60" t="s">
        <v>3315</v>
      </c>
      <c r="O711" s="60"/>
      <c r="P711" s="60" t="s">
        <v>5494</v>
      </c>
      <c r="Q711" s="20">
        <v>5</v>
      </c>
    </row>
    <row r="712" spans="1:17" ht="128" x14ac:dyDescent="0.2">
      <c r="A712" s="71">
        <v>711</v>
      </c>
      <c r="B712" s="107" t="str">
        <f>HYPERLINK("https://www.ncbi.nlm.nih.gov/gene/57381", "57381")</f>
        <v>57381</v>
      </c>
      <c r="C712" s="109" t="str">
        <f>HYPERLINK("https://www.uniprot.org/uniprot/Q9H4E5", "Q9H4E5")</f>
        <v>Q9H4E5</v>
      </c>
      <c r="D712" s="43" t="s">
        <v>694</v>
      </c>
      <c r="E712" s="35" t="s">
        <v>694</v>
      </c>
      <c r="F712" s="30" t="s">
        <v>2370</v>
      </c>
      <c r="G712" s="30" t="s">
        <v>2371</v>
      </c>
      <c r="H712" s="30" t="s">
        <v>2372</v>
      </c>
      <c r="I712" s="47" t="s">
        <v>5379</v>
      </c>
      <c r="J712" s="73">
        <v>22971344</v>
      </c>
      <c r="K712" s="23" t="s">
        <v>4702</v>
      </c>
      <c r="L712" s="60" t="s">
        <v>3291</v>
      </c>
      <c r="M712" s="60" t="s">
        <v>3289</v>
      </c>
      <c r="N712" s="60" t="s">
        <v>3289</v>
      </c>
      <c r="O712" s="60"/>
      <c r="P712" s="60" t="s">
        <v>3323</v>
      </c>
      <c r="Q712" s="20">
        <v>1</v>
      </c>
    </row>
    <row r="713" spans="1:17" ht="80" x14ac:dyDescent="0.2">
      <c r="A713" s="71">
        <v>712</v>
      </c>
      <c r="B713" s="107" t="str">
        <f>HYPERLINK("https://www.ncbi.nlm.nih.gov/gene/55183", "55183")</f>
        <v>55183</v>
      </c>
      <c r="C713" s="109" t="str">
        <f>HYPERLINK("https://www.uniprot.org/uniprot/Q5UIP0", "Q5UIP0")</f>
        <v>Q5UIP0</v>
      </c>
      <c r="D713" s="43" t="s">
        <v>695</v>
      </c>
      <c r="E713" s="35" t="s">
        <v>695</v>
      </c>
      <c r="F713" s="30"/>
      <c r="G713" s="30" t="s">
        <v>2373</v>
      </c>
      <c r="H713" s="30" t="s">
        <v>2374</v>
      </c>
      <c r="I713" s="47" t="s">
        <v>3334</v>
      </c>
      <c r="J713" s="73">
        <v>29719287</v>
      </c>
      <c r="K713" s="23" t="s">
        <v>4703</v>
      </c>
      <c r="L713" s="60" t="s">
        <v>3289</v>
      </c>
      <c r="M713" s="60" t="s">
        <v>3289</v>
      </c>
      <c r="N713" s="60" t="s">
        <v>3291</v>
      </c>
      <c r="O713" s="60"/>
      <c r="P713" s="60" t="s">
        <v>5493</v>
      </c>
      <c r="Q713" s="20">
        <v>4</v>
      </c>
    </row>
    <row r="714" spans="1:17" ht="112" x14ac:dyDescent="0.2">
      <c r="A714" s="71">
        <v>713</v>
      </c>
      <c r="B714" s="107" t="str">
        <f>HYPERLINK("https://www.ncbi.nlm.nih.gov/gene/8737", "8737")</f>
        <v>8737</v>
      </c>
      <c r="C714" s="109" t="str">
        <f>HYPERLINK("https://www.uniprot.org/uniprot/Q13546", "Q13546")</f>
        <v>Q13546</v>
      </c>
      <c r="D714" s="43" t="s">
        <v>696</v>
      </c>
      <c r="E714" s="35" t="s">
        <v>696</v>
      </c>
      <c r="F714" s="30" t="s">
        <v>2375</v>
      </c>
      <c r="G714" s="30" t="s">
        <v>2376</v>
      </c>
      <c r="H714" s="30" t="s">
        <v>4149</v>
      </c>
      <c r="I714" s="47" t="s">
        <v>5380</v>
      </c>
      <c r="J714" s="73" t="s">
        <v>3190</v>
      </c>
      <c r="K714" s="23" t="s">
        <v>4704</v>
      </c>
      <c r="L714" s="60" t="s">
        <v>3316</v>
      </c>
      <c r="M714" s="60" t="s">
        <v>3317</v>
      </c>
      <c r="N714" s="60" t="s">
        <v>3291</v>
      </c>
      <c r="O714" s="60"/>
      <c r="P714" s="60" t="s">
        <v>5492</v>
      </c>
      <c r="Q714" s="20">
        <v>4</v>
      </c>
    </row>
    <row r="715" spans="1:17" ht="48" x14ac:dyDescent="0.2">
      <c r="A715" s="71">
        <v>714</v>
      </c>
      <c r="B715" s="107" t="str">
        <f>HYPERLINK("https://www.ncbi.nlm.nih.gov/gene/11035", "11035")</f>
        <v>11035</v>
      </c>
      <c r="C715" s="109" t="str">
        <f>HYPERLINK("https://www.uniprot.org/uniprot/Q9Y572", "Q9Y572")</f>
        <v>Q9Y572</v>
      </c>
      <c r="D715" s="43" t="s">
        <v>697</v>
      </c>
      <c r="E715" s="35" t="s">
        <v>697</v>
      </c>
      <c r="F715" s="30" t="s">
        <v>2377</v>
      </c>
      <c r="G715" s="30" t="s">
        <v>2378</v>
      </c>
      <c r="H715" s="30" t="s">
        <v>2379</v>
      </c>
      <c r="I715" s="47" t="s">
        <v>5294</v>
      </c>
      <c r="J715" s="73">
        <v>29331417</v>
      </c>
      <c r="K715" s="23" t="s">
        <v>4705</v>
      </c>
      <c r="L715" s="60" t="s">
        <v>3292</v>
      </c>
      <c r="M715" s="60" t="s">
        <v>3292</v>
      </c>
      <c r="N715" s="60" t="s">
        <v>3291</v>
      </c>
      <c r="O715" s="60"/>
      <c r="P715" s="60" t="s">
        <v>5493</v>
      </c>
      <c r="Q715" s="20">
        <v>4</v>
      </c>
    </row>
    <row r="716" spans="1:17" ht="80" x14ac:dyDescent="0.2">
      <c r="A716" s="71">
        <v>715</v>
      </c>
      <c r="B716" s="107" t="str">
        <f>HYPERLINK("https://www.ncbi.nlm.nih.gov/gene/8635", "8635")</f>
        <v>8635</v>
      </c>
      <c r="C716" s="109" t="str">
        <f>HYPERLINK("https://www.uniprot.org/uniprot/O00584", "O00584")</f>
        <v>O00584</v>
      </c>
      <c r="D716" s="43" t="s">
        <v>698</v>
      </c>
      <c r="E716" s="35" t="s">
        <v>698</v>
      </c>
      <c r="F716" s="30" t="s">
        <v>2380</v>
      </c>
      <c r="G716" s="30" t="s">
        <v>2381</v>
      </c>
      <c r="H716" s="30" t="s">
        <v>2382</v>
      </c>
      <c r="I716" s="47" t="s">
        <v>2850</v>
      </c>
      <c r="J716" s="73" t="s">
        <v>3191</v>
      </c>
      <c r="K716" s="23" t="s">
        <v>4706</v>
      </c>
      <c r="L716" s="60" t="s">
        <v>3292</v>
      </c>
      <c r="M716" s="60" t="s">
        <v>3292</v>
      </c>
      <c r="N716" s="60" t="s">
        <v>3291</v>
      </c>
      <c r="O716" s="60"/>
      <c r="P716" s="60" t="s">
        <v>5503</v>
      </c>
      <c r="Q716" s="20">
        <v>4</v>
      </c>
    </row>
    <row r="717" spans="1:17" ht="112" x14ac:dyDescent="0.2">
      <c r="A717" s="71">
        <v>716</v>
      </c>
      <c r="B717" s="107" t="str">
        <f>HYPERLINK("https://www.ncbi.nlm.nih.gov/gene/6045", "6045")</f>
        <v>6045</v>
      </c>
      <c r="C717" s="109" t="str">
        <f>HYPERLINK("https://www.uniprot.org/uniprot/Q99496", "Q99496")</f>
        <v>Q99496</v>
      </c>
      <c r="D717" s="43" t="s">
        <v>699</v>
      </c>
      <c r="E717" s="35" t="s">
        <v>699</v>
      </c>
      <c r="F717" s="30" t="s">
        <v>2383</v>
      </c>
      <c r="G717" s="30" t="s">
        <v>2384</v>
      </c>
      <c r="H717" s="30" t="s">
        <v>4150</v>
      </c>
      <c r="I717" s="47" t="s">
        <v>5381</v>
      </c>
      <c r="J717" s="73">
        <v>29719173</v>
      </c>
      <c r="K717" s="23" t="s">
        <v>4707</v>
      </c>
      <c r="L717" s="60" t="s">
        <v>3289</v>
      </c>
      <c r="M717" s="60" t="s">
        <v>3289</v>
      </c>
      <c r="N717" s="60" t="s">
        <v>3291</v>
      </c>
      <c r="O717" s="60"/>
      <c r="P717" s="60" t="s">
        <v>5499</v>
      </c>
      <c r="Q717" s="20">
        <v>5</v>
      </c>
    </row>
    <row r="718" spans="1:17" ht="64" x14ac:dyDescent="0.2">
      <c r="A718" s="71">
        <v>717</v>
      </c>
      <c r="B718" s="107" t="str">
        <f>HYPERLINK("https://www.ncbi.nlm.nih.gov/gene/4919", "4919")</f>
        <v>4919</v>
      </c>
      <c r="C718" s="109" t="str">
        <f>HYPERLINK("https://www.uniprot.org/uniprot/Q01973", "Q01973")</f>
        <v>Q01973</v>
      </c>
      <c r="D718" s="43" t="s">
        <v>700</v>
      </c>
      <c r="E718" s="35" t="s">
        <v>700</v>
      </c>
      <c r="F718" s="30" t="s">
        <v>2385</v>
      </c>
      <c r="G718" s="30" t="s">
        <v>2386</v>
      </c>
      <c r="H718" s="30" t="s">
        <v>4151</v>
      </c>
      <c r="I718" s="47" t="s">
        <v>5382</v>
      </c>
      <c r="J718" s="73" t="s">
        <v>3192</v>
      </c>
      <c r="K718" s="23" t="s">
        <v>4708</v>
      </c>
      <c r="L718" s="60" t="s">
        <v>3289</v>
      </c>
      <c r="M718" s="60" t="s">
        <v>3289</v>
      </c>
      <c r="N718" s="60" t="s">
        <v>3291</v>
      </c>
      <c r="O718" s="60"/>
      <c r="P718" s="60" t="s">
        <v>3323</v>
      </c>
      <c r="Q718" s="20">
        <v>1</v>
      </c>
    </row>
    <row r="719" spans="1:17" ht="80" x14ac:dyDescent="0.2">
      <c r="A719" s="71">
        <v>718</v>
      </c>
      <c r="B719" s="107" t="str">
        <f>HYPERLINK("https://www.ncbi.nlm.nih.gov/gene/4920", "4920")</f>
        <v>4920</v>
      </c>
      <c r="C719" s="109" t="str">
        <f>HYPERLINK("https://www.uniprot.org/uniprot/Q01974", "Q01974")</f>
        <v>Q01974</v>
      </c>
      <c r="D719" s="43" t="s">
        <v>701</v>
      </c>
      <c r="E719" s="35" t="s">
        <v>701</v>
      </c>
      <c r="F719" s="30" t="s">
        <v>2387</v>
      </c>
      <c r="G719" s="30" t="s">
        <v>2388</v>
      </c>
      <c r="H719" s="30" t="s">
        <v>4152</v>
      </c>
      <c r="I719" s="47" t="s">
        <v>2831</v>
      </c>
      <c r="J719" s="73" t="s">
        <v>3193</v>
      </c>
      <c r="K719" s="23" t="s">
        <v>4709</v>
      </c>
      <c r="L719" s="60" t="s">
        <v>3289</v>
      </c>
      <c r="M719" s="60" t="s">
        <v>3289</v>
      </c>
      <c r="N719" s="60" t="s">
        <v>3291</v>
      </c>
      <c r="O719" s="60"/>
      <c r="P719" s="60" t="s">
        <v>5493</v>
      </c>
      <c r="Q719" s="20">
        <v>4</v>
      </c>
    </row>
    <row r="720" spans="1:17" ht="112" x14ac:dyDescent="0.2">
      <c r="A720" s="71">
        <v>719</v>
      </c>
      <c r="B720" s="107" t="str">
        <f>HYPERLINK("https://www.ncbi.nlm.nih.gov/gene/6097", "6097")</f>
        <v>6097</v>
      </c>
      <c r="C720" s="109" t="str">
        <f>HYPERLINK("https://www.uniprot.org/uniprot/P51449", "P51449")</f>
        <v>P51449</v>
      </c>
      <c r="D720" s="43" t="s">
        <v>702</v>
      </c>
      <c r="E720" s="35" t="s">
        <v>702</v>
      </c>
      <c r="F720" s="30" t="s">
        <v>2389</v>
      </c>
      <c r="G720" s="30" t="s">
        <v>2390</v>
      </c>
      <c r="H720" s="30" t="s">
        <v>2391</v>
      </c>
      <c r="I720" s="47" t="s">
        <v>5383</v>
      </c>
      <c r="J720" s="73">
        <v>30808674</v>
      </c>
      <c r="K720" s="30" t="s">
        <v>4710</v>
      </c>
      <c r="L720" s="60" t="s">
        <v>3289</v>
      </c>
      <c r="M720" s="60" t="s">
        <v>3289</v>
      </c>
      <c r="N720" s="60" t="s">
        <v>3291</v>
      </c>
      <c r="O720" s="60"/>
      <c r="P720" s="60" t="s">
        <v>5495</v>
      </c>
      <c r="Q720" s="20">
        <v>2</v>
      </c>
    </row>
    <row r="721" spans="1:17" ht="80" x14ac:dyDescent="0.2">
      <c r="A721" s="71">
        <v>720</v>
      </c>
      <c r="B721" s="107" t="str">
        <f>HYPERLINK("https://www.ncbi.nlm.nih.gov/gene/6117", "6117")</f>
        <v>6117</v>
      </c>
      <c r="C721" s="116" t="str">
        <f>HYPERLINK("https://www.uniprot.org/uniprot/P27694", "P27694")</f>
        <v>P27694</v>
      </c>
      <c r="D721" s="43" t="s">
        <v>703</v>
      </c>
      <c r="E721" s="35" t="s">
        <v>703</v>
      </c>
      <c r="F721" s="47" t="s">
        <v>2392</v>
      </c>
      <c r="G721" s="47" t="s">
        <v>2393</v>
      </c>
      <c r="H721" s="47" t="s">
        <v>2394</v>
      </c>
      <c r="I721" s="47" t="s">
        <v>2826</v>
      </c>
      <c r="J721" s="73">
        <v>30072396</v>
      </c>
      <c r="K721" s="23" t="s">
        <v>4711</v>
      </c>
      <c r="L721" s="60" t="s">
        <v>3289</v>
      </c>
      <c r="M721" s="60" t="s">
        <v>3289</v>
      </c>
      <c r="N721" s="60" t="s">
        <v>3291</v>
      </c>
      <c r="O721" s="60"/>
      <c r="P721" s="60" t="s">
        <v>3323</v>
      </c>
      <c r="Q721" s="64">
        <v>1</v>
      </c>
    </row>
    <row r="722" spans="1:17" ht="80" x14ac:dyDescent="0.2">
      <c r="A722" s="71">
        <v>721</v>
      </c>
      <c r="B722" s="107" t="str">
        <f>HYPERLINK("https://www.ncbi.nlm.nih.gov/gene/6118", "6118")</f>
        <v>6118</v>
      </c>
      <c r="C722" s="109" t="str">
        <f>HYPERLINK("https://www.uniprot.org/uniprot/P15927", "P15927")</f>
        <v>P15927</v>
      </c>
      <c r="D722" s="43" t="s">
        <v>3479</v>
      </c>
      <c r="E722" s="35" t="s">
        <v>3479</v>
      </c>
      <c r="F722" s="30" t="s">
        <v>3480</v>
      </c>
      <c r="G722" s="30" t="s">
        <v>3481</v>
      </c>
      <c r="H722" s="30" t="s">
        <v>3482</v>
      </c>
      <c r="I722" s="47" t="s">
        <v>2826</v>
      </c>
      <c r="J722" s="73" t="s">
        <v>3483</v>
      </c>
      <c r="K722" s="23" t="s">
        <v>4712</v>
      </c>
      <c r="L722" s="60" t="s">
        <v>3291</v>
      </c>
      <c r="M722" s="60" t="s">
        <v>3294</v>
      </c>
      <c r="N722" s="60" t="s">
        <v>3294</v>
      </c>
      <c r="O722" s="60"/>
      <c r="P722" s="60" t="s">
        <v>3323</v>
      </c>
      <c r="Q722" s="20">
        <v>1</v>
      </c>
    </row>
    <row r="723" spans="1:17" ht="64" x14ac:dyDescent="0.2">
      <c r="A723" s="71">
        <v>722</v>
      </c>
      <c r="B723" s="107" t="str">
        <f>HYPERLINK("https://www.ncbi.nlm.nih.gov/gene/25873", "25873")</f>
        <v>25873</v>
      </c>
      <c r="C723" s="109" t="str">
        <f>HYPERLINK("https://www.uniprot.org/uniprot/Q9Y3U8", "Q9Y3U8")</f>
        <v>Q9Y3U8</v>
      </c>
      <c r="D723" s="43" t="s">
        <v>704</v>
      </c>
      <c r="E723" s="35" t="s">
        <v>704</v>
      </c>
      <c r="F723" s="30"/>
      <c r="G723" s="30" t="s">
        <v>2395</v>
      </c>
      <c r="H723" s="30" t="s">
        <v>4153</v>
      </c>
      <c r="I723" s="47" t="s">
        <v>5384</v>
      </c>
      <c r="J723" s="73">
        <v>16394183</v>
      </c>
      <c r="K723" s="23" t="s">
        <v>4713</v>
      </c>
      <c r="L723" s="60" t="s">
        <v>3291</v>
      </c>
      <c r="M723" s="60" t="s">
        <v>3289</v>
      </c>
      <c r="N723" s="60" t="s">
        <v>3291</v>
      </c>
      <c r="O723" s="60"/>
      <c r="P723" s="60" t="s">
        <v>3323</v>
      </c>
      <c r="Q723" s="20">
        <v>1</v>
      </c>
    </row>
    <row r="724" spans="1:17" ht="48" x14ac:dyDescent="0.2">
      <c r="A724" s="71">
        <v>723</v>
      </c>
      <c r="B724" s="107" t="str">
        <f>HYPERLINK("https://www.ncbi.nlm.nih.gov/gene/6167", "6167")</f>
        <v>6167</v>
      </c>
      <c r="C724" s="109" t="str">
        <f>HYPERLINK("https://www.uniprot.org/uniprot/P61927", "P61927")</f>
        <v>P61927</v>
      </c>
      <c r="D724" s="43" t="s">
        <v>705</v>
      </c>
      <c r="E724" s="35" t="s">
        <v>705</v>
      </c>
      <c r="F724" s="30"/>
      <c r="G724" s="30" t="s">
        <v>2396</v>
      </c>
      <c r="H724" s="30" t="s">
        <v>2397</v>
      </c>
      <c r="I724" s="47" t="s">
        <v>2825</v>
      </c>
      <c r="J724" s="73">
        <v>20935493</v>
      </c>
      <c r="K724" s="23" t="s">
        <v>4714</v>
      </c>
      <c r="L724" s="60" t="s">
        <v>3291</v>
      </c>
      <c r="M724" s="60" t="s">
        <v>3289</v>
      </c>
      <c r="N724" s="60" t="s">
        <v>3292</v>
      </c>
      <c r="O724" s="60"/>
      <c r="P724" s="60" t="s">
        <v>3323</v>
      </c>
      <c r="Q724" s="20">
        <v>1</v>
      </c>
    </row>
    <row r="725" spans="1:17" ht="128" x14ac:dyDescent="0.2">
      <c r="A725" s="71">
        <v>724</v>
      </c>
      <c r="B725" s="107" t="str">
        <f>HYPERLINK("https://www.ncbi.nlm.nih.gov/gene/6224", "6224")</f>
        <v>6224</v>
      </c>
      <c r="C725" s="109" t="str">
        <f>HYPERLINK("https://www.uniprot.org/uniprot/P60866", "P60866")</f>
        <v>P60866</v>
      </c>
      <c r="D725" s="43" t="s">
        <v>706</v>
      </c>
      <c r="E725" s="16" t="s">
        <v>706</v>
      </c>
      <c r="F725" s="33"/>
      <c r="G725" s="28" t="s">
        <v>2398</v>
      </c>
      <c r="H725" s="70" t="s">
        <v>4154</v>
      </c>
      <c r="I725" s="100" t="s">
        <v>5385</v>
      </c>
      <c r="J725" s="73" t="s">
        <v>3194</v>
      </c>
      <c r="K725" s="16" t="s">
        <v>3571</v>
      </c>
      <c r="L725" s="60" t="s">
        <v>3289</v>
      </c>
      <c r="M725" s="60" t="s">
        <v>3292</v>
      </c>
      <c r="N725" s="60" t="s">
        <v>5527</v>
      </c>
      <c r="O725" s="60"/>
      <c r="P725" s="60" t="s">
        <v>5493</v>
      </c>
      <c r="Q725" s="20">
        <v>4</v>
      </c>
    </row>
    <row r="726" spans="1:17" ht="80" x14ac:dyDescent="0.2">
      <c r="A726" s="71">
        <v>725</v>
      </c>
      <c r="B726" s="107" t="str">
        <f>HYPERLINK("https://www.ncbi.nlm.nih.gov/gene/6191", "6191")</f>
        <v>6191</v>
      </c>
      <c r="C726" s="109" t="str">
        <f>HYPERLINK("https://www.uniprot.org/uniprot/P62701", "P62701")</f>
        <v>P62701</v>
      </c>
      <c r="D726" s="43" t="s">
        <v>707</v>
      </c>
      <c r="E726" s="35" t="s">
        <v>707</v>
      </c>
      <c r="F726" s="30" t="s">
        <v>2399</v>
      </c>
      <c r="G726" s="30" t="s">
        <v>2400</v>
      </c>
      <c r="H726" s="30" t="s">
        <v>4155</v>
      </c>
      <c r="I726" s="47" t="s">
        <v>5386</v>
      </c>
      <c r="J726" s="73">
        <v>23800275</v>
      </c>
      <c r="K726" s="23" t="s">
        <v>4715</v>
      </c>
      <c r="L726" s="60" t="s">
        <v>3292</v>
      </c>
      <c r="M726" s="60" t="s">
        <v>3292</v>
      </c>
      <c r="N726" s="60" t="s">
        <v>3291</v>
      </c>
      <c r="O726" s="60"/>
      <c r="P726" s="60" t="s">
        <v>5493</v>
      </c>
      <c r="Q726" s="20">
        <v>4</v>
      </c>
    </row>
    <row r="727" spans="1:17" ht="144" x14ac:dyDescent="0.2">
      <c r="A727" s="71">
        <v>726</v>
      </c>
      <c r="B727" s="107" t="str">
        <f>HYPERLINK("https://www.ncbi.nlm.nih.gov/gene/6195", "6195")</f>
        <v>6195</v>
      </c>
      <c r="C727" s="109" t="str">
        <f>HYPERLINK("https://www.uniprot.org/uniprot/Q15418", "Q15418")</f>
        <v>Q15418</v>
      </c>
      <c r="D727" s="43" t="s">
        <v>708</v>
      </c>
      <c r="E727" s="35" t="s">
        <v>708</v>
      </c>
      <c r="F727" s="30" t="s">
        <v>2401</v>
      </c>
      <c r="G727" s="30" t="s">
        <v>2402</v>
      </c>
      <c r="H727" s="23" t="s">
        <v>2403</v>
      </c>
      <c r="I727" s="56" t="s">
        <v>5387</v>
      </c>
      <c r="J727" s="73" t="s">
        <v>3195</v>
      </c>
      <c r="K727" s="23" t="s">
        <v>4716</v>
      </c>
      <c r="L727" s="60" t="s">
        <v>3291</v>
      </c>
      <c r="M727" s="60" t="s">
        <v>3289</v>
      </c>
      <c r="N727" s="60" t="s">
        <v>3290</v>
      </c>
      <c r="O727" s="60"/>
      <c r="P727" s="60" t="s">
        <v>3323</v>
      </c>
      <c r="Q727" s="20">
        <v>1</v>
      </c>
    </row>
    <row r="728" spans="1:17" ht="96" x14ac:dyDescent="0.2">
      <c r="A728" s="71">
        <v>727</v>
      </c>
      <c r="B728" s="107" t="str">
        <f>HYPERLINK("https://www.ncbi.nlm.nih.gov/gene/6197", "6197")</f>
        <v>6197</v>
      </c>
      <c r="C728" s="109" t="str">
        <f>HYPERLINK("https://www.uniprot.org/uniprot/P51812", "P51812")</f>
        <v>P51812</v>
      </c>
      <c r="D728" s="43" t="s">
        <v>709</v>
      </c>
      <c r="E728" s="35" t="s">
        <v>709</v>
      </c>
      <c r="F728" s="30" t="s">
        <v>2404</v>
      </c>
      <c r="G728" s="30" t="s">
        <v>2405</v>
      </c>
      <c r="H728" s="30" t="s">
        <v>2403</v>
      </c>
      <c r="I728" s="47" t="s">
        <v>5387</v>
      </c>
      <c r="J728" s="73">
        <v>23041051</v>
      </c>
      <c r="K728" s="30" t="s">
        <v>4717</v>
      </c>
      <c r="L728" s="60" t="s">
        <v>3291</v>
      </c>
      <c r="M728" s="60" t="s">
        <v>3289</v>
      </c>
      <c r="N728" s="60" t="s">
        <v>3292</v>
      </c>
      <c r="O728" s="60"/>
      <c r="P728" s="60" t="s">
        <v>3323</v>
      </c>
      <c r="Q728" s="20">
        <v>1</v>
      </c>
    </row>
    <row r="729" spans="1:17" ht="112" x14ac:dyDescent="0.2">
      <c r="A729" s="71">
        <v>728</v>
      </c>
      <c r="B729" s="107" t="str">
        <f>HYPERLINK("https://www.ncbi.nlm.nih.gov/gene/6198", "6198")</f>
        <v>6198</v>
      </c>
      <c r="C729" s="109" t="str">
        <f>HYPERLINK("https://www.uniprot.org/uniprot/P23443", "P23443")</f>
        <v>P23443</v>
      </c>
      <c r="D729" s="43" t="s">
        <v>710</v>
      </c>
      <c r="E729" s="16" t="s">
        <v>710</v>
      </c>
      <c r="F729" s="5" t="s">
        <v>2406</v>
      </c>
      <c r="G729" s="28" t="s">
        <v>2407</v>
      </c>
      <c r="H729" s="6" t="s">
        <v>2408</v>
      </c>
      <c r="I729" s="49" t="s">
        <v>5387</v>
      </c>
      <c r="J729" s="73" t="s">
        <v>3879</v>
      </c>
      <c r="K729" s="16" t="s">
        <v>3878</v>
      </c>
      <c r="L729" s="60" t="s">
        <v>3295</v>
      </c>
      <c r="M729" s="60" t="s">
        <v>3295</v>
      </c>
      <c r="N729" s="60" t="s">
        <v>3295</v>
      </c>
      <c r="O729" s="60"/>
      <c r="P729" s="60" t="s">
        <v>3323</v>
      </c>
      <c r="Q729" s="20">
        <v>1</v>
      </c>
    </row>
    <row r="730" spans="1:17" ht="32" x14ac:dyDescent="0.2">
      <c r="A730" s="71">
        <v>729</v>
      </c>
      <c r="B730" s="107" t="str">
        <f>HYPERLINK("https://www.ncbi.nlm.nih.gov/gene/6199", "6199")</f>
        <v>6199</v>
      </c>
      <c r="C730" s="109" t="str">
        <f>HYPERLINK("https://www.uniprot.org/uniprot/Q9UBS0", "Q9UBS0")</f>
        <v>Q9UBS0</v>
      </c>
      <c r="D730" s="43" t="s">
        <v>711</v>
      </c>
      <c r="E730" s="16" t="s">
        <v>711</v>
      </c>
      <c r="F730" s="5" t="s">
        <v>2409</v>
      </c>
      <c r="G730" s="28" t="s">
        <v>2410</v>
      </c>
      <c r="H730" s="5" t="s">
        <v>2411</v>
      </c>
      <c r="I730" s="82" t="s">
        <v>5387</v>
      </c>
      <c r="J730" s="73" t="s">
        <v>3196</v>
      </c>
      <c r="K730" s="13" t="s">
        <v>2411</v>
      </c>
      <c r="L730" s="60" t="s">
        <v>3295</v>
      </c>
      <c r="M730" s="60" t="s">
        <v>3295</v>
      </c>
      <c r="N730" s="60" t="s">
        <v>3295</v>
      </c>
      <c r="O730" s="60"/>
      <c r="P730" s="60" t="s">
        <v>3323</v>
      </c>
      <c r="Q730" s="20">
        <v>1</v>
      </c>
    </row>
    <row r="731" spans="1:17" ht="96" x14ac:dyDescent="0.2">
      <c r="A731" s="71">
        <v>730</v>
      </c>
      <c r="B731" s="107" t="str">
        <f>HYPERLINK("https://www.ncbi.nlm.nih.gov/gene/6201", "6201")</f>
        <v>6201</v>
      </c>
      <c r="C731" s="109" t="str">
        <f>HYPERLINK("https://www.uniprot.org/uniprot/P62081", "P62081")</f>
        <v>P62081</v>
      </c>
      <c r="D731" s="43" t="s">
        <v>712</v>
      </c>
      <c r="E731" s="16" t="s">
        <v>712</v>
      </c>
      <c r="F731" s="5"/>
      <c r="G731" s="28" t="s">
        <v>2412</v>
      </c>
      <c r="H731" s="6" t="s">
        <v>2413</v>
      </c>
      <c r="I731" s="49" t="s">
        <v>5388</v>
      </c>
      <c r="J731" s="73">
        <v>24244431</v>
      </c>
      <c r="K731" s="13" t="s">
        <v>3197</v>
      </c>
      <c r="L731" s="60" t="s">
        <v>3291</v>
      </c>
      <c r="M731" s="60" t="s">
        <v>3292</v>
      </c>
      <c r="N731" s="60" t="s">
        <v>3291</v>
      </c>
      <c r="O731" s="60"/>
      <c r="P731" s="60" t="s">
        <v>3323</v>
      </c>
      <c r="Q731" s="20">
        <v>1</v>
      </c>
    </row>
    <row r="732" spans="1:17" ht="80" x14ac:dyDescent="0.2">
      <c r="A732" s="71">
        <v>731</v>
      </c>
      <c r="B732" s="107" t="str">
        <f>HYPERLINK("https://www.ncbi.nlm.nih.gov/gene/3921", "3921")</f>
        <v>3921</v>
      </c>
      <c r="C732" s="109" t="str">
        <f>HYPERLINK("https://www.uniprot.org/uniprot/P08865", "P08865")</f>
        <v>P08865</v>
      </c>
      <c r="D732" s="43" t="s">
        <v>713</v>
      </c>
      <c r="E732" s="35" t="s">
        <v>713</v>
      </c>
      <c r="F732" s="30" t="s">
        <v>2414</v>
      </c>
      <c r="G732" s="30" t="s">
        <v>2415</v>
      </c>
      <c r="H732" s="30" t="s">
        <v>4156</v>
      </c>
      <c r="I732" s="47" t="s">
        <v>2830</v>
      </c>
      <c r="J732" s="73">
        <v>26293895</v>
      </c>
      <c r="K732" s="23" t="s">
        <v>4718</v>
      </c>
      <c r="L732" s="60" t="s">
        <v>3291</v>
      </c>
      <c r="M732" s="60" t="s">
        <v>3289</v>
      </c>
      <c r="N732" s="60" t="s">
        <v>3291</v>
      </c>
      <c r="O732" s="60"/>
      <c r="P732" s="60" t="s">
        <v>3323</v>
      </c>
      <c r="Q732" s="20">
        <v>1</v>
      </c>
    </row>
    <row r="733" spans="1:17" ht="96" x14ac:dyDescent="0.2">
      <c r="A733" s="71">
        <v>732</v>
      </c>
      <c r="B733" s="107" t="str">
        <f>HYPERLINK("https://www.ncbi.nlm.nih.gov/gene/6241", "6241")</f>
        <v>6241</v>
      </c>
      <c r="C733" s="109" t="str">
        <f>HYPERLINK("https://www.uniprot.org/uniprot/P31350", "P31350")</f>
        <v>P31350</v>
      </c>
      <c r="D733" s="43" t="s">
        <v>714</v>
      </c>
      <c r="E733" s="35" t="s">
        <v>714</v>
      </c>
      <c r="F733" s="30" t="s">
        <v>2416</v>
      </c>
      <c r="G733" s="30" t="s">
        <v>2417</v>
      </c>
      <c r="H733" s="30" t="s">
        <v>2418</v>
      </c>
      <c r="I733" s="47" t="s">
        <v>5389</v>
      </c>
      <c r="J733" s="73" t="s">
        <v>3198</v>
      </c>
      <c r="K733" s="23" t="s">
        <v>4719</v>
      </c>
      <c r="L733" s="60" t="s">
        <v>3289</v>
      </c>
      <c r="M733" s="60" t="s">
        <v>3289</v>
      </c>
      <c r="N733" s="60" t="s">
        <v>3291</v>
      </c>
      <c r="O733" s="60" t="s">
        <v>5509</v>
      </c>
      <c r="P733" s="60" t="s">
        <v>3323</v>
      </c>
      <c r="Q733" s="20">
        <v>1</v>
      </c>
    </row>
    <row r="734" spans="1:17" ht="96" x14ac:dyDescent="0.2">
      <c r="A734" s="71">
        <v>733</v>
      </c>
      <c r="B734" s="107" t="str">
        <f>HYPERLINK("https://www.ncbi.nlm.nih.gov/gene/864", "864")</f>
        <v>864</v>
      </c>
      <c r="C734" s="109" t="str">
        <f>HYPERLINK("https://www.uniprot.org/uniprot/Q13761", "Q13761")</f>
        <v>Q13761</v>
      </c>
      <c r="D734" s="43" t="s">
        <v>715</v>
      </c>
      <c r="E734" s="35" t="s">
        <v>715</v>
      </c>
      <c r="F734" s="30" t="s">
        <v>2419</v>
      </c>
      <c r="G734" s="30" t="s">
        <v>2420</v>
      </c>
      <c r="H734" s="30" t="s">
        <v>4157</v>
      </c>
      <c r="I734" s="47" t="s">
        <v>5390</v>
      </c>
      <c r="J734" s="73">
        <v>26186909</v>
      </c>
      <c r="K734" s="23" t="s">
        <v>4720</v>
      </c>
      <c r="L734" s="60" t="s">
        <v>3289</v>
      </c>
      <c r="M734" s="60" t="s">
        <v>3289</v>
      </c>
      <c r="N734" s="60" t="s">
        <v>3291</v>
      </c>
      <c r="O734" s="60"/>
      <c r="P734" s="60" t="s">
        <v>5492</v>
      </c>
      <c r="Q734" s="20">
        <v>4</v>
      </c>
    </row>
    <row r="735" spans="1:17" ht="64" x14ac:dyDescent="0.2">
      <c r="A735" s="71">
        <v>734</v>
      </c>
      <c r="B735" s="107" t="str">
        <f>HYPERLINK("https://www.ncbi.nlm.nih.gov/gene/6275", "6275")</f>
        <v>6275</v>
      </c>
      <c r="C735" s="109" t="str">
        <f>HYPERLINK("https://www.uniprot.org/uniprot/P26447", "P26447")</f>
        <v>P26447</v>
      </c>
      <c r="D735" s="43" t="s">
        <v>716</v>
      </c>
      <c r="E735" s="35" t="s">
        <v>716</v>
      </c>
      <c r="F735" s="30"/>
      <c r="G735" s="30" t="s">
        <v>2421</v>
      </c>
      <c r="H735" s="30" t="s">
        <v>4158</v>
      </c>
      <c r="I735" s="47" t="s">
        <v>2829</v>
      </c>
      <c r="J735" s="73">
        <v>25491625</v>
      </c>
      <c r="K735" s="23" t="s">
        <v>4721</v>
      </c>
      <c r="L735" s="60" t="s">
        <v>3289</v>
      </c>
      <c r="M735" s="60" t="s">
        <v>3289</v>
      </c>
      <c r="N735" s="60" t="s">
        <v>3291</v>
      </c>
      <c r="O735" s="60"/>
      <c r="P735" s="60" t="s">
        <v>3323</v>
      </c>
      <c r="Q735" s="20">
        <v>1</v>
      </c>
    </row>
    <row r="736" spans="1:17" ht="96" x14ac:dyDescent="0.2">
      <c r="A736" s="71">
        <v>735</v>
      </c>
      <c r="B736" s="107" t="str">
        <f>HYPERLINK("https://www.ncbi.nlm.nih.gov/gene/6278", "6278")</f>
        <v>6278</v>
      </c>
      <c r="C736" s="109" t="str">
        <f>HYPERLINK("https://www.uniprot.org/uniprot/P31151", "P31151")</f>
        <v>P31151</v>
      </c>
      <c r="D736" s="43" t="s">
        <v>717</v>
      </c>
      <c r="E736" s="35" t="s">
        <v>717</v>
      </c>
      <c r="F736" s="30" t="s">
        <v>2422</v>
      </c>
      <c r="G736" s="30" t="s">
        <v>2423</v>
      </c>
      <c r="H736" s="30" t="s">
        <v>4159</v>
      </c>
      <c r="I736" s="47" t="s">
        <v>5391</v>
      </c>
      <c r="J736" s="73" t="s">
        <v>3199</v>
      </c>
      <c r="K736" s="23" t="s">
        <v>4722</v>
      </c>
      <c r="L736" s="60" t="s">
        <v>3289</v>
      </c>
      <c r="M736" s="60" t="s">
        <v>3289</v>
      </c>
      <c r="N736" s="60" t="s">
        <v>3291</v>
      </c>
      <c r="O736" s="60"/>
      <c r="P736" s="60" t="s">
        <v>5493</v>
      </c>
      <c r="Q736" s="20">
        <v>4</v>
      </c>
    </row>
    <row r="737" spans="1:17" ht="128" x14ac:dyDescent="0.2">
      <c r="A737" s="71">
        <v>736</v>
      </c>
      <c r="B737" s="107" t="str">
        <f>HYPERLINK("https://www.ncbi.nlm.nih.gov/gene/6280", "6280")</f>
        <v>6280</v>
      </c>
      <c r="C737" s="109" t="s">
        <v>718</v>
      </c>
      <c r="D737" s="43" t="s">
        <v>719</v>
      </c>
      <c r="E737" s="35" t="s">
        <v>719</v>
      </c>
      <c r="F737" s="30" t="s">
        <v>2424</v>
      </c>
      <c r="G737" s="30" t="s">
        <v>5033</v>
      </c>
      <c r="H737" s="30" t="s">
        <v>2425</v>
      </c>
      <c r="I737" s="47" t="s">
        <v>2842</v>
      </c>
      <c r="J737" s="73" t="s">
        <v>3200</v>
      </c>
      <c r="K737" s="23" t="s">
        <v>4723</v>
      </c>
      <c r="L737" s="60" t="s">
        <v>3289</v>
      </c>
      <c r="M737" s="60" t="s">
        <v>3289</v>
      </c>
      <c r="N737" s="60" t="s">
        <v>3289</v>
      </c>
      <c r="O737" s="60"/>
      <c r="P737" s="60" t="s">
        <v>5494</v>
      </c>
      <c r="Q737" s="20">
        <v>5</v>
      </c>
    </row>
    <row r="738" spans="1:17" ht="112" x14ac:dyDescent="0.2">
      <c r="A738" s="71">
        <v>737</v>
      </c>
      <c r="B738" s="107" t="str">
        <f>HYPERLINK("https://www.ncbi.nlm.nih.gov/gene/6285", "6285")</f>
        <v>6285</v>
      </c>
      <c r="C738" s="109" t="str">
        <f>HYPERLINK("https://www.uniprot.org/uniprot/P04271", "P04271")</f>
        <v>P04271</v>
      </c>
      <c r="D738" s="43" t="s">
        <v>720</v>
      </c>
      <c r="E738" s="35" t="s">
        <v>720</v>
      </c>
      <c r="F738" s="30"/>
      <c r="G738" s="30" t="s">
        <v>2426</v>
      </c>
      <c r="H738" s="30" t="s">
        <v>2427</v>
      </c>
      <c r="I738" s="47" t="s">
        <v>5392</v>
      </c>
      <c r="J738" s="73" t="s">
        <v>3201</v>
      </c>
      <c r="K738" s="23" t="s">
        <v>4724</v>
      </c>
      <c r="L738" s="60" t="s">
        <v>3289</v>
      </c>
      <c r="M738" s="60" t="s">
        <v>3289</v>
      </c>
      <c r="N738" s="60" t="s">
        <v>3291</v>
      </c>
      <c r="O738" s="60"/>
      <c r="P738" s="60" t="s">
        <v>3323</v>
      </c>
      <c r="Q738" s="20">
        <v>1</v>
      </c>
    </row>
    <row r="739" spans="1:17" ht="112" x14ac:dyDescent="0.2">
      <c r="A739" s="71">
        <v>738</v>
      </c>
      <c r="B739" s="107" t="str">
        <f>HYPERLINK("https://www.ncbi.nlm.nih.gov/gene/6303", "6303")</f>
        <v>6303</v>
      </c>
      <c r="C739" s="109" t="str">
        <f>HYPERLINK("https://www.uniprot.org/uniprot/P21673", "P21673")</f>
        <v>P21673</v>
      </c>
      <c r="D739" s="43" t="s">
        <v>721</v>
      </c>
      <c r="E739" s="35" t="s">
        <v>721</v>
      </c>
      <c r="F739" s="30" t="s">
        <v>2428</v>
      </c>
      <c r="G739" s="30" t="s">
        <v>2429</v>
      </c>
      <c r="H739" s="30" t="s">
        <v>2430</v>
      </c>
      <c r="I739" s="47" t="s">
        <v>2836</v>
      </c>
      <c r="J739" s="73" t="s">
        <v>3202</v>
      </c>
      <c r="K739" s="23" t="s">
        <v>4725</v>
      </c>
      <c r="L739" s="60" t="s">
        <v>3291</v>
      </c>
      <c r="M739" s="60" t="s">
        <v>3292</v>
      </c>
      <c r="N739" s="60" t="s">
        <v>5530</v>
      </c>
      <c r="O739" s="60"/>
      <c r="P739" s="60" t="s">
        <v>3323</v>
      </c>
      <c r="Q739" s="20">
        <v>1</v>
      </c>
    </row>
    <row r="740" spans="1:17" ht="80" x14ac:dyDescent="0.2">
      <c r="A740" s="71">
        <v>739</v>
      </c>
      <c r="B740" s="107" t="str">
        <f>HYPERLINK("https://www.ncbi.nlm.nih.gov/gene/60485", "60485")</f>
        <v>60485</v>
      </c>
      <c r="C740" s="109" t="str">
        <f>HYPERLINK("https://www.uniprot.org/uniprot/Q9H4B6", "Q9H4B6")</f>
        <v>Q9H4B6</v>
      </c>
      <c r="D740" s="43" t="s">
        <v>722</v>
      </c>
      <c r="E740" s="39" t="s">
        <v>722</v>
      </c>
      <c r="F740" s="30" t="s">
        <v>2431</v>
      </c>
      <c r="G740" s="30" t="s">
        <v>2432</v>
      </c>
      <c r="H740" s="30" t="s">
        <v>2433</v>
      </c>
      <c r="I740" s="47" t="s">
        <v>2845</v>
      </c>
      <c r="J740" s="73">
        <v>29393390</v>
      </c>
      <c r="K740" s="23" t="s">
        <v>4726</v>
      </c>
      <c r="L740" s="60" t="s">
        <v>3292</v>
      </c>
      <c r="M740" s="60" t="s">
        <v>3292</v>
      </c>
      <c r="N740" s="60" t="s">
        <v>3291</v>
      </c>
      <c r="O740" s="60"/>
      <c r="P740" s="60" t="s">
        <v>5495</v>
      </c>
      <c r="Q740" s="20">
        <v>2</v>
      </c>
    </row>
    <row r="741" spans="1:17" ht="112" x14ac:dyDescent="0.2">
      <c r="A741" s="71">
        <v>740</v>
      </c>
      <c r="B741" s="107" t="str">
        <f>HYPERLINK("https://www.ncbi.nlm.nih.gov/gene/286205", "286205")</f>
        <v>286205</v>
      </c>
      <c r="C741" s="109" t="str">
        <f>HYPERLINK("https://www.uniprot.org/uniprot/Q8N9R8", "Q8N9R8")</f>
        <v>Q8N9R8</v>
      </c>
      <c r="D741" s="43" t="s">
        <v>723</v>
      </c>
      <c r="E741" s="39" t="s">
        <v>723</v>
      </c>
      <c r="F741" s="30" t="s">
        <v>2434</v>
      </c>
      <c r="G741" s="30" t="s">
        <v>2435</v>
      </c>
      <c r="H741" s="30" t="s">
        <v>4160</v>
      </c>
      <c r="I741" s="47" t="s">
        <v>5393</v>
      </c>
      <c r="J741" s="73">
        <v>31479922</v>
      </c>
      <c r="K741" s="23" t="s">
        <v>4727</v>
      </c>
      <c r="L741" s="60" t="s">
        <v>3292</v>
      </c>
      <c r="M741" s="60" t="s">
        <v>3292</v>
      </c>
      <c r="N741" s="60" t="s">
        <v>3291</v>
      </c>
      <c r="O741" s="60"/>
      <c r="P741" s="60" t="s">
        <v>5499</v>
      </c>
      <c r="Q741" s="20">
        <v>5</v>
      </c>
    </row>
    <row r="742" spans="1:17" ht="64" x14ac:dyDescent="0.2">
      <c r="A742" s="71">
        <v>741</v>
      </c>
      <c r="B742" s="107" t="str">
        <f>HYPERLINK("https://www.ncbi.nlm.nih.gov/gene/23513", "23513")</f>
        <v>23513</v>
      </c>
      <c r="C742" s="109" t="str">
        <f>HYPERLINK("https://www.uniprot.org/uniprot/Q14160", "Q14160")</f>
        <v>Q14160</v>
      </c>
      <c r="D742" s="43" t="s">
        <v>724</v>
      </c>
      <c r="E742" s="39" t="s">
        <v>724</v>
      </c>
      <c r="F742" s="30" t="s">
        <v>2436</v>
      </c>
      <c r="G742" s="30" t="s">
        <v>2437</v>
      </c>
      <c r="H742" s="30" t="s">
        <v>2438</v>
      </c>
      <c r="I742" s="47" t="s">
        <v>5394</v>
      </c>
      <c r="J742" s="73">
        <v>31495720</v>
      </c>
      <c r="K742" s="23" t="s">
        <v>4728</v>
      </c>
      <c r="L742" s="60" t="s">
        <v>3292</v>
      </c>
      <c r="M742" s="60" t="s">
        <v>3292</v>
      </c>
      <c r="N742" s="60" t="s">
        <v>3289</v>
      </c>
      <c r="O742" s="60"/>
      <c r="P742" s="60" t="s">
        <v>5493</v>
      </c>
      <c r="Q742" s="19">
        <v>4</v>
      </c>
    </row>
    <row r="743" spans="1:17" ht="96" x14ac:dyDescent="0.2">
      <c r="A743" s="71">
        <v>742</v>
      </c>
      <c r="B743" s="107" t="str">
        <f>HYPERLINK("https://www.ncbi.nlm.nih.gov/gene/6390", "6390")</f>
        <v>6390</v>
      </c>
      <c r="C743" s="109" t="str">
        <f>HYPERLINK("https://www.uniprot.org/uniprot/P21912", "P21912")</f>
        <v>P21912</v>
      </c>
      <c r="D743" s="43" t="s">
        <v>725</v>
      </c>
      <c r="E743" s="16" t="s">
        <v>725</v>
      </c>
      <c r="F743" s="5" t="s">
        <v>3345</v>
      </c>
      <c r="G743" s="28" t="s">
        <v>3346</v>
      </c>
      <c r="H743" s="6" t="s">
        <v>4161</v>
      </c>
      <c r="I743" s="49" t="s">
        <v>5395</v>
      </c>
      <c r="J743" s="73" t="s">
        <v>3203</v>
      </c>
      <c r="K743" s="13" t="s">
        <v>3820</v>
      </c>
      <c r="L743" s="60" t="s">
        <v>3291</v>
      </c>
      <c r="M743" s="60" t="s">
        <v>3289</v>
      </c>
      <c r="N743" s="60" t="s">
        <v>3292</v>
      </c>
      <c r="O743" s="60"/>
      <c r="P743" s="60" t="s">
        <v>3323</v>
      </c>
      <c r="Q743" s="20">
        <v>1</v>
      </c>
    </row>
    <row r="744" spans="1:17" ht="96" x14ac:dyDescent="0.2">
      <c r="A744" s="71">
        <v>743</v>
      </c>
      <c r="B744" s="107" t="str">
        <f>HYPERLINK("https://www.ncbi.nlm.nih.gov/gene/6391", "6391")</f>
        <v>6391</v>
      </c>
      <c r="C744" s="109" t="str">
        <f>HYPERLINK("https://www.uniprot.org/uniprot/Q99643", "Q99643")</f>
        <v>Q99643</v>
      </c>
      <c r="D744" s="43" t="s">
        <v>726</v>
      </c>
      <c r="E744" s="16" t="s">
        <v>726</v>
      </c>
      <c r="F744" s="5" t="s">
        <v>3347</v>
      </c>
      <c r="G744" s="28" t="s">
        <v>3348</v>
      </c>
      <c r="H744" s="6" t="s">
        <v>4162</v>
      </c>
      <c r="I744" s="49" t="s">
        <v>5395</v>
      </c>
      <c r="J744" s="73" t="s">
        <v>3203</v>
      </c>
      <c r="K744" s="5" t="s">
        <v>3204</v>
      </c>
      <c r="L744" s="60" t="s">
        <v>3291</v>
      </c>
      <c r="M744" s="60" t="s">
        <v>3289</v>
      </c>
      <c r="N744" s="60" t="s">
        <v>3291</v>
      </c>
      <c r="O744" s="60"/>
      <c r="P744" s="60" t="s">
        <v>3323</v>
      </c>
      <c r="Q744" s="20">
        <v>1</v>
      </c>
    </row>
    <row r="745" spans="1:17" ht="96" x14ac:dyDescent="0.2">
      <c r="A745" s="71">
        <v>744</v>
      </c>
      <c r="B745" s="107" t="str">
        <f>HYPERLINK("https://www.ncbi.nlm.nih.gov/gene/6392", "6392")</f>
        <v>6392</v>
      </c>
      <c r="C745" s="109" t="str">
        <f>HYPERLINK("https://www.uniprot.org/uniprot/O14521", "O14521")</f>
        <v>O14521</v>
      </c>
      <c r="D745" s="43" t="s">
        <v>727</v>
      </c>
      <c r="E745" s="16" t="s">
        <v>727</v>
      </c>
      <c r="F745" s="5" t="s">
        <v>3349</v>
      </c>
      <c r="G745" s="28" t="s">
        <v>3350</v>
      </c>
      <c r="H745" s="6" t="s">
        <v>4162</v>
      </c>
      <c r="I745" s="49" t="s">
        <v>5395</v>
      </c>
      <c r="J745" s="73" t="s">
        <v>3203</v>
      </c>
      <c r="K745" s="13" t="s">
        <v>3205</v>
      </c>
      <c r="L745" s="60" t="s">
        <v>3291</v>
      </c>
      <c r="M745" s="60" t="s">
        <v>3289</v>
      </c>
      <c r="N745" s="60" t="s">
        <v>3291</v>
      </c>
      <c r="O745" s="60"/>
      <c r="P745" s="60" t="s">
        <v>3323</v>
      </c>
      <c r="Q745" s="20">
        <v>1</v>
      </c>
    </row>
    <row r="746" spans="1:17" ht="128" x14ac:dyDescent="0.2">
      <c r="A746" s="71">
        <v>745</v>
      </c>
      <c r="B746" s="107" t="str">
        <f>HYPERLINK("https://www.ncbi.nlm.nih.gov/gene/29843", "29843")</f>
        <v>29843</v>
      </c>
      <c r="C746" s="109" t="str">
        <f>HYPERLINK("https://www.uniprot.org/uniprot/Q9P0U3", "Q9P0U3")</f>
        <v>Q9P0U3</v>
      </c>
      <c r="D746" s="43" t="s">
        <v>728</v>
      </c>
      <c r="E746" s="35" t="s">
        <v>728</v>
      </c>
      <c r="F746" s="30"/>
      <c r="G746" s="30" t="s">
        <v>2439</v>
      </c>
      <c r="H746" s="30" t="s">
        <v>4163</v>
      </c>
      <c r="I746" s="47" t="s">
        <v>2839</v>
      </c>
      <c r="J746" s="73" t="s">
        <v>3206</v>
      </c>
      <c r="K746" s="23" t="s">
        <v>4729</v>
      </c>
      <c r="L746" s="60" t="s">
        <v>3291</v>
      </c>
      <c r="M746" s="60" t="s">
        <v>3290</v>
      </c>
      <c r="N746" s="60" t="s">
        <v>3291</v>
      </c>
      <c r="O746" s="60"/>
      <c r="P746" s="60" t="s">
        <v>3323</v>
      </c>
      <c r="Q746" s="20">
        <v>1</v>
      </c>
    </row>
    <row r="747" spans="1:17" ht="128" x14ac:dyDescent="0.2">
      <c r="A747" s="71">
        <v>746</v>
      </c>
      <c r="B747" s="107" t="str">
        <f>HYPERLINK("https://www.ncbi.nlm.nih.gov/gene/5055", "5055")</f>
        <v>5055</v>
      </c>
      <c r="C747" s="109" t="str">
        <f>HYPERLINK("https://www.uniprot.org/uniprot/P05120", "P05120")</f>
        <v>P05120</v>
      </c>
      <c r="D747" s="43" t="s">
        <v>729</v>
      </c>
      <c r="E747" s="35" t="s">
        <v>729</v>
      </c>
      <c r="F747" s="30" t="s">
        <v>2440</v>
      </c>
      <c r="G747" s="30" t="s">
        <v>2441</v>
      </c>
      <c r="H747" s="30" t="s">
        <v>2442</v>
      </c>
      <c r="I747" s="47" t="s">
        <v>5396</v>
      </c>
      <c r="J747" s="73">
        <v>23661500</v>
      </c>
      <c r="K747" s="23" t="s">
        <v>4730</v>
      </c>
      <c r="L747" s="60" t="s">
        <v>3292</v>
      </c>
      <c r="M747" s="60" t="s">
        <v>3292</v>
      </c>
      <c r="N747" s="60" t="s">
        <v>3291</v>
      </c>
      <c r="O747" s="60"/>
      <c r="P747" s="60" t="s">
        <v>5493</v>
      </c>
      <c r="Q747" s="20">
        <v>4</v>
      </c>
    </row>
    <row r="748" spans="1:17" ht="112" x14ac:dyDescent="0.2">
      <c r="A748" s="71">
        <v>747</v>
      </c>
      <c r="B748" s="107" t="str">
        <f>HYPERLINK("https://www.ncbi.nlm.nih.gov/gene/6317", "6317")</f>
        <v>6317</v>
      </c>
      <c r="C748" s="109" t="str">
        <f>HYPERLINK("https://www.uniprot.org/uniprot/P29508", "P29508")</f>
        <v>P29508</v>
      </c>
      <c r="D748" s="43" t="s">
        <v>730</v>
      </c>
      <c r="E748" s="35" t="s">
        <v>730</v>
      </c>
      <c r="F748" s="30" t="s">
        <v>2443</v>
      </c>
      <c r="G748" s="30" t="s">
        <v>2444</v>
      </c>
      <c r="H748" s="30" t="s">
        <v>4164</v>
      </c>
      <c r="I748" s="47" t="s">
        <v>5397</v>
      </c>
      <c r="J748" s="73" t="s">
        <v>3207</v>
      </c>
      <c r="K748" s="23" t="s">
        <v>4731</v>
      </c>
      <c r="L748" s="60" t="s">
        <v>3289</v>
      </c>
      <c r="M748" s="60" t="s">
        <v>3289</v>
      </c>
      <c r="N748" s="60" t="s">
        <v>3291</v>
      </c>
      <c r="O748" s="60"/>
      <c r="P748" s="60" t="s">
        <v>5504</v>
      </c>
      <c r="Q748" s="20">
        <v>4</v>
      </c>
    </row>
    <row r="749" spans="1:17" ht="80" x14ac:dyDescent="0.2">
      <c r="A749" s="71">
        <v>748</v>
      </c>
      <c r="B749" s="107" t="str">
        <f>HYPERLINK("https://www.ncbi.nlm.nih.gov/gene/5054", "5054")</f>
        <v>5054</v>
      </c>
      <c r="C749" s="109" t="str">
        <f>HYPERLINK("https://www.uniprot.org/uniprot/P05121", "P05121")</f>
        <v>P05121</v>
      </c>
      <c r="D749" s="43" t="s">
        <v>731</v>
      </c>
      <c r="E749" s="35" t="s">
        <v>731</v>
      </c>
      <c r="F749" s="30" t="s">
        <v>2445</v>
      </c>
      <c r="G749" s="30" t="s">
        <v>2446</v>
      </c>
      <c r="H749" s="30" t="s">
        <v>2447</v>
      </c>
      <c r="I749" s="47" t="s">
        <v>5398</v>
      </c>
      <c r="J749" s="73">
        <v>28975405</v>
      </c>
      <c r="K749" s="23" t="s">
        <v>4732</v>
      </c>
      <c r="L749" s="60" t="s">
        <v>3289</v>
      </c>
      <c r="M749" s="60" t="s">
        <v>3289</v>
      </c>
      <c r="N749" s="60" t="s">
        <v>3289</v>
      </c>
      <c r="O749" s="60"/>
      <c r="P749" s="60" t="s">
        <v>3323</v>
      </c>
      <c r="Q749" s="20">
        <v>1</v>
      </c>
    </row>
    <row r="750" spans="1:17" ht="128" x14ac:dyDescent="0.2">
      <c r="A750" s="71">
        <v>749</v>
      </c>
      <c r="B750" s="107" t="str">
        <f>HYPERLINK("https://www.ncbi.nlm.nih.gov/gene/27244", "27244")</f>
        <v>27244</v>
      </c>
      <c r="C750" s="109" t="str">
        <f>HYPERLINK("https://www.uniprot.org/uniprot/Q9Y6P5", "Q9Y6P5")</f>
        <v>Q9Y6P5</v>
      </c>
      <c r="D750" s="43" t="s">
        <v>732</v>
      </c>
      <c r="E750" s="40" t="s">
        <v>732</v>
      </c>
      <c r="F750" s="30" t="s">
        <v>2448</v>
      </c>
      <c r="G750" s="30" t="s">
        <v>2449</v>
      </c>
      <c r="H750" s="30" t="s">
        <v>2450</v>
      </c>
      <c r="I750" s="47" t="s">
        <v>5399</v>
      </c>
      <c r="J750" s="73">
        <v>30300027</v>
      </c>
      <c r="K750" s="23" t="s">
        <v>4733</v>
      </c>
      <c r="L750" s="60" t="s">
        <v>3291</v>
      </c>
      <c r="M750" s="60" t="s">
        <v>3289</v>
      </c>
      <c r="N750" s="60" t="s">
        <v>3289</v>
      </c>
      <c r="O750" s="60"/>
      <c r="P750" s="60" t="s">
        <v>3323</v>
      </c>
      <c r="Q750" s="20">
        <v>1</v>
      </c>
    </row>
    <row r="751" spans="1:17" ht="96" x14ac:dyDescent="0.2">
      <c r="A751" s="71">
        <v>750</v>
      </c>
      <c r="B751" s="107" t="str">
        <f>HYPERLINK("https://www.ncbi.nlm.nih.gov/gene/29072", "29072")</f>
        <v>29072</v>
      </c>
      <c r="C751" s="109" t="str">
        <f>HYPERLINK("https://www.uniprot.org/uniprot/Q9BYW2", "Q9BYW2")</f>
        <v>Q9BYW2</v>
      </c>
      <c r="D751" s="43" t="s">
        <v>733</v>
      </c>
      <c r="E751" s="35" t="s">
        <v>733</v>
      </c>
      <c r="F751" s="30" t="s">
        <v>2451</v>
      </c>
      <c r="G751" s="30" t="s">
        <v>2452</v>
      </c>
      <c r="H751" s="30" t="s">
        <v>4165</v>
      </c>
      <c r="I751" s="47" t="s">
        <v>5400</v>
      </c>
      <c r="J751" s="73" t="s">
        <v>3208</v>
      </c>
      <c r="K751" s="23" t="s">
        <v>4734</v>
      </c>
      <c r="L751" s="60" t="s">
        <v>3292</v>
      </c>
      <c r="M751" s="60" t="s">
        <v>3292</v>
      </c>
      <c r="N751" s="60" t="s">
        <v>3291</v>
      </c>
      <c r="O751" s="60"/>
      <c r="P751" s="60" t="s">
        <v>3323</v>
      </c>
      <c r="Q751" s="20">
        <v>1</v>
      </c>
    </row>
    <row r="752" spans="1:17" ht="144" x14ac:dyDescent="0.2">
      <c r="A752" s="71">
        <v>751</v>
      </c>
      <c r="B752" s="107" t="str">
        <f>HYPERLINK("https://www.ncbi.nlm.nih.gov/gene/2810", "2810")</f>
        <v>2810</v>
      </c>
      <c r="C752" s="109" t="str">
        <f>HYPERLINK("https://www.uniprot.org/uniprot/P31947", "P31947")</f>
        <v>P31947</v>
      </c>
      <c r="D752" s="43" t="s">
        <v>734</v>
      </c>
      <c r="E752" s="16" t="s">
        <v>734</v>
      </c>
      <c r="F752" s="5" t="s">
        <v>2453</v>
      </c>
      <c r="G752" s="28" t="s">
        <v>3579</v>
      </c>
      <c r="H752" s="6" t="s">
        <v>4166</v>
      </c>
      <c r="I752" s="49" t="s">
        <v>5401</v>
      </c>
      <c r="J752" s="73" t="s">
        <v>3209</v>
      </c>
      <c r="K752" s="16" t="s">
        <v>3821</v>
      </c>
      <c r="L752" s="60" t="s">
        <v>3289</v>
      </c>
      <c r="M752" s="60" t="s">
        <v>3289</v>
      </c>
      <c r="N752" s="60" t="s">
        <v>3291</v>
      </c>
      <c r="O752" s="60"/>
      <c r="P752" s="60" t="s">
        <v>3323</v>
      </c>
      <c r="Q752" s="20">
        <v>1</v>
      </c>
    </row>
    <row r="753" spans="1:17" ht="96" x14ac:dyDescent="0.2">
      <c r="A753" s="71">
        <v>752</v>
      </c>
      <c r="B753" s="107" t="str">
        <f>HYPERLINK("https://www.ncbi.nlm.nih.gov/gene/6425", "6425")</f>
        <v>6425</v>
      </c>
      <c r="C753" s="109" t="str">
        <f>HYPERLINK("https://www.uniprot.org/uniprot/Q5T4F7", "Q5T4F7")</f>
        <v>Q5T4F7</v>
      </c>
      <c r="D753" s="43" t="s">
        <v>735</v>
      </c>
      <c r="E753" s="35" t="s">
        <v>735</v>
      </c>
      <c r="F753" s="30"/>
      <c r="G753" s="30" t="s">
        <v>2454</v>
      </c>
      <c r="H753" s="30" t="s">
        <v>4167</v>
      </c>
      <c r="I753" s="47" t="s">
        <v>5289</v>
      </c>
      <c r="J753" s="73" t="s">
        <v>3210</v>
      </c>
      <c r="K753" s="23" t="s">
        <v>4735</v>
      </c>
      <c r="L753" s="60" t="s">
        <v>3292</v>
      </c>
      <c r="M753" s="60" t="s">
        <v>3292</v>
      </c>
      <c r="N753" s="60" t="s">
        <v>3292</v>
      </c>
      <c r="O753" s="60"/>
      <c r="P753" s="60" t="s">
        <v>5494</v>
      </c>
      <c r="Q753" s="20">
        <v>5</v>
      </c>
    </row>
    <row r="754" spans="1:17" ht="80" x14ac:dyDescent="0.2">
      <c r="A754" s="71">
        <v>753</v>
      </c>
      <c r="B754" s="107" t="str">
        <f>HYPERLINK("https://www.ncbi.nlm.nih.gov/gene/6446", "6446")</f>
        <v>6446</v>
      </c>
      <c r="C754" s="109" t="str">
        <f>HYPERLINK("https://www.uniprot.org/uniprot/O00141", "O00141")</f>
        <v>O00141</v>
      </c>
      <c r="D754" s="43" t="s">
        <v>736</v>
      </c>
      <c r="E754" s="35" t="s">
        <v>736</v>
      </c>
      <c r="F754" s="30" t="s">
        <v>2455</v>
      </c>
      <c r="G754" s="30" t="s">
        <v>5034</v>
      </c>
      <c r="H754" s="30" t="s">
        <v>4168</v>
      </c>
      <c r="I754" s="47" t="s">
        <v>5402</v>
      </c>
      <c r="J754" s="73" t="s">
        <v>3211</v>
      </c>
      <c r="K754" s="23" t="s">
        <v>3621</v>
      </c>
      <c r="L754" s="60" t="s">
        <v>3291</v>
      </c>
      <c r="M754" s="60" t="s">
        <v>3289</v>
      </c>
      <c r="N754" s="60" t="s">
        <v>3291</v>
      </c>
      <c r="O754" s="60"/>
      <c r="P754" s="60" t="s">
        <v>5495</v>
      </c>
      <c r="Q754" s="20">
        <v>2</v>
      </c>
    </row>
    <row r="755" spans="1:17" ht="112" x14ac:dyDescent="0.2">
      <c r="A755" s="71">
        <v>754</v>
      </c>
      <c r="B755" s="107" t="str">
        <f>HYPERLINK("https://www.ncbi.nlm.nih.gov/gene/6464", "6464")</f>
        <v>6464</v>
      </c>
      <c r="C755" s="109" t="str">
        <f>HYPERLINK("https://www.uniprot.org/uniprot/P29353", "P29353")</f>
        <v>P29353</v>
      </c>
      <c r="D755" s="43" t="s">
        <v>742</v>
      </c>
      <c r="E755" s="35" t="s">
        <v>742</v>
      </c>
      <c r="F755" s="30" t="s">
        <v>2467</v>
      </c>
      <c r="G755" s="30" t="s">
        <v>2468</v>
      </c>
      <c r="H755" s="30" t="s">
        <v>4169</v>
      </c>
      <c r="I755" s="47" t="s">
        <v>5403</v>
      </c>
      <c r="J755" s="73" t="s">
        <v>3214</v>
      </c>
      <c r="K755" s="23" t="s">
        <v>4736</v>
      </c>
      <c r="L755" s="60" t="s">
        <v>3292</v>
      </c>
      <c r="M755" s="60" t="s">
        <v>3292</v>
      </c>
      <c r="N755" s="60" t="s">
        <v>3289</v>
      </c>
      <c r="O755" s="60"/>
      <c r="P755" s="60" t="s">
        <v>3323</v>
      </c>
      <c r="Q755" s="20">
        <v>1</v>
      </c>
    </row>
    <row r="756" spans="1:17" ht="96" x14ac:dyDescent="0.2">
      <c r="A756" s="71">
        <v>755</v>
      </c>
      <c r="B756" s="107" t="str">
        <f>HYPERLINK("https://www.ncbi.nlm.nih.gov/gene/79801", "79801")</f>
        <v>79801</v>
      </c>
      <c r="C756" s="111" t="str">
        <f>HYPERLINK("https://www.uniprot.org/uniprot/Q8NEM2", "Q8NEM2")</f>
        <v>Q8NEM2</v>
      </c>
      <c r="D756" s="43" t="s">
        <v>737</v>
      </c>
      <c r="E756" s="35" t="s">
        <v>737</v>
      </c>
      <c r="F756" s="30"/>
      <c r="G756" s="30" t="s">
        <v>2456</v>
      </c>
      <c r="H756" s="30" t="s">
        <v>2457</v>
      </c>
      <c r="I756" s="47" t="s">
        <v>5404</v>
      </c>
      <c r="J756" s="73">
        <v>31472149</v>
      </c>
      <c r="K756" s="23" t="s">
        <v>4737</v>
      </c>
      <c r="L756" s="60" t="s">
        <v>3289</v>
      </c>
      <c r="M756" s="60" t="s">
        <v>3289</v>
      </c>
      <c r="N756" s="60" t="s">
        <v>3291</v>
      </c>
      <c r="O756" s="60"/>
      <c r="P756" s="60" t="s">
        <v>3323</v>
      </c>
      <c r="Q756" s="20">
        <v>1</v>
      </c>
    </row>
    <row r="757" spans="1:17" ht="96" x14ac:dyDescent="0.2">
      <c r="A757" s="71">
        <v>756</v>
      </c>
      <c r="B757" s="107" t="str">
        <f>HYPERLINK("https://www.ncbi.nlm.nih.gov/gene/23235", "23235")</f>
        <v>23235</v>
      </c>
      <c r="C757" s="109" t="str">
        <f>HYPERLINK("https://www.uniprot.org/uniprot/Q9H0K1", "Q9H0K1")</f>
        <v>Q9H0K1</v>
      </c>
      <c r="D757" s="43" t="s">
        <v>738</v>
      </c>
      <c r="E757" s="35" t="s">
        <v>738</v>
      </c>
      <c r="F757" s="30" t="s">
        <v>2458</v>
      </c>
      <c r="G757" s="30" t="s">
        <v>2459</v>
      </c>
      <c r="H757" s="30" t="s">
        <v>2460</v>
      </c>
      <c r="I757" s="47" t="s">
        <v>5405</v>
      </c>
      <c r="J757" s="73">
        <v>32458975</v>
      </c>
      <c r="K757" s="23" t="s">
        <v>4738</v>
      </c>
      <c r="L757" s="60" t="s">
        <v>3289</v>
      </c>
      <c r="M757" s="60" t="s">
        <v>3289</v>
      </c>
      <c r="N757" s="60" t="s">
        <v>3291</v>
      </c>
      <c r="O757" s="60"/>
      <c r="P757" s="60" t="s">
        <v>3323</v>
      </c>
      <c r="Q757" s="20">
        <v>1</v>
      </c>
    </row>
    <row r="758" spans="1:17" ht="112" x14ac:dyDescent="0.2">
      <c r="A758" s="71">
        <v>757</v>
      </c>
      <c r="B758" s="107" t="str">
        <f>HYPERLINK("https://www.ncbi.nlm.nih.gov/gene/23411", "23411")</f>
        <v>23411</v>
      </c>
      <c r="C758" s="109" t="str">
        <f>HYPERLINK("https://www.uniprot.org/uniprot/Q96EB6", "Q96EB6")</f>
        <v>Q96EB6</v>
      </c>
      <c r="D758" s="43" t="s">
        <v>739</v>
      </c>
      <c r="E758" s="35" t="s">
        <v>739</v>
      </c>
      <c r="F758" s="30" t="s">
        <v>2461</v>
      </c>
      <c r="G758" s="30" t="s">
        <v>2462</v>
      </c>
      <c r="H758" s="30" t="s">
        <v>4170</v>
      </c>
      <c r="I758" s="47" t="s">
        <v>5406</v>
      </c>
      <c r="J758" s="73" t="s">
        <v>3212</v>
      </c>
      <c r="K758" s="23" t="s">
        <v>4739</v>
      </c>
      <c r="L758" s="60" t="s">
        <v>3289</v>
      </c>
      <c r="M758" s="60" t="s">
        <v>3289</v>
      </c>
      <c r="N758" s="60" t="s">
        <v>3291</v>
      </c>
      <c r="O758" s="60"/>
      <c r="P758" s="60" t="s">
        <v>5494</v>
      </c>
      <c r="Q758" s="20">
        <v>5</v>
      </c>
    </row>
    <row r="759" spans="1:17" ht="64" x14ac:dyDescent="0.2">
      <c r="A759" s="71">
        <v>758</v>
      </c>
      <c r="B759" s="107" t="str">
        <f>HYPERLINK("https://www.ncbi.nlm.nih.gov/gene/23410", "23410")</f>
        <v>23410</v>
      </c>
      <c r="C759" s="111" t="str">
        <f>HYPERLINK("https://www.uniprot.org/uniprot/Q9NTG7", "Q9NTG7")</f>
        <v>Q9NTG7</v>
      </c>
      <c r="D759" s="43" t="s">
        <v>740</v>
      </c>
      <c r="E759" s="35" t="s">
        <v>740</v>
      </c>
      <c r="F759" s="30" t="s">
        <v>2463</v>
      </c>
      <c r="G759" s="30" t="s">
        <v>2464</v>
      </c>
      <c r="H759" s="30" t="s">
        <v>2465</v>
      </c>
      <c r="I759" s="47" t="s">
        <v>2836</v>
      </c>
      <c r="J759" s="73">
        <v>27420645</v>
      </c>
      <c r="K759" s="23" t="s">
        <v>4740</v>
      </c>
      <c r="L759" s="60" t="s">
        <v>3289</v>
      </c>
      <c r="M759" s="60" t="s">
        <v>3289</v>
      </c>
      <c r="N759" s="60" t="s">
        <v>3291</v>
      </c>
      <c r="O759" s="60"/>
      <c r="P759" s="60" t="s">
        <v>3323</v>
      </c>
      <c r="Q759" s="20">
        <v>1</v>
      </c>
    </row>
    <row r="760" spans="1:17" ht="112" x14ac:dyDescent="0.2">
      <c r="A760" s="71">
        <v>759</v>
      </c>
      <c r="B760" s="107" t="str">
        <f>HYPERLINK("https://www.ncbi.nlm.nih.gov/gene/6495", "6495")</f>
        <v>6495</v>
      </c>
      <c r="C760" s="109" t="str">
        <f>HYPERLINK("https://www.uniprot.org/uniprot/Q15475", "Q15475")</f>
        <v>Q15475</v>
      </c>
      <c r="D760" s="43" t="s">
        <v>741</v>
      </c>
      <c r="E760" s="35" t="s">
        <v>741</v>
      </c>
      <c r="F760" s="30"/>
      <c r="G760" s="30" t="s">
        <v>3368</v>
      </c>
      <c r="H760" s="30" t="s">
        <v>2466</v>
      </c>
      <c r="I760" s="47" t="s">
        <v>5407</v>
      </c>
      <c r="J760" s="73" t="s">
        <v>3213</v>
      </c>
      <c r="K760" s="23" t="s">
        <v>4741</v>
      </c>
      <c r="L760" s="60" t="s">
        <v>3289</v>
      </c>
      <c r="M760" s="60" t="s">
        <v>3289</v>
      </c>
      <c r="N760" s="60" t="s">
        <v>3291</v>
      </c>
      <c r="O760" s="60"/>
      <c r="P760" s="60" t="s">
        <v>5493</v>
      </c>
      <c r="Q760" s="20">
        <v>4</v>
      </c>
    </row>
    <row r="761" spans="1:17" ht="96" x14ac:dyDescent="0.2">
      <c r="A761" s="71">
        <v>760</v>
      </c>
      <c r="B761" s="107" t="str">
        <f>HYPERLINK("https://www.ncbi.nlm.nih.gov/gene/6573", "6573")</f>
        <v>6573</v>
      </c>
      <c r="C761" s="120" t="str">
        <f>HYPERLINK("https://www.uniprot.org/uniprot/P41440", "P41440")</f>
        <v>P41440</v>
      </c>
      <c r="D761" s="43" t="s">
        <v>743</v>
      </c>
      <c r="E761" s="29" t="s">
        <v>743</v>
      </c>
      <c r="F761" s="31" t="s">
        <v>2469</v>
      </c>
      <c r="G761" s="31" t="s">
        <v>2470</v>
      </c>
      <c r="H761" s="31" t="s">
        <v>2471</v>
      </c>
      <c r="I761" s="31" t="s">
        <v>5408</v>
      </c>
      <c r="J761" s="73">
        <v>28138029</v>
      </c>
      <c r="K761" s="23" t="s">
        <v>3215</v>
      </c>
      <c r="L761" s="60" t="s">
        <v>3291</v>
      </c>
      <c r="M761" s="60" t="s">
        <v>3289</v>
      </c>
      <c r="N761" s="60" t="s">
        <v>3291</v>
      </c>
      <c r="O761" s="60"/>
      <c r="P761" s="60" t="s">
        <v>3323</v>
      </c>
      <c r="Q761" s="64">
        <v>1</v>
      </c>
    </row>
    <row r="762" spans="1:17" ht="80" x14ac:dyDescent="0.2">
      <c r="A762" s="71">
        <v>761</v>
      </c>
      <c r="B762" s="107" t="str">
        <f>HYPERLINK("https://www.ncbi.nlm.nih.gov/gene/6510", "6510")</f>
        <v>6510</v>
      </c>
      <c r="C762" s="109" t="str">
        <f>HYPERLINK("https://www.uniprot.org/uniprot/Q15758", "Q15758")</f>
        <v>Q15758</v>
      </c>
      <c r="D762" s="43" t="s">
        <v>744</v>
      </c>
      <c r="E762" s="35" t="s">
        <v>744</v>
      </c>
      <c r="F762" s="30" t="s">
        <v>2472</v>
      </c>
      <c r="G762" s="30" t="s">
        <v>2473</v>
      </c>
      <c r="H762" s="30" t="s">
        <v>4171</v>
      </c>
      <c r="I762" s="47" t="s">
        <v>3378</v>
      </c>
      <c r="J762" s="73" t="s">
        <v>3216</v>
      </c>
      <c r="K762" s="23" t="s">
        <v>4742</v>
      </c>
      <c r="L762" s="60" t="s">
        <v>3289</v>
      </c>
      <c r="M762" s="60" t="s">
        <v>3289</v>
      </c>
      <c r="N762" s="60" t="s">
        <v>3289</v>
      </c>
      <c r="O762" s="60"/>
      <c r="P762" s="60" t="s">
        <v>3323</v>
      </c>
      <c r="Q762" s="20">
        <v>1</v>
      </c>
    </row>
    <row r="763" spans="1:17" ht="96" x14ac:dyDescent="0.2">
      <c r="A763" s="71">
        <v>762</v>
      </c>
      <c r="B763" s="107" t="str">
        <f>HYPERLINK("https://www.ncbi.nlm.nih.gov/gene/6580", "6580")</f>
        <v>6580</v>
      </c>
      <c r="C763" s="109" t="str">
        <f>HYPERLINK("https://www.uniprot.org/uniprot/O15245", "O15245")</f>
        <v>O15245</v>
      </c>
      <c r="D763" s="29" t="s">
        <v>3452</v>
      </c>
      <c r="E763" s="16" t="s">
        <v>3452</v>
      </c>
      <c r="F763" s="93" t="s">
        <v>3453</v>
      </c>
      <c r="G763" s="28" t="s">
        <v>5035</v>
      </c>
      <c r="H763" s="28" t="s">
        <v>3454</v>
      </c>
      <c r="I763" s="31" t="s">
        <v>3844</v>
      </c>
      <c r="J763" s="73" t="s">
        <v>3584</v>
      </c>
      <c r="K763" s="23" t="s">
        <v>4743</v>
      </c>
      <c r="L763" s="60" t="s">
        <v>3292</v>
      </c>
      <c r="M763" s="60" t="s">
        <v>3292</v>
      </c>
      <c r="N763" s="60" t="s">
        <v>3291</v>
      </c>
      <c r="O763" s="60"/>
      <c r="P763" s="60" t="s">
        <v>3323</v>
      </c>
      <c r="Q763" s="20">
        <v>1</v>
      </c>
    </row>
    <row r="764" spans="1:17" ht="96" x14ac:dyDescent="0.2">
      <c r="A764" s="71">
        <v>763</v>
      </c>
      <c r="B764" s="107" t="str">
        <f>HYPERLINK("https://www.ncbi.nlm.nih.gov/gene/6582", "6582")</f>
        <v>6582</v>
      </c>
      <c r="C764" s="109" t="str">
        <f>HYPERLINK("https://www.uniprot.org/uniprot/O15244", "O15244")</f>
        <v>O15244</v>
      </c>
      <c r="D764" s="43" t="s">
        <v>746</v>
      </c>
      <c r="E764" s="16" t="s">
        <v>746</v>
      </c>
      <c r="F764" s="93" t="s">
        <v>2477</v>
      </c>
      <c r="G764" s="28" t="s">
        <v>5036</v>
      </c>
      <c r="H764" s="28" t="s">
        <v>4744</v>
      </c>
      <c r="I764" s="31" t="s">
        <v>3844</v>
      </c>
      <c r="J764" s="73" t="s">
        <v>3585</v>
      </c>
      <c r="K764" s="23" t="s">
        <v>4745</v>
      </c>
      <c r="L764" s="60" t="s">
        <v>3292</v>
      </c>
      <c r="M764" s="60" t="s">
        <v>3292</v>
      </c>
      <c r="N764" s="60" t="s">
        <v>3291</v>
      </c>
      <c r="O764" s="60"/>
      <c r="P764" s="60" t="s">
        <v>5493</v>
      </c>
      <c r="Q764" s="20">
        <v>4</v>
      </c>
    </row>
    <row r="765" spans="1:17" ht="80" x14ac:dyDescent="0.2">
      <c r="A765" s="71">
        <v>764</v>
      </c>
      <c r="B765" s="107" t="str">
        <f>HYPERLINK("https://www.ncbi.nlm.nih.gov/gene/6581", "6581")</f>
        <v>6581</v>
      </c>
      <c r="C765" s="109" t="str">
        <f>HYPERLINK("https://www.uniprot.org/uniprot/O75751", "O75751")</f>
        <v>O75751</v>
      </c>
      <c r="D765" s="43" t="s">
        <v>747</v>
      </c>
      <c r="E765" s="16" t="s">
        <v>747</v>
      </c>
      <c r="F765" s="93" t="s">
        <v>2478</v>
      </c>
      <c r="G765" s="28" t="s">
        <v>5037</v>
      </c>
      <c r="H765" s="28" t="s">
        <v>3455</v>
      </c>
      <c r="I765" s="31" t="s">
        <v>3844</v>
      </c>
      <c r="J765" s="73" t="s">
        <v>3586</v>
      </c>
      <c r="K765" s="23" t="s">
        <v>4746</v>
      </c>
      <c r="L765" s="60" t="s">
        <v>3292</v>
      </c>
      <c r="M765" s="60" t="s">
        <v>3292</v>
      </c>
      <c r="N765" s="60" t="s">
        <v>3291</v>
      </c>
      <c r="O765" s="60"/>
      <c r="P765" s="60" t="s">
        <v>3323</v>
      </c>
      <c r="Q765" s="20">
        <v>1</v>
      </c>
    </row>
    <row r="766" spans="1:17" ht="112" x14ac:dyDescent="0.2">
      <c r="A766" s="71">
        <v>765</v>
      </c>
      <c r="B766" s="107" t="str">
        <f>HYPERLINK("https://www.ncbi.nlm.nih.gov/gene/6576", "6576")</f>
        <v>6576</v>
      </c>
      <c r="C766" s="109" t="str">
        <f>HYPERLINK("https://www.uniprot.org/uniprot/P53007", "P53007")</f>
        <v>P53007</v>
      </c>
      <c r="D766" s="43" t="s">
        <v>748</v>
      </c>
      <c r="E766" s="16" t="s">
        <v>748</v>
      </c>
      <c r="F766" s="93" t="s">
        <v>2479</v>
      </c>
      <c r="G766" s="28" t="s">
        <v>2480</v>
      </c>
      <c r="H766" s="28" t="s">
        <v>2481</v>
      </c>
      <c r="I766" s="31" t="s">
        <v>5409</v>
      </c>
      <c r="J766" s="73" t="s">
        <v>3218</v>
      </c>
      <c r="K766" s="23" t="s">
        <v>4747</v>
      </c>
      <c r="L766" s="60" t="s">
        <v>3289</v>
      </c>
      <c r="M766" s="60" t="s">
        <v>3289</v>
      </c>
      <c r="N766" s="60" t="s">
        <v>3291</v>
      </c>
      <c r="O766" s="60"/>
      <c r="P766" s="60" t="s">
        <v>5505</v>
      </c>
      <c r="Q766" s="20">
        <v>5</v>
      </c>
    </row>
    <row r="767" spans="1:17" ht="128" x14ac:dyDescent="0.2">
      <c r="A767" s="71">
        <v>766</v>
      </c>
      <c r="B767" s="107" t="str">
        <f>HYPERLINK("https://www.ncbi.nlm.nih.gov/gene/11001", "11001")</f>
        <v>11001</v>
      </c>
      <c r="C767" s="109" t="str">
        <f>HYPERLINK("https://www.uniprot.org/uniprot/O14975", "O14975")</f>
        <v>O14975</v>
      </c>
      <c r="D767" s="43" t="s">
        <v>749</v>
      </c>
      <c r="E767" s="35" t="s">
        <v>749</v>
      </c>
      <c r="F767" s="30" t="s">
        <v>2482</v>
      </c>
      <c r="G767" s="30" t="s">
        <v>2483</v>
      </c>
      <c r="H767" s="30" t="s">
        <v>4172</v>
      </c>
      <c r="I767" s="47" t="s">
        <v>5410</v>
      </c>
      <c r="J767" s="73" t="s">
        <v>3219</v>
      </c>
      <c r="K767" s="23" t="s">
        <v>4748</v>
      </c>
      <c r="L767" s="60" t="s">
        <v>3292</v>
      </c>
      <c r="M767" s="60" t="s">
        <v>3292</v>
      </c>
      <c r="N767" s="60" t="s">
        <v>3291</v>
      </c>
      <c r="O767" s="60"/>
      <c r="P767" s="60" t="s">
        <v>5506</v>
      </c>
      <c r="Q767" s="20">
        <v>4</v>
      </c>
    </row>
    <row r="768" spans="1:17" ht="160" x14ac:dyDescent="0.2">
      <c r="A768" s="71">
        <v>767</v>
      </c>
      <c r="B768" s="107" t="str">
        <f>HYPERLINK("https://www.ncbi.nlm.nih.gov/gene/6513", "6513")</f>
        <v>6513</v>
      </c>
      <c r="C768" s="111" t="str">
        <f>HYPERLINK("https://www.uniprot.org/uniprot/P11166", "P11166")</f>
        <v>P11166</v>
      </c>
      <c r="D768" s="43" t="s">
        <v>745</v>
      </c>
      <c r="E768" s="35" t="s">
        <v>745</v>
      </c>
      <c r="F768" s="30" t="s">
        <v>2474</v>
      </c>
      <c r="G768" s="30" t="s">
        <v>2475</v>
      </c>
      <c r="H768" s="30" t="s">
        <v>2476</v>
      </c>
      <c r="I768" s="47" t="s">
        <v>3353</v>
      </c>
      <c r="J768" s="73" t="s">
        <v>3217</v>
      </c>
      <c r="K768" s="23" t="s">
        <v>4749</v>
      </c>
      <c r="L768" s="60" t="s">
        <v>3290</v>
      </c>
      <c r="M768" s="60" t="s">
        <v>3289</v>
      </c>
      <c r="N768" s="105" t="s">
        <v>3292</v>
      </c>
      <c r="O768" s="105"/>
      <c r="P768" s="105" t="s">
        <v>5493</v>
      </c>
      <c r="Q768" s="19">
        <v>4</v>
      </c>
    </row>
    <row r="769" spans="1:17" ht="96" x14ac:dyDescent="0.2">
      <c r="A769" s="71">
        <v>768</v>
      </c>
      <c r="B769" s="107" t="str">
        <f>HYPERLINK("https://www.ncbi.nlm.nih.gov/gene/144195", "144195")</f>
        <v>144195</v>
      </c>
      <c r="C769" s="109" t="str">
        <f>HYPERLINK("https://www.uniprot.org/uniprot/Q8TDB8", "Q8TDB8")</f>
        <v>Q8TDB8</v>
      </c>
      <c r="D769" s="43" t="s">
        <v>750</v>
      </c>
      <c r="E769" s="16" t="s">
        <v>750</v>
      </c>
      <c r="F769" s="28" t="s">
        <v>2484</v>
      </c>
      <c r="G769" s="28" t="s">
        <v>3552</v>
      </c>
      <c r="H769" s="28" t="s">
        <v>2485</v>
      </c>
      <c r="I769" s="31" t="s">
        <v>3353</v>
      </c>
      <c r="J769" s="73" t="s">
        <v>3220</v>
      </c>
      <c r="K769" s="23" t="s">
        <v>4750</v>
      </c>
      <c r="L769" s="60" t="s">
        <v>3292</v>
      </c>
      <c r="M769" s="60" t="s">
        <v>3291</v>
      </c>
      <c r="N769" s="60" t="s">
        <v>3292</v>
      </c>
      <c r="O769" s="60"/>
      <c r="P769" s="60" t="s">
        <v>5493</v>
      </c>
      <c r="Q769" s="20">
        <v>4</v>
      </c>
    </row>
    <row r="770" spans="1:17" ht="144" x14ac:dyDescent="0.2">
      <c r="A770" s="71">
        <v>769</v>
      </c>
      <c r="B770" s="107" t="str">
        <f>HYPERLINK("https://www.ncbi.nlm.nih.gov/gene/1317", "1317")</f>
        <v>1317</v>
      </c>
      <c r="C770" s="109" t="str">
        <f>HYPERLINK("https://www.uniprot.org/uniprot/O15431", "O15431")</f>
        <v>O15431</v>
      </c>
      <c r="D770" s="43" t="s">
        <v>751</v>
      </c>
      <c r="E770" s="16" t="s">
        <v>751</v>
      </c>
      <c r="F770" s="28" t="s">
        <v>2486</v>
      </c>
      <c r="G770" s="28" t="s">
        <v>5038</v>
      </c>
      <c r="H770" s="28" t="s">
        <v>4173</v>
      </c>
      <c r="I770" s="31" t="s">
        <v>3844</v>
      </c>
      <c r="J770" s="73" t="s">
        <v>3607</v>
      </c>
      <c r="K770" s="23" t="s">
        <v>4751</v>
      </c>
      <c r="L770" s="60" t="s">
        <v>3292</v>
      </c>
      <c r="M770" s="60" t="s">
        <v>3292</v>
      </c>
      <c r="N770" s="60" t="s">
        <v>3292</v>
      </c>
      <c r="O770" s="60"/>
      <c r="P770" s="60" t="s">
        <v>5493</v>
      </c>
      <c r="Q770" s="20">
        <v>4</v>
      </c>
    </row>
    <row r="771" spans="1:17" ht="112" x14ac:dyDescent="0.2">
      <c r="A771" s="71">
        <v>770</v>
      </c>
      <c r="B771" s="107" t="str">
        <f>HYPERLINK("https://www.ncbi.nlm.nih.gov/gene/1318", "1318")</f>
        <v>1318</v>
      </c>
      <c r="C771" s="109" t="str">
        <f>HYPERLINK("https://www.uniprot.org/uniprot/O15432", "O15432")</f>
        <v>O15432</v>
      </c>
      <c r="D771" s="43" t="s">
        <v>752</v>
      </c>
      <c r="E771" s="16" t="s">
        <v>752</v>
      </c>
      <c r="F771" s="28" t="s">
        <v>2487</v>
      </c>
      <c r="G771" s="28" t="s">
        <v>5039</v>
      </c>
      <c r="H771" s="28" t="s">
        <v>2488</v>
      </c>
      <c r="I771" s="31" t="s">
        <v>3844</v>
      </c>
      <c r="J771" s="73" t="s">
        <v>3221</v>
      </c>
      <c r="K771" s="23" t="s">
        <v>4752</v>
      </c>
      <c r="L771" s="60" t="s">
        <v>3289</v>
      </c>
      <c r="M771" s="60" t="s">
        <v>3289</v>
      </c>
      <c r="N771" s="60" t="s">
        <v>3291</v>
      </c>
      <c r="O771" s="60"/>
      <c r="P771" s="60" t="s">
        <v>3323</v>
      </c>
      <c r="Q771" s="20">
        <v>4</v>
      </c>
    </row>
    <row r="772" spans="1:17" ht="64" x14ac:dyDescent="0.2">
      <c r="A772" s="71">
        <v>771</v>
      </c>
      <c r="B772" s="107" t="str">
        <f>HYPERLINK("https://www.ncbi.nlm.nih.gov/gene/55630", "55630")</f>
        <v>55630</v>
      </c>
      <c r="C772" s="111" t="str">
        <f>HYPERLINK("https://www.uniprot.org/uniprot/Q6P5W5", "Q6P5W5")</f>
        <v>Q6P5W5</v>
      </c>
      <c r="D772" s="43" t="s">
        <v>753</v>
      </c>
      <c r="E772" s="16" t="s">
        <v>753</v>
      </c>
      <c r="F772" s="28" t="s">
        <v>2489</v>
      </c>
      <c r="G772" s="28" t="s">
        <v>2490</v>
      </c>
      <c r="H772" s="28" t="s">
        <v>2491</v>
      </c>
      <c r="I772" s="31" t="s">
        <v>2830</v>
      </c>
      <c r="J772" s="73">
        <v>28775359</v>
      </c>
      <c r="K772" s="23" t="s">
        <v>4753</v>
      </c>
      <c r="L772" s="60" t="s">
        <v>3289</v>
      </c>
      <c r="M772" s="60" t="s">
        <v>3289</v>
      </c>
      <c r="N772" s="60" t="s">
        <v>3291</v>
      </c>
      <c r="O772" s="60"/>
      <c r="P772" s="60" t="s">
        <v>3323</v>
      </c>
      <c r="Q772" s="20">
        <v>1</v>
      </c>
    </row>
    <row r="773" spans="1:17" ht="112" x14ac:dyDescent="0.2">
      <c r="A773" s="71">
        <v>772</v>
      </c>
      <c r="B773" s="107" t="str">
        <f>HYPERLINK("https://www.ncbi.nlm.nih.gov/gene/6520", "6520")</f>
        <v>6520</v>
      </c>
      <c r="C773" s="109" t="str">
        <f>HYPERLINK("https://www.uniprot.org/uniprot/P08195", "P08195")</f>
        <v>P08195</v>
      </c>
      <c r="D773" s="43" t="s">
        <v>754</v>
      </c>
      <c r="E773" s="35" t="s">
        <v>754</v>
      </c>
      <c r="F773" s="30" t="s">
        <v>2492</v>
      </c>
      <c r="G773" s="30" t="s">
        <v>2493</v>
      </c>
      <c r="H773" s="30" t="s">
        <v>4174</v>
      </c>
      <c r="I773" s="47" t="s">
        <v>5411</v>
      </c>
      <c r="J773" s="73">
        <v>30481785</v>
      </c>
      <c r="K773" s="23" t="s">
        <v>4754</v>
      </c>
      <c r="L773" s="60" t="s">
        <v>3292</v>
      </c>
      <c r="M773" s="60" t="s">
        <v>3292</v>
      </c>
      <c r="N773" s="60" t="s">
        <v>3291</v>
      </c>
      <c r="O773" s="60"/>
      <c r="P773" s="60" t="s">
        <v>5495</v>
      </c>
      <c r="Q773" s="20">
        <v>2</v>
      </c>
    </row>
    <row r="774" spans="1:17" ht="80" x14ac:dyDescent="0.2">
      <c r="A774" s="71">
        <v>773</v>
      </c>
      <c r="B774" s="107" t="str">
        <f>HYPERLINK("https://www.ncbi.nlm.nih.gov/gene/30061", "30061")</f>
        <v>30061</v>
      </c>
      <c r="C774" s="116" t="str">
        <f>HYPERLINK("https://www.uniprot.org/uniprot/Q9NP59", "Q9NP59")</f>
        <v>Q9NP59</v>
      </c>
      <c r="D774" s="43" t="s">
        <v>755</v>
      </c>
      <c r="E774" s="35" t="s">
        <v>755</v>
      </c>
      <c r="F774" s="47" t="s">
        <v>2494</v>
      </c>
      <c r="G774" s="47" t="s">
        <v>2495</v>
      </c>
      <c r="H774" s="47" t="s">
        <v>2496</v>
      </c>
      <c r="I774" s="47" t="s">
        <v>5412</v>
      </c>
      <c r="J774" s="73">
        <v>29212168</v>
      </c>
      <c r="K774" s="23" t="s">
        <v>4755</v>
      </c>
      <c r="L774" s="60" t="s">
        <v>3292</v>
      </c>
      <c r="M774" s="60" t="s">
        <v>3292</v>
      </c>
      <c r="N774" s="60" t="s">
        <v>3291</v>
      </c>
      <c r="O774" s="60"/>
      <c r="P774" s="60" t="s">
        <v>3323</v>
      </c>
      <c r="Q774" s="64">
        <v>1</v>
      </c>
    </row>
    <row r="775" spans="1:17" ht="48" x14ac:dyDescent="0.2">
      <c r="A775" s="71">
        <v>774</v>
      </c>
      <c r="B775" s="107" t="str">
        <f>HYPERLINK("https://www.ncbi.nlm.nih.gov/gene/113235", "113235")</f>
        <v>113235</v>
      </c>
      <c r="C775" s="116" t="str">
        <f>HYPERLINK("https://www.uniprot.org/uniprot/Q96NT5", "Q96NT5")</f>
        <v>Q96NT5</v>
      </c>
      <c r="D775" s="43" t="s">
        <v>756</v>
      </c>
      <c r="E775" s="41" t="s">
        <v>756</v>
      </c>
      <c r="F775" s="47" t="s">
        <v>2497</v>
      </c>
      <c r="G775" s="47" t="s">
        <v>2498</v>
      </c>
      <c r="H775" s="47" t="s">
        <v>2499</v>
      </c>
      <c r="I775" s="47" t="s">
        <v>5166</v>
      </c>
      <c r="J775" s="73">
        <v>28138029</v>
      </c>
      <c r="K775" s="56" t="s">
        <v>4756</v>
      </c>
      <c r="L775" s="60" t="s">
        <v>3291</v>
      </c>
      <c r="M775" s="60" t="s">
        <v>3289</v>
      </c>
      <c r="N775" s="60" t="s">
        <v>3291</v>
      </c>
      <c r="O775" s="60"/>
      <c r="P775" s="60" t="s">
        <v>3323</v>
      </c>
      <c r="Q775" s="64">
        <v>1</v>
      </c>
    </row>
    <row r="776" spans="1:17" ht="128" x14ac:dyDescent="0.2">
      <c r="A776" s="71">
        <v>775</v>
      </c>
      <c r="B776" s="107" t="str">
        <f>HYPERLINK("https://www.ncbi.nlm.nih.gov/gene/23657", "23657")</f>
        <v>23657</v>
      </c>
      <c r="C776" s="109" t="str">
        <f>HYPERLINK("https://www.uniprot.org/uniprot/Q9UPY5", "Q9UPY5")</f>
        <v>Q9UPY5</v>
      </c>
      <c r="D776" s="43" t="s">
        <v>757</v>
      </c>
      <c r="E776" s="16" t="s">
        <v>757</v>
      </c>
      <c r="F776" s="28" t="s">
        <v>2500</v>
      </c>
      <c r="G776" s="28" t="s">
        <v>3397</v>
      </c>
      <c r="H776" s="51" t="s">
        <v>2501</v>
      </c>
      <c r="I776" s="102" t="s">
        <v>5413</v>
      </c>
      <c r="J776" s="73" t="s">
        <v>3865</v>
      </c>
      <c r="K776" s="23" t="s">
        <v>4757</v>
      </c>
      <c r="L776" s="60" t="s">
        <v>3289</v>
      </c>
      <c r="M776" s="60" t="s">
        <v>3289</v>
      </c>
      <c r="N776" s="60" t="s">
        <v>3292</v>
      </c>
      <c r="O776" s="60"/>
      <c r="P776" s="60" t="s">
        <v>5493</v>
      </c>
      <c r="Q776" s="20">
        <v>4</v>
      </c>
    </row>
    <row r="777" spans="1:17" ht="80" x14ac:dyDescent="0.2">
      <c r="A777" s="71">
        <v>776</v>
      </c>
      <c r="B777" s="107" t="str">
        <f>HYPERLINK("https://www.ncbi.nlm.nih.gov/gene/8140", "8140")</f>
        <v>8140</v>
      </c>
      <c r="C777" s="109" t="str">
        <f>HYPERLINK("https://www.uniprot.org/uniprot/Q01650", "Q01650")</f>
        <v>Q01650</v>
      </c>
      <c r="D777" s="43" t="s">
        <v>3469</v>
      </c>
      <c r="E777" s="16" t="s">
        <v>3469</v>
      </c>
      <c r="F777" s="28" t="s">
        <v>3470</v>
      </c>
      <c r="G777" s="28" t="s">
        <v>3471</v>
      </c>
      <c r="H777" s="51" t="s">
        <v>3472</v>
      </c>
      <c r="I777" s="102" t="s">
        <v>5414</v>
      </c>
      <c r="J777" s="73" t="s">
        <v>3473</v>
      </c>
      <c r="K777" s="17" t="s">
        <v>4758</v>
      </c>
      <c r="L777" s="60" t="s">
        <v>3289</v>
      </c>
      <c r="M777" s="60" t="s">
        <v>3289</v>
      </c>
      <c r="N777" s="60" t="s">
        <v>3291</v>
      </c>
      <c r="O777" s="60"/>
      <c r="P777" s="60" t="s">
        <v>3323</v>
      </c>
      <c r="Q777" s="20">
        <v>1</v>
      </c>
    </row>
    <row r="778" spans="1:17" ht="144" x14ac:dyDescent="0.2">
      <c r="A778" s="71">
        <v>777</v>
      </c>
      <c r="B778" s="107" t="str">
        <f>HYPERLINK("https://www.ncbi.nlm.nih.gov/gene/9368", "9368")</f>
        <v>9368</v>
      </c>
      <c r="C778" s="109" t="str">
        <f>HYPERLINK("https://www.uniprot.org/uniprot/O14745", "O14745")</f>
        <v>O14745</v>
      </c>
      <c r="D778" s="43" t="s">
        <v>3394</v>
      </c>
      <c r="E778" s="16" t="s">
        <v>3394</v>
      </c>
      <c r="F778" s="28" t="s">
        <v>3393</v>
      </c>
      <c r="G778" s="28" t="s">
        <v>3395</v>
      </c>
      <c r="H778" s="28" t="s">
        <v>3396</v>
      </c>
      <c r="I778" s="31" t="s">
        <v>5153</v>
      </c>
      <c r="J778" s="73" t="s">
        <v>3398</v>
      </c>
      <c r="K778" s="23" t="s">
        <v>4759</v>
      </c>
      <c r="L778" s="60" t="s">
        <v>3292</v>
      </c>
      <c r="M778" s="60" t="s">
        <v>3292</v>
      </c>
      <c r="N778" s="60" t="s">
        <v>3291</v>
      </c>
      <c r="O778" s="60"/>
      <c r="P778" s="60" t="s">
        <v>5494</v>
      </c>
      <c r="Q778" s="20">
        <v>5</v>
      </c>
    </row>
    <row r="779" spans="1:17" ht="80" x14ac:dyDescent="0.2">
      <c r="A779" s="71">
        <v>778</v>
      </c>
      <c r="B779" s="107" t="str">
        <f>HYPERLINK("https://www.ncbi.nlm.nih.gov/gene/28234", "28234")</f>
        <v>28234</v>
      </c>
      <c r="C779" s="109" t="str">
        <f>HYPERLINK("https://www.uniprot.org/uniprot/Q9NPD5", "Q9NPD5")</f>
        <v>Q9NPD5</v>
      </c>
      <c r="D779" s="43" t="s">
        <v>758</v>
      </c>
      <c r="E779" s="35" t="s">
        <v>758</v>
      </c>
      <c r="F779" s="30" t="s">
        <v>2502</v>
      </c>
      <c r="G779" s="30" t="s">
        <v>2503</v>
      </c>
      <c r="H779" s="30" t="s">
        <v>4175</v>
      </c>
      <c r="I779" s="47" t="s">
        <v>3844</v>
      </c>
      <c r="J779" s="73">
        <v>23757163</v>
      </c>
      <c r="K779" s="23" t="s">
        <v>4760</v>
      </c>
      <c r="L779" s="60" t="s">
        <v>3292</v>
      </c>
      <c r="M779" s="60" t="s">
        <v>3292</v>
      </c>
      <c r="N779" s="60" t="s">
        <v>3291</v>
      </c>
      <c r="O779" s="60"/>
      <c r="P779" s="60" t="s">
        <v>3323</v>
      </c>
      <c r="Q779" s="20">
        <v>1</v>
      </c>
    </row>
    <row r="780" spans="1:17" ht="144" x14ac:dyDescent="0.2">
      <c r="A780" s="71">
        <v>779</v>
      </c>
      <c r="B780" s="107" t="str">
        <f>HYPERLINK("https://www.ncbi.nlm.nih.gov/gene/91607", "91607")</f>
        <v>91607</v>
      </c>
      <c r="C780" s="109" t="str">
        <f>HYPERLINK("https://www.uniprot.org/uniprot/Q7Z7L1", "Q7Z7L1")</f>
        <v>Q7Z7L1</v>
      </c>
      <c r="D780" s="43" t="s">
        <v>759</v>
      </c>
      <c r="E780" s="16" t="s">
        <v>759</v>
      </c>
      <c r="F780" s="28"/>
      <c r="G780" s="28" t="s">
        <v>2504</v>
      </c>
      <c r="H780" s="28" t="s">
        <v>2505</v>
      </c>
      <c r="I780" s="31" t="s">
        <v>5112</v>
      </c>
      <c r="J780" s="73" t="s">
        <v>3222</v>
      </c>
      <c r="K780" s="23" t="s">
        <v>4761</v>
      </c>
      <c r="L780" s="60" t="s">
        <v>3292</v>
      </c>
      <c r="M780" s="60" t="s">
        <v>3292</v>
      </c>
      <c r="N780" s="60" t="s">
        <v>3291</v>
      </c>
      <c r="O780" s="60"/>
      <c r="P780" s="60" t="s">
        <v>5493</v>
      </c>
      <c r="Q780" s="20">
        <v>4</v>
      </c>
    </row>
    <row r="781" spans="1:17" ht="64" x14ac:dyDescent="0.2">
      <c r="A781" s="71">
        <v>780</v>
      </c>
      <c r="B781" s="107" t="str">
        <f>HYPERLINK("https://www.ncbi.nlm.nih.gov/gene/548593", "548593")</f>
        <v>548593</v>
      </c>
      <c r="C781" s="109" t="str">
        <f>HYPERLINK("https://www.uniprot.org/uniprot/Q9BQ83", "Q9BQ83")</f>
        <v>Q9BQ83</v>
      </c>
      <c r="D781" s="43" t="s">
        <v>760</v>
      </c>
      <c r="E781" s="38" t="s">
        <v>760</v>
      </c>
      <c r="F781" s="6" t="s">
        <v>2506</v>
      </c>
      <c r="G781" s="28" t="s">
        <v>2507</v>
      </c>
      <c r="H781" s="6" t="s">
        <v>2508</v>
      </c>
      <c r="I781" s="49" t="s">
        <v>3332</v>
      </c>
      <c r="J781" s="73" t="s">
        <v>3223</v>
      </c>
      <c r="K781" s="16" t="s">
        <v>3822</v>
      </c>
      <c r="L781" s="60" t="s">
        <v>3291</v>
      </c>
      <c r="M781" s="60" t="s">
        <v>3289</v>
      </c>
      <c r="N781" s="60" t="s">
        <v>3291</v>
      </c>
      <c r="O781" s="60"/>
      <c r="P781" s="60" t="s">
        <v>3323</v>
      </c>
      <c r="Q781" s="20">
        <v>1</v>
      </c>
    </row>
    <row r="782" spans="1:17" ht="80" x14ac:dyDescent="0.2">
      <c r="A782" s="71">
        <v>781</v>
      </c>
      <c r="B782" s="107" t="str">
        <f>HYPERLINK("https://www.ncbi.nlm.nih.gov/gene/84464", "84464")</f>
        <v>84464</v>
      </c>
      <c r="C782" s="109" t="str">
        <f>HYPERLINK("https://www.uniprot.org/uniprot/Q8IY92", "Q8IY92")</f>
        <v>Q8IY92</v>
      </c>
      <c r="D782" s="43" t="s">
        <v>761</v>
      </c>
      <c r="E782" s="38" t="s">
        <v>761</v>
      </c>
      <c r="F782" s="6" t="s">
        <v>2509</v>
      </c>
      <c r="G782" s="28" t="s">
        <v>3540</v>
      </c>
      <c r="H782" s="6" t="s">
        <v>4176</v>
      </c>
      <c r="I782" s="49" t="s">
        <v>3332</v>
      </c>
      <c r="J782" s="73" t="s">
        <v>3224</v>
      </c>
      <c r="K782" s="16" t="s">
        <v>3823</v>
      </c>
      <c r="L782" s="60" t="s">
        <v>3291</v>
      </c>
      <c r="M782" s="60" t="s">
        <v>3289</v>
      </c>
      <c r="N782" s="60" t="s">
        <v>3291</v>
      </c>
      <c r="O782" s="60"/>
      <c r="P782" s="60" t="s">
        <v>3323</v>
      </c>
      <c r="Q782" s="20">
        <v>1</v>
      </c>
    </row>
    <row r="783" spans="1:17" ht="128" x14ac:dyDescent="0.2">
      <c r="A783" s="71">
        <v>782</v>
      </c>
      <c r="B783" s="107" t="str">
        <f>HYPERLINK("https://www.ncbi.nlm.nih.gov/gene/4089", "4089")</f>
        <v>4089</v>
      </c>
      <c r="C783" s="109" t="str">
        <f>HYPERLINK("https://www.uniprot.org/uniprot/Q13485", "Q13485")</f>
        <v>Q13485</v>
      </c>
      <c r="D783" s="43" t="s">
        <v>762</v>
      </c>
      <c r="E783" s="16" t="s">
        <v>762</v>
      </c>
      <c r="F783" s="5" t="s">
        <v>3567</v>
      </c>
      <c r="G783" s="28" t="s">
        <v>3566</v>
      </c>
      <c r="H783" s="6" t="s">
        <v>4177</v>
      </c>
      <c r="I783" s="49" t="s">
        <v>2832</v>
      </c>
      <c r="J783" s="73" t="s">
        <v>3225</v>
      </c>
      <c r="K783" s="13" t="s">
        <v>3824</v>
      </c>
      <c r="L783" s="60" t="s">
        <v>3292</v>
      </c>
      <c r="M783" s="60" t="s">
        <v>3290</v>
      </c>
      <c r="N783" s="60" t="s">
        <v>3289</v>
      </c>
      <c r="O783" s="60"/>
      <c r="P783" s="60" t="s">
        <v>5493</v>
      </c>
      <c r="Q783" s="20">
        <v>4</v>
      </c>
    </row>
    <row r="784" spans="1:17" ht="80" x14ac:dyDescent="0.2">
      <c r="A784" s="71">
        <v>783</v>
      </c>
      <c r="B784" s="107" t="str">
        <f>HYPERLINK("https://www.ncbi.nlm.nih.gov/gene/6595", "6595")</f>
        <v>6595</v>
      </c>
      <c r="C784" s="109" t="str">
        <f>HYPERLINK("https://www.uniprot.org/uniprot/P51531", "P51531")</f>
        <v>P51531</v>
      </c>
      <c r="D784" s="43" t="s">
        <v>763</v>
      </c>
      <c r="E784" s="38" t="s">
        <v>763</v>
      </c>
      <c r="F784" s="6" t="s">
        <v>2510</v>
      </c>
      <c r="G784" s="28" t="s">
        <v>2511</v>
      </c>
      <c r="H784" s="6" t="s">
        <v>2512</v>
      </c>
      <c r="I784" s="49" t="s">
        <v>5415</v>
      </c>
      <c r="J784" s="73" t="s">
        <v>3226</v>
      </c>
      <c r="K784" s="23" t="s">
        <v>4762</v>
      </c>
      <c r="L784" s="60" t="s">
        <v>3289</v>
      </c>
      <c r="M784" s="60" t="s">
        <v>3289</v>
      </c>
      <c r="N784" s="60" t="s">
        <v>3291</v>
      </c>
      <c r="O784" s="60"/>
      <c r="P784" s="60" t="s">
        <v>5493</v>
      </c>
      <c r="Q784" s="20">
        <v>4</v>
      </c>
    </row>
    <row r="785" spans="1:17" ht="80" x14ac:dyDescent="0.2">
      <c r="A785" s="71">
        <v>784</v>
      </c>
      <c r="B785" s="107" t="str">
        <f>HYPERLINK("https://www.ncbi.nlm.nih.gov/gene/6597", "6597")</f>
        <v>6597</v>
      </c>
      <c r="C785" s="109" t="str">
        <f>HYPERLINK("https://www.uniprot.org/uniprot/P51532", "P51532")</f>
        <v>P51532</v>
      </c>
      <c r="D785" s="43" t="s">
        <v>764</v>
      </c>
      <c r="E785" s="38" t="s">
        <v>764</v>
      </c>
      <c r="F785" s="5" t="s">
        <v>2513</v>
      </c>
      <c r="G785" s="28" t="s">
        <v>3369</v>
      </c>
      <c r="H785" s="6" t="s">
        <v>4178</v>
      </c>
      <c r="I785" s="49" t="s">
        <v>5416</v>
      </c>
      <c r="J785" s="73" t="s">
        <v>3881</v>
      </c>
      <c r="K785" s="13" t="s">
        <v>3880</v>
      </c>
      <c r="L785" s="60" t="s">
        <v>3289</v>
      </c>
      <c r="M785" s="60" t="s">
        <v>3289</v>
      </c>
      <c r="N785" s="60" t="s">
        <v>3291</v>
      </c>
      <c r="O785" s="60"/>
      <c r="P785" s="60" t="s">
        <v>5492</v>
      </c>
      <c r="Q785" s="20">
        <v>4</v>
      </c>
    </row>
    <row r="786" spans="1:17" ht="80" x14ac:dyDescent="0.2">
      <c r="A786" s="71">
        <v>785</v>
      </c>
      <c r="B786" s="107" t="str">
        <f>HYPERLINK("https://www.ncbi.nlm.nih.gov/gene/6605", "6605")</f>
        <v>6605</v>
      </c>
      <c r="C786" s="109" t="str">
        <f>HYPERLINK("https://www.uniprot.org/uniprot/Q969G3", "Q969G3")</f>
        <v>Q969G3</v>
      </c>
      <c r="D786" s="43" t="s">
        <v>765</v>
      </c>
      <c r="E786" s="35" t="s">
        <v>765</v>
      </c>
      <c r="F786" s="30" t="s">
        <v>2514</v>
      </c>
      <c r="G786" s="30" t="s">
        <v>2515</v>
      </c>
      <c r="H786" s="30" t="s">
        <v>3370</v>
      </c>
      <c r="I786" s="47" t="s">
        <v>5417</v>
      </c>
      <c r="J786" s="73">
        <v>25611552</v>
      </c>
      <c r="K786" s="23" t="s">
        <v>4763</v>
      </c>
      <c r="L786" s="60" t="s">
        <v>3289</v>
      </c>
      <c r="M786" s="60" t="s">
        <v>3289</v>
      </c>
      <c r="N786" s="60" t="s">
        <v>3291</v>
      </c>
      <c r="O786" s="60"/>
      <c r="P786" s="60" t="s">
        <v>3323</v>
      </c>
      <c r="Q786" s="20">
        <v>1</v>
      </c>
    </row>
    <row r="787" spans="1:17" ht="112" x14ac:dyDescent="0.2">
      <c r="A787" s="71">
        <v>786</v>
      </c>
      <c r="B787" s="107" t="str">
        <f>HYPERLINK("https://www.ncbi.nlm.nih.gov/gene/6608", "6608")</f>
        <v>6608</v>
      </c>
      <c r="C787" s="109" t="str">
        <f>HYPERLINK("https://www.uniprot.org/uniprot/Q99835", "Q99835")</f>
        <v>Q99835</v>
      </c>
      <c r="D787" s="43" t="s">
        <v>766</v>
      </c>
      <c r="E787" s="35" t="s">
        <v>766</v>
      </c>
      <c r="F787" s="30" t="s">
        <v>2516</v>
      </c>
      <c r="G787" s="30" t="s">
        <v>2517</v>
      </c>
      <c r="H787" s="30" t="s">
        <v>4179</v>
      </c>
      <c r="I787" s="47" t="s">
        <v>2852</v>
      </c>
      <c r="J787" s="73" t="s">
        <v>3227</v>
      </c>
      <c r="K787" s="23" t="s">
        <v>4764</v>
      </c>
      <c r="L787" s="60" t="s">
        <v>3289</v>
      </c>
      <c r="M787" s="60" t="s">
        <v>3289</v>
      </c>
      <c r="N787" s="60" t="s">
        <v>3291</v>
      </c>
      <c r="O787" s="60" t="s">
        <v>5509</v>
      </c>
      <c r="P787" s="60" t="s">
        <v>5494</v>
      </c>
      <c r="Q787" s="20">
        <v>5</v>
      </c>
    </row>
    <row r="788" spans="1:17" ht="96" x14ac:dyDescent="0.2">
      <c r="A788" s="71">
        <v>787</v>
      </c>
      <c r="B788" s="107" t="str">
        <f>HYPERLINK("https://www.ncbi.nlm.nih.gov/gene/6609", "6609")</f>
        <v>6609</v>
      </c>
      <c r="C788" s="109" t="str">
        <f>HYPERLINK("https://www.uniprot.org/uniprot/P17405", "P17405")</f>
        <v>P17405</v>
      </c>
      <c r="D788" s="43" t="s">
        <v>767</v>
      </c>
      <c r="E788" s="35" t="s">
        <v>767</v>
      </c>
      <c r="F788" s="30" t="s">
        <v>2518</v>
      </c>
      <c r="G788" s="30" t="s">
        <v>2519</v>
      </c>
      <c r="H788" s="30" t="s">
        <v>2520</v>
      </c>
      <c r="I788" s="47" t="s">
        <v>3351</v>
      </c>
      <c r="J788" s="73" t="s">
        <v>3228</v>
      </c>
      <c r="K788" s="23" t="s">
        <v>4765</v>
      </c>
      <c r="L788" s="60" t="s">
        <v>3292</v>
      </c>
      <c r="M788" s="60" t="s">
        <v>3292</v>
      </c>
      <c r="N788" s="60" t="s">
        <v>3289</v>
      </c>
      <c r="O788" s="60"/>
      <c r="P788" s="60" t="s">
        <v>5495</v>
      </c>
      <c r="Q788" s="20">
        <v>2</v>
      </c>
    </row>
    <row r="789" spans="1:17" ht="80" x14ac:dyDescent="0.2">
      <c r="A789" s="71">
        <v>788</v>
      </c>
      <c r="B789" s="107" t="str">
        <f>HYPERLINK("https://www.ncbi.nlm.nih.gov/gene/64750", "64750")</f>
        <v>64750</v>
      </c>
      <c r="C789" s="109" t="str">
        <f>HYPERLINK("https://www.uniprot.org/uniprot/Q9HAU4", "Q9HAU4")</f>
        <v>Q9HAU4</v>
      </c>
      <c r="D789" s="43" t="s">
        <v>768</v>
      </c>
      <c r="E789" s="38" t="s">
        <v>768</v>
      </c>
      <c r="F789" s="5"/>
      <c r="G789" s="28" t="s">
        <v>2521</v>
      </c>
      <c r="H789" s="6" t="s">
        <v>2522</v>
      </c>
      <c r="I789" s="49" t="s">
        <v>2832</v>
      </c>
      <c r="J789" s="73" t="s">
        <v>3229</v>
      </c>
      <c r="K789" s="16" t="s">
        <v>3825</v>
      </c>
      <c r="L789" s="60" t="s">
        <v>3291</v>
      </c>
      <c r="M789" s="60" t="s">
        <v>3289</v>
      </c>
      <c r="N789" s="60" t="s">
        <v>3291</v>
      </c>
      <c r="O789" s="60"/>
      <c r="P789" s="60" t="s">
        <v>3323</v>
      </c>
      <c r="Q789" s="20">
        <v>1</v>
      </c>
    </row>
    <row r="790" spans="1:17" ht="144" x14ac:dyDescent="0.2">
      <c r="A790" s="71">
        <v>789</v>
      </c>
      <c r="B790" s="107" t="str">
        <f>HYPERLINK("https://www.ncbi.nlm.nih.gov/gene/6615", "6615")</f>
        <v>6615</v>
      </c>
      <c r="C790" s="109" t="str">
        <f>HYPERLINK("https://www.uniprot.org/uniprot/O95863", "O95863")</f>
        <v>O95863</v>
      </c>
      <c r="D790" s="43" t="s">
        <v>769</v>
      </c>
      <c r="E790" s="38" t="s">
        <v>769</v>
      </c>
      <c r="F790" s="5" t="s">
        <v>2523</v>
      </c>
      <c r="G790" s="28" t="s">
        <v>2524</v>
      </c>
      <c r="H790" s="6" t="s">
        <v>2525</v>
      </c>
      <c r="I790" s="49" t="s">
        <v>5135</v>
      </c>
      <c r="J790" s="73" t="s">
        <v>3230</v>
      </c>
      <c r="K790" s="16" t="s">
        <v>3883</v>
      </c>
      <c r="L790" s="60" t="s">
        <v>3289</v>
      </c>
      <c r="M790" s="60" t="s">
        <v>3289</v>
      </c>
      <c r="N790" s="60" t="s">
        <v>3289</v>
      </c>
      <c r="O790" s="60"/>
      <c r="P790" s="60" t="s">
        <v>3323</v>
      </c>
      <c r="Q790" s="20">
        <v>1</v>
      </c>
    </row>
    <row r="791" spans="1:17" ht="128" x14ac:dyDescent="0.2">
      <c r="A791" s="71">
        <v>790</v>
      </c>
      <c r="B791" s="107" t="str">
        <f>HYPERLINK("https://www.ncbi.nlm.nih.gov/gene/6591", "6591")</f>
        <v>6591</v>
      </c>
      <c r="C791" s="109" t="str">
        <f>HYPERLINK("https://www.uniprot.org/uniprot/O43623", "O43623")</f>
        <v>O43623</v>
      </c>
      <c r="D791" s="43" t="s">
        <v>770</v>
      </c>
      <c r="E791" s="38" t="s">
        <v>770</v>
      </c>
      <c r="F791" s="5" t="s">
        <v>2526</v>
      </c>
      <c r="G791" s="28" t="s">
        <v>2527</v>
      </c>
      <c r="H791" s="6" t="s">
        <v>2528</v>
      </c>
      <c r="I791" s="49" t="s">
        <v>5135</v>
      </c>
      <c r="J791" s="73" t="s">
        <v>3884</v>
      </c>
      <c r="K791" s="16" t="s">
        <v>3885</v>
      </c>
      <c r="L791" s="60" t="s">
        <v>3289</v>
      </c>
      <c r="M791" s="60" t="s">
        <v>3289</v>
      </c>
      <c r="N791" s="60" t="s">
        <v>3289</v>
      </c>
      <c r="O791" s="60"/>
      <c r="P791" s="60" t="s">
        <v>3323</v>
      </c>
      <c r="Q791" s="20">
        <v>1</v>
      </c>
    </row>
    <row r="792" spans="1:17" ht="48" x14ac:dyDescent="0.2">
      <c r="A792" s="71">
        <v>791</v>
      </c>
      <c r="B792" s="107" t="str">
        <f>HYPERLINK("https://www.ncbi.nlm.nih.gov/gene/6647", "6647")</f>
        <v>6647</v>
      </c>
      <c r="C792" s="109" t="str">
        <f>HYPERLINK("https://www.uniprot.org/uniprot/P00441", "P00441")</f>
        <v>P00441</v>
      </c>
      <c r="D792" s="43" t="s">
        <v>771</v>
      </c>
      <c r="E792" s="38" t="s">
        <v>771</v>
      </c>
      <c r="F792" s="6"/>
      <c r="G792" s="28" t="s">
        <v>2529</v>
      </c>
      <c r="H792" s="6" t="s">
        <v>4180</v>
      </c>
      <c r="I792" s="49" t="s">
        <v>2836</v>
      </c>
      <c r="J792" s="73">
        <v>20682985</v>
      </c>
      <c r="K792" s="30" t="s">
        <v>4766</v>
      </c>
      <c r="L792" s="60" t="s">
        <v>3291</v>
      </c>
      <c r="M792" s="60" t="s">
        <v>3289</v>
      </c>
      <c r="N792" s="60" t="s">
        <v>3291</v>
      </c>
      <c r="O792" s="60"/>
      <c r="P792" s="60" t="s">
        <v>3323</v>
      </c>
      <c r="Q792" s="20">
        <v>1</v>
      </c>
    </row>
    <row r="793" spans="1:17" ht="192" x14ac:dyDescent="0.2">
      <c r="A793" s="71">
        <v>792</v>
      </c>
      <c r="B793" s="107" t="str">
        <f>HYPERLINK("https://www.ncbi.nlm.nih.gov/gene/6648", "6648")</f>
        <v>6648</v>
      </c>
      <c r="C793" s="109" t="str">
        <f>HYPERLINK("https://www.uniprot.org/uniprot/P04179", "P04179")</f>
        <v>P04179</v>
      </c>
      <c r="D793" s="43" t="s">
        <v>498</v>
      </c>
      <c r="E793" s="38" t="s">
        <v>498</v>
      </c>
      <c r="F793" s="6" t="s">
        <v>3426</v>
      </c>
      <c r="G793" s="28" t="s">
        <v>5040</v>
      </c>
      <c r="H793" s="6" t="s">
        <v>2530</v>
      </c>
      <c r="I793" s="49" t="s">
        <v>2836</v>
      </c>
      <c r="J793" s="73" t="s">
        <v>3425</v>
      </c>
      <c r="K793" s="23" t="s">
        <v>4767</v>
      </c>
      <c r="L793" s="60" t="s">
        <v>3289</v>
      </c>
      <c r="M793" s="60" t="s">
        <v>3289</v>
      </c>
      <c r="N793" s="60" t="s">
        <v>3291</v>
      </c>
      <c r="O793" s="60"/>
      <c r="P793" s="60" t="s">
        <v>5493</v>
      </c>
      <c r="Q793" s="20">
        <v>4</v>
      </c>
    </row>
    <row r="794" spans="1:17" ht="64" x14ac:dyDescent="0.2">
      <c r="A794" s="71">
        <v>793</v>
      </c>
      <c r="B794" s="107" t="str">
        <f>HYPERLINK("https://www.ncbi.nlm.nih.gov/gene/6656", "6656")</f>
        <v>6656</v>
      </c>
      <c r="C794" s="109" t="str">
        <f>HYPERLINK("https://www.uniprot.org/uniprot/O00570", "O00570")</f>
        <v>O00570</v>
      </c>
      <c r="D794" s="43" t="s">
        <v>772</v>
      </c>
      <c r="E794" s="35" t="s">
        <v>772</v>
      </c>
      <c r="F794" s="30"/>
      <c r="G794" s="30" t="s">
        <v>5041</v>
      </c>
      <c r="H794" s="30" t="s">
        <v>4181</v>
      </c>
      <c r="I794" s="47" t="s">
        <v>5418</v>
      </c>
      <c r="J794" s="73">
        <v>23994634</v>
      </c>
      <c r="K794" s="23" t="s">
        <v>4768</v>
      </c>
      <c r="L794" s="60" t="s">
        <v>3292</v>
      </c>
      <c r="M794" s="60" t="s">
        <v>3292</v>
      </c>
      <c r="N794" s="60" t="s">
        <v>3291</v>
      </c>
      <c r="O794" s="60"/>
      <c r="P794" s="60" t="s">
        <v>3323</v>
      </c>
      <c r="Q794" s="20">
        <v>1</v>
      </c>
    </row>
    <row r="795" spans="1:17" ht="64" x14ac:dyDescent="0.2">
      <c r="A795" s="71">
        <v>794</v>
      </c>
      <c r="B795" s="107" t="str">
        <f>HYPERLINK("https://www.ncbi.nlm.nih.gov/gene/6663", "6663")</f>
        <v>6663</v>
      </c>
      <c r="C795" s="109" t="str">
        <f>HYPERLINK("https://www.uniprot.org/uniprot/P56693", "P56693")</f>
        <v>P56693</v>
      </c>
      <c r="D795" s="43" t="s">
        <v>777</v>
      </c>
      <c r="E795" s="38" t="s">
        <v>777</v>
      </c>
      <c r="F795" s="6"/>
      <c r="G795" s="28" t="s">
        <v>5042</v>
      </c>
      <c r="H795" s="6" t="s">
        <v>2535</v>
      </c>
      <c r="I795" s="49" t="s">
        <v>5419</v>
      </c>
      <c r="J795" s="73">
        <v>26951260</v>
      </c>
      <c r="K795" s="23" t="s">
        <v>4769</v>
      </c>
      <c r="L795" s="60" t="s">
        <v>3289</v>
      </c>
      <c r="M795" s="60" t="s">
        <v>3289</v>
      </c>
      <c r="N795" s="60" t="s">
        <v>3291</v>
      </c>
      <c r="O795" s="60"/>
      <c r="P795" s="60" t="s">
        <v>5497</v>
      </c>
      <c r="Q795" s="20">
        <v>4</v>
      </c>
    </row>
    <row r="796" spans="1:17" ht="112" x14ac:dyDescent="0.2">
      <c r="A796" s="71">
        <v>795</v>
      </c>
      <c r="B796" s="107" t="str">
        <f>HYPERLINK("https://www.ncbi.nlm.nih.gov/gene/64321", "64321")</f>
        <v>64321</v>
      </c>
      <c r="C796" s="114" t="str">
        <f>HYPERLINK("https://www.uniprot.org/uniprot/Q9H6I2", "Q9H6I2")</f>
        <v>Q9H6I2</v>
      </c>
      <c r="D796" s="43" t="s">
        <v>773</v>
      </c>
      <c r="E796" s="35" t="s">
        <v>773</v>
      </c>
      <c r="F796" s="30"/>
      <c r="G796" s="30" t="s">
        <v>2531</v>
      </c>
      <c r="H796" s="30" t="s">
        <v>2532</v>
      </c>
      <c r="I796" s="47" t="s">
        <v>2831</v>
      </c>
      <c r="J796" s="73">
        <v>30777052</v>
      </c>
      <c r="K796" s="23" t="s">
        <v>4770</v>
      </c>
      <c r="L796" s="60" t="s">
        <v>3292</v>
      </c>
      <c r="M796" s="60" t="s">
        <v>3292</v>
      </c>
      <c r="N796" s="60" t="s">
        <v>3291</v>
      </c>
      <c r="O796" s="60"/>
      <c r="P796" s="60" t="s">
        <v>5494</v>
      </c>
      <c r="Q796" s="20">
        <v>5</v>
      </c>
    </row>
    <row r="797" spans="1:17" ht="112" x14ac:dyDescent="0.2">
      <c r="A797" s="71">
        <v>796</v>
      </c>
      <c r="B797" s="107" t="str">
        <f>HYPERLINK("https://www.ncbi.nlm.nih.gov/gene/6657", "6657")</f>
        <v>6657</v>
      </c>
      <c r="C797" s="109" t="str">
        <f>HYPERLINK("https://www.uniprot.org/uniprot/P48431", "P48431")</f>
        <v>P48431</v>
      </c>
      <c r="D797" s="43" t="s">
        <v>774</v>
      </c>
      <c r="E797" s="38" t="s">
        <v>774</v>
      </c>
      <c r="F797" s="6"/>
      <c r="G797" s="28" t="s">
        <v>5043</v>
      </c>
      <c r="H797" s="6" t="s">
        <v>2533</v>
      </c>
      <c r="I797" s="49" t="s">
        <v>2827</v>
      </c>
      <c r="J797" s="73" t="s">
        <v>3231</v>
      </c>
      <c r="K797" s="23" t="s">
        <v>4771</v>
      </c>
      <c r="L797" s="60" t="s">
        <v>3289</v>
      </c>
      <c r="M797" s="60" t="s">
        <v>3289</v>
      </c>
      <c r="N797" s="60" t="s">
        <v>3291</v>
      </c>
      <c r="O797" s="60"/>
      <c r="P797" s="60" t="s">
        <v>5492</v>
      </c>
      <c r="Q797" s="20">
        <v>4</v>
      </c>
    </row>
    <row r="798" spans="1:17" ht="112" x14ac:dyDescent="0.2">
      <c r="A798" s="71">
        <v>797</v>
      </c>
      <c r="B798" s="107" t="str">
        <f>HYPERLINK("https://www.ncbi.nlm.nih.gov/gene/30812", "30812")</f>
        <v>30812</v>
      </c>
      <c r="C798" s="109" t="str">
        <f>HYPERLINK("https://www.uniprot.org/uniprot/P57073", "P57073")</f>
        <v>P57073</v>
      </c>
      <c r="D798" s="43" t="s">
        <v>775</v>
      </c>
      <c r="E798" s="38" t="s">
        <v>775</v>
      </c>
      <c r="F798" s="6"/>
      <c r="G798" s="28" t="s">
        <v>5045</v>
      </c>
      <c r="H798" s="6" t="s">
        <v>2534</v>
      </c>
      <c r="I798" s="49" t="s">
        <v>2831</v>
      </c>
      <c r="J798" s="73">
        <v>29071717</v>
      </c>
      <c r="K798" s="23" t="s">
        <v>4772</v>
      </c>
      <c r="L798" s="60" t="s">
        <v>3289</v>
      </c>
      <c r="M798" s="60" t="s">
        <v>3289</v>
      </c>
      <c r="N798" s="60" t="s">
        <v>3291</v>
      </c>
      <c r="O798" s="60"/>
      <c r="P798" s="60" t="s">
        <v>5493</v>
      </c>
      <c r="Q798" s="20">
        <v>4</v>
      </c>
    </row>
    <row r="799" spans="1:17" ht="176" x14ac:dyDescent="0.2">
      <c r="A799" s="71">
        <v>798</v>
      </c>
      <c r="B799" s="107" t="str">
        <f>HYPERLINK("https://www.ncbi.nlm.nih.gov/gene/6662", "6662")</f>
        <v>6662</v>
      </c>
      <c r="C799" s="109" t="str">
        <f>HYPERLINK("https://www.uniprot.org/uniprot/P48436", "P48436")</f>
        <v>P48436</v>
      </c>
      <c r="D799" s="43" t="s">
        <v>776</v>
      </c>
      <c r="E799" s="38" t="s">
        <v>776</v>
      </c>
      <c r="F799" s="6"/>
      <c r="G799" s="28" t="s">
        <v>5044</v>
      </c>
      <c r="H799" s="6" t="s">
        <v>4182</v>
      </c>
      <c r="I799" s="49" t="s">
        <v>5420</v>
      </c>
      <c r="J799" s="73" t="s">
        <v>3232</v>
      </c>
      <c r="K799" s="23" t="s">
        <v>4773</v>
      </c>
      <c r="L799" s="60" t="s">
        <v>3289</v>
      </c>
      <c r="M799" s="60" t="s">
        <v>3289</v>
      </c>
      <c r="N799" s="60" t="s">
        <v>3289</v>
      </c>
      <c r="O799" s="60"/>
      <c r="P799" s="60" t="s">
        <v>5493</v>
      </c>
      <c r="Q799" s="20">
        <v>4</v>
      </c>
    </row>
    <row r="800" spans="1:17" ht="160" x14ac:dyDescent="0.2">
      <c r="A800" s="71">
        <v>799</v>
      </c>
      <c r="B800" s="107" t="str">
        <f>HYPERLINK("https://www.ncbi.nlm.nih.gov/gene/6678", "6678")</f>
        <v>6678</v>
      </c>
      <c r="C800" s="109" t="str">
        <f>HYPERLINK("https://www.uniprot.org/uniprot/P09486", "P09486")</f>
        <v>P09486</v>
      </c>
      <c r="D800" s="43" t="s">
        <v>778</v>
      </c>
      <c r="E800" s="35" t="s">
        <v>778</v>
      </c>
      <c r="F800" s="30" t="s">
        <v>2536</v>
      </c>
      <c r="G800" s="30" t="s">
        <v>2537</v>
      </c>
      <c r="H800" s="30" t="s">
        <v>4183</v>
      </c>
      <c r="I800" s="47" t="s">
        <v>2830</v>
      </c>
      <c r="J800" s="73" t="s">
        <v>3233</v>
      </c>
      <c r="K800" s="23" t="s">
        <v>4774</v>
      </c>
      <c r="L800" s="60" t="s">
        <v>3289</v>
      </c>
      <c r="M800" s="60" t="s">
        <v>3289</v>
      </c>
      <c r="N800" s="60" t="s">
        <v>3291</v>
      </c>
      <c r="O800" s="60"/>
      <c r="P800" s="60" t="s">
        <v>5494</v>
      </c>
      <c r="Q800" s="20">
        <v>5</v>
      </c>
    </row>
    <row r="801" spans="1:17" ht="64" x14ac:dyDescent="0.2">
      <c r="A801" s="71">
        <v>800</v>
      </c>
      <c r="B801" s="107" t="str">
        <f>HYPERLINK("https://www.ncbi.nlm.nih.gov/gene/84651", "84651")</f>
        <v>84651</v>
      </c>
      <c r="C801" s="110" t="str">
        <f>HYPERLINK("https://www.uniprot.org/uniprot/P58062", "P58062")</f>
        <v>P58062</v>
      </c>
      <c r="D801" s="43" t="s">
        <v>779</v>
      </c>
      <c r="E801" s="35" t="s">
        <v>779</v>
      </c>
      <c r="F801" s="30" t="s">
        <v>2538</v>
      </c>
      <c r="G801" s="30" t="s">
        <v>2539</v>
      </c>
      <c r="H801" s="30" t="s">
        <v>4184</v>
      </c>
      <c r="I801" s="47" t="s">
        <v>5421</v>
      </c>
      <c r="J801" s="73" t="s">
        <v>3234</v>
      </c>
      <c r="K801" s="23" t="s">
        <v>4775</v>
      </c>
      <c r="L801" s="60" t="s">
        <v>3292</v>
      </c>
      <c r="M801" s="60" t="s">
        <v>3292</v>
      </c>
      <c r="N801" s="60" t="s">
        <v>3291</v>
      </c>
      <c r="O801" s="60"/>
      <c r="P801" s="60" t="s">
        <v>3323</v>
      </c>
      <c r="Q801" s="20">
        <v>1</v>
      </c>
    </row>
    <row r="802" spans="1:17" ht="80" x14ac:dyDescent="0.2">
      <c r="A802" s="71">
        <v>801</v>
      </c>
      <c r="B802" s="107" t="str">
        <f>HYPERLINK("https://www.ncbi.nlm.nih.gov/gene/6696", "6696")</f>
        <v>6696</v>
      </c>
      <c r="C802" s="109" t="str">
        <f>HYPERLINK("https://www.uniprot.org/uniprot/P10451", "P10451")</f>
        <v>P10451</v>
      </c>
      <c r="D802" s="43" t="s">
        <v>780</v>
      </c>
      <c r="E802" s="35" t="s">
        <v>780</v>
      </c>
      <c r="F802" s="30" t="s">
        <v>2540</v>
      </c>
      <c r="G802" s="30" t="s">
        <v>2541</v>
      </c>
      <c r="H802" s="30" t="s">
        <v>2542</v>
      </c>
      <c r="I802" s="47" t="s">
        <v>5274</v>
      </c>
      <c r="J802" s="73">
        <v>30627777</v>
      </c>
      <c r="K802" s="23" t="s">
        <v>4776</v>
      </c>
      <c r="L802" s="60" t="s">
        <v>3289</v>
      </c>
      <c r="M802" s="60" t="s">
        <v>3289</v>
      </c>
      <c r="N802" s="60" t="s">
        <v>3291</v>
      </c>
      <c r="O802" s="60"/>
      <c r="P802" s="60" t="s">
        <v>3323</v>
      </c>
      <c r="Q802" s="20">
        <v>1</v>
      </c>
    </row>
    <row r="803" spans="1:17" ht="144" x14ac:dyDescent="0.2">
      <c r="A803" s="71">
        <v>802</v>
      </c>
      <c r="B803" s="107" t="str">
        <f>HYPERLINK("https://www.ncbi.nlm.nih.gov/gene/8878", "8878")</f>
        <v>8878</v>
      </c>
      <c r="C803" s="109" t="str">
        <f>HYPERLINK("https://www.uniprot.org/uniprot/Q13501", "Q13501")</f>
        <v>Q13501</v>
      </c>
      <c r="D803" s="43" t="s">
        <v>781</v>
      </c>
      <c r="E803" s="35" t="s">
        <v>781</v>
      </c>
      <c r="F803" s="30" t="s">
        <v>2543</v>
      </c>
      <c r="G803" s="30" t="s">
        <v>2544</v>
      </c>
      <c r="H803" s="30" t="s">
        <v>4185</v>
      </c>
      <c r="I803" s="47" t="s">
        <v>5422</v>
      </c>
      <c r="J803" s="73" t="s">
        <v>3235</v>
      </c>
      <c r="K803" s="23" t="s">
        <v>4777</v>
      </c>
      <c r="L803" s="60" t="s">
        <v>3295</v>
      </c>
      <c r="M803" s="60" t="s">
        <v>3295</v>
      </c>
      <c r="N803" s="60" t="s">
        <v>3292</v>
      </c>
      <c r="O803" s="60"/>
      <c r="P803" s="60" t="s">
        <v>3323</v>
      </c>
      <c r="Q803" s="20">
        <v>1</v>
      </c>
    </row>
    <row r="804" spans="1:17" ht="112" x14ac:dyDescent="0.2">
      <c r="A804" s="71">
        <v>803</v>
      </c>
      <c r="B804" s="107" t="str">
        <f>HYPERLINK("https://www.ncbi.nlm.nih.gov/gene/6714", "6714")</f>
        <v>6714</v>
      </c>
      <c r="C804" s="109" t="str">
        <f>HYPERLINK("https://www.uniprot.org/uniprot/P12931", "P12931")</f>
        <v>P12931</v>
      </c>
      <c r="D804" s="43" t="s">
        <v>782</v>
      </c>
      <c r="E804" s="35" t="s">
        <v>782</v>
      </c>
      <c r="F804" s="30" t="s">
        <v>2545</v>
      </c>
      <c r="G804" s="30" t="s">
        <v>2546</v>
      </c>
      <c r="H804" s="30" t="s">
        <v>2547</v>
      </c>
      <c r="I804" s="47" t="s">
        <v>5423</v>
      </c>
      <c r="J804" s="73">
        <v>21737505</v>
      </c>
      <c r="K804" s="30" t="s">
        <v>4778</v>
      </c>
      <c r="L804" s="60" t="s">
        <v>3289</v>
      </c>
      <c r="M804" s="60" t="s">
        <v>3289</v>
      </c>
      <c r="N804" s="60" t="s">
        <v>3295</v>
      </c>
      <c r="O804" s="60" t="s">
        <v>5509</v>
      </c>
      <c r="P804" s="60" t="s">
        <v>5495</v>
      </c>
      <c r="Q804" s="20">
        <v>2</v>
      </c>
    </row>
    <row r="805" spans="1:17" ht="80" x14ac:dyDescent="0.2">
      <c r="A805" s="71">
        <v>804</v>
      </c>
      <c r="B805" s="107" t="str">
        <f>HYPERLINK("https://www.ncbi.nlm.nih.gov/gene/6721", "6721")</f>
        <v>6721</v>
      </c>
      <c r="C805" s="109" t="str">
        <f>HYPERLINK("https://www.uniprot.org/uniprot/Q12772", "Q12772")</f>
        <v>Q12772</v>
      </c>
      <c r="D805" s="43" t="s">
        <v>783</v>
      </c>
      <c r="E805" s="35" t="s">
        <v>783</v>
      </c>
      <c r="F805" s="30" t="s">
        <v>2548</v>
      </c>
      <c r="G805" s="30" t="s">
        <v>2549</v>
      </c>
      <c r="H805" s="30" t="s">
        <v>2550</v>
      </c>
      <c r="I805" s="47" t="s">
        <v>5424</v>
      </c>
      <c r="J805" s="73">
        <v>29466876</v>
      </c>
      <c r="K805" s="23" t="s">
        <v>4779</v>
      </c>
      <c r="L805" s="60" t="s">
        <v>3289</v>
      </c>
      <c r="M805" s="60" t="s">
        <v>3289</v>
      </c>
      <c r="N805" s="60" t="s">
        <v>3291</v>
      </c>
      <c r="O805" s="60"/>
      <c r="P805" s="60" t="s">
        <v>3323</v>
      </c>
      <c r="Q805" s="20">
        <v>1</v>
      </c>
    </row>
    <row r="806" spans="1:17" ht="176" x14ac:dyDescent="0.2">
      <c r="A806" s="71">
        <v>805</v>
      </c>
      <c r="B806" s="107" t="str">
        <f>HYPERLINK("https://www.ncbi.nlm.nih.gov/gene/6732", "6732")</f>
        <v>6732</v>
      </c>
      <c r="C806" s="109" t="str">
        <f>HYPERLINK("https://www.uniprot.org/uniprot/Q96SB4", "Q96SB4")</f>
        <v>Q96SB4</v>
      </c>
      <c r="D806" s="43" t="s">
        <v>784</v>
      </c>
      <c r="E806" s="35" t="s">
        <v>784</v>
      </c>
      <c r="F806" s="30"/>
      <c r="G806" s="30" t="s">
        <v>2551</v>
      </c>
      <c r="H806" s="30" t="s">
        <v>4186</v>
      </c>
      <c r="I806" s="47" t="s">
        <v>2850</v>
      </c>
      <c r="J806" s="73" t="s">
        <v>3603</v>
      </c>
      <c r="K806" s="23" t="s">
        <v>4780</v>
      </c>
      <c r="L806" s="60" t="s">
        <v>3289</v>
      </c>
      <c r="M806" s="60" t="s">
        <v>3290</v>
      </c>
      <c r="N806" s="60" t="s">
        <v>5522</v>
      </c>
      <c r="O806" s="60"/>
      <c r="P806" s="60" t="s">
        <v>3323</v>
      </c>
      <c r="Q806" s="20">
        <v>1</v>
      </c>
    </row>
    <row r="807" spans="1:17" ht="112" x14ac:dyDescent="0.2">
      <c r="A807" s="71">
        <v>806</v>
      </c>
      <c r="B807" s="107" t="str">
        <f>HYPERLINK("https://www.ncbi.nlm.nih.gov/gene/6733", "6733")</f>
        <v>6733</v>
      </c>
      <c r="C807" s="112" t="str">
        <f>HYPERLINK("https://www.uniprot.org/uniprot/P78362", "P78362")</f>
        <v>P78362</v>
      </c>
      <c r="D807" s="43" t="s">
        <v>3599</v>
      </c>
      <c r="E807" s="35" t="s">
        <v>3599</v>
      </c>
      <c r="F807" s="47"/>
      <c r="G807" s="47" t="s">
        <v>3600</v>
      </c>
      <c r="H807" s="47" t="s">
        <v>3601</v>
      </c>
      <c r="I807" s="47" t="s">
        <v>2850</v>
      </c>
      <c r="J807" s="73" t="s">
        <v>3602</v>
      </c>
      <c r="K807" s="23" t="s">
        <v>4781</v>
      </c>
      <c r="L807" s="60" t="s">
        <v>3289</v>
      </c>
      <c r="M807" s="60" t="s">
        <v>3289</v>
      </c>
      <c r="N807" s="60" t="s">
        <v>3291</v>
      </c>
      <c r="O807" s="60"/>
      <c r="P807" s="60" t="s">
        <v>3323</v>
      </c>
      <c r="Q807" s="64">
        <v>1</v>
      </c>
    </row>
    <row r="808" spans="1:17" ht="96" x14ac:dyDescent="0.2">
      <c r="A808" s="71">
        <v>807</v>
      </c>
      <c r="B808" s="107" t="str">
        <f>HYPERLINK("https://www.ncbi.nlm.nih.gov/gene/6427", "6427")</f>
        <v>6427</v>
      </c>
      <c r="C808" s="109" t="str">
        <f>HYPERLINK("https://www.uniprot.org/uniprot/Q01130", "Q01130")</f>
        <v>Q01130</v>
      </c>
      <c r="D808" s="43" t="s">
        <v>785</v>
      </c>
      <c r="E808" s="35" t="s">
        <v>785</v>
      </c>
      <c r="F808" s="30" t="s">
        <v>2552</v>
      </c>
      <c r="G808" s="30" t="s">
        <v>2553</v>
      </c>
      <c r="H808" s="30" t="s">
        <v>2554</v>
      </c>
      <c r="I808" s="47" t="s">
        <v>5167</v>
      </c>
      <c r="J808" s="73">
        <v>30375398</v>
      </c>
      <c r="K808" s="23" t="s">
        <v>4782</v>
      </c>
      <c r="L808" s="60" t="s">
        <v>3289</v>
      </c>
      <c r="M808" s="60" t="s">
        <v>3289</v>
      </c>
      <c r="N808" s="60" t="s">
        <v>3291</v>
      </c>
      <c r="O808" s="60"/>
      <c r="P808" s="60" t="s">
        <v>5493</v>
      </c>
      <c r="Q808" s="20">
        <v>4</v>
      </c>
    </row>
    <row r="809" spans="1:17" ht="32" x14ac:dyDescent="0.2">
      <c r="A809" s="71">
        <v>808</v>
      </c>
      <c r="B809" s="107" t="str">
        <f>HYPERLINK("https://www.ncbi.nlm.nih.gov/gene/6429", "6429")</f>
        <v>6429</v>
      </c>
      <c r="C809" s="109" t="str">
        <f>HYPERLINK("https://www.uniprot.org/uniprot/Q08170", "Q08170")</f>
        <v>Q08170</v>
      </c>
      <c r="D809" s="43" t="s">
        <v>786</v>
      </c>
      <c r="E809" s="38" t="s">
        <v>786</v>
      </c>
      <c r="F809" s="6" t="s">
        <v>2555</v>
      </c>
      <c r="G809" s="28" t="s">
        <v>2556</v>
      </c>
      <c r="H809" s="6" t="s">
        <v>2557</v>
      </c>
      <c r="I809" s="49" t="s">
        <v>2850</v>
      </c>
      <c r="J809" s="73">
        <v>25884497</v>
      </c>
      <c r="K809" s="23" t="s">
        <v>4783</v>
      </c>
      <c r="L809" s="60" t="s">
        <v>3291</v>
      </c>
      <c r="M809" s="60" t="s">
        <v>3292</v>
      </c>
      <c r="N809" s="60" t="s">
        <v>3291</v>
      </c>
      <c r="O809" s="60"/>
      <c r="P809" s="60" t="s">
        <v>3323</v>
      </c>
      <c r="Q809" s="20">
        <v>1</v>
      </c>
    </row>
    <row r="810" spans="1:17" ht="144" x14ac:dyDescent="0.2">
      <c r="A810" s="71">
        <v>809</v>
      </c>
      <c r="B810" s="107" t="str">
        <f>HYPERLINK("https://www.ncbi.nlm.nih.gov/gene/6480", "6480")</f>
        <v>6480</v>
      </c>
      <c r="C810" s="109" t="str">
        <f>HYPERLINK("https://www.uniprot.org/uniprot/P15907", "P15907")</f>
        <v>P15907</v>
      </c>
      <c r="D810" s="43" t="s">
        <v>787</v>
      </c>
      <c r="E810" s="35" t="s">
        <v>787</v>
      </c>
      <c r="F810" s="30" t="s">
        <v>2558</v>
      </c>
      <c r="G810" s="30" t="s">
        <v>2559</v>
      </c>
      <c r="H810" s="30" t="s">
        <v>4901</v>
      </c>
      <c r="I810" s="47" t="s">
        <v>5425</v>
      </c>
      <c r="J810" s="73">
        <v>23578204</v>
      </c>
      <c r="K810" s="23" t="s">
        <v>4784</v>
      </c>
      <c r="L810" s="60" t="s">
        <v>3289</v>
      </c>
      <c r="M810" s="60" t="s">
        <v>3289</v>
      </c>
      <c r="N810" s="60" t="s">
        <v>3289</v>
      </c>
      <c r="O810" s="60"/>
      <c r="P810" s="60" t="s">
        <v>3323</v>
      </c>
      <c r="Q810" s="20">
        <v>1</v>
      </c>
    </row>
    <row r="811" spans="1:17" ht="112" x14ac:dyDescent="0.2">
      <c r="A811" s="71">
        <v>810</v>
      </c>
      <c r="B811" s="107" t="str">
        <f>HYPERLINK("https://www.ncbi.nlm.nih.gov/gene/6772", "6772")</f>
        <v>6772</v>
      </c>
      <c r="C811" s="109" t="str">
        <f>HYPERLINK("https://www.uniprot.org/uniprot/P42224", "P42224")</f>
        <v>P42224</v>
      </c>
      <c r="D811" s="43" t="s">
        <v>788</v>
      </c>
      <c r="E811" s="16" t="s">
        <v>788</v>
      </c>
      <c r="F811" s="28"/>
      <c r="G811" s="28" t="s">
        <v>2560</v>
      </c>
      <c r="H811" s="28" t="s">
        <v>4902</v>
      </c>
      <c r="I811" s="31" t="s">
        <v>5224</v>
      </c>
      <c r="J811" s="73" t="s">
        <v>3647</v>
      </c>
      <c r="K811" s="23" t="s">
        <v>4785</v>
      </c>
      <c r="L811" s="60" t="s">
        <v>5519</v>
      </c>
      <c r="M811" s="60" t="s">
        <v>3307</v>
      </c>
      <c r="N811" s="60" t="s">
        <v>3293</v>
      </c>
      <c r="O811" s="60"/>
      <c r="P811" s="60" t="s">
        <v>5493</v>
      </c>
      <c r="Q811" s="20">
        <v>4</v>
      </c>
    </row>
    <row r="812" spans="1:17" ht="160" x14ac:dyDescent="0.2">
      <c r="A812" s="71">
        <v>811</v>
      </c>
      <c r="B812" s="107" t="str">
        <f>HYPERLINK("https://www.ncbi.nlm.nih.gov/gene/6774", "6774")</f>
        <v>6774</v>
      </c>
      <c r="C812" s="109" t="str">
        <f>HYPERLINK("https://www.uniprot.org/uniprot/P40763", "P40763")</f>
        <v>P40763</v>
      </c>
      <c r="D812" s="43" t="s">
        <v>789</v>
      </c>
      <c r="E812" s="16" t="s">
        <v>789</v>
      </c>
      <c r="F812" s="28" t="s">
        <v>2561</v>
      </c>
      <c r="G812" s="28" t="s">
        <v>2562</v>
      </c>
      <c r="H812" s="28" t="s">
        <v>4903</v>
      </c>
      <c r="I812" s="31" t="s">
        <v>5426</v>
      </c>
      <c r="J812" s="73" t="s">
        <v>3648</v>
      </c>
      <c r="K812" s="23" t="s">
        <v>4786</v>
      </c>
      <c r="L812" s="60" t="s">
        <v>3289</v>
      </c>
      <c r="M812" s="60" t="s">
        <v>3289</v>
      </c>
      <c r="N812" s="60" t="s">
        <v>3291</v>
      </c>
      <c r="O812" s="60"/>
      <c r="P812" s="60" t="s">
        <v>5492</v>
      </c>
      <c r="Q812" s="20">
        <v>4</v>
      </c>
    </row>
    <row r="813" spans="1:17" ht="64" x14ac:dyDescent="0.2">
      <c r="A813" s="71">
        <v>812</v>
      </c>
      <c r="B813" s="107" t="str">
        <f>HYPERLINK("https://www.ncbi.nlm.nih.gov/gene/6776", "6776")</f>
        <v>6776</v>
      </c>
      <c r="C813" s="109" t="str">
        <f>HYPERLINK("https://www.uniprot.org/uniprot/P42229", "P42229")</f>
        <v>P42229</v>
      </c>
      <c r="D813" s="43" t="s">
        <v>790</v>
      </c>
      <c r="E813" s="35" t="s">
        <v>790</v>
      </c>
      <c r="F813" s="30" t="s">
        <v>2563</v>
      </c>
      <c r="G813" s="30" t="s">
        <v>2564</v>
      </c>
      <c r="H813" s="30" t="s">
        <v>4904</v>
      </c>
      <c r="I813" s="47" t="s">
        <v>5075</v>
      </c>
      <c r="J813" s="73">
        <v>20585448</v>
      </c>
      <c r="K813" s="23" t="s">
        <v>3236</v>
      </c>
      <c r="L813" s="60" t="s">
        <v>3289</v>
      </c>
      <c r="M813" s="60" t="s">
        <v>3289</v>
      </c>
      <c r="N813" s="60" t="s">
        <v>3291</v>
      </c>
      <c r="O813" s="60"/>
      <c r="P813" s="60" t="s">
        <v>5492</v>
      </c>
      <c r="Q813" s="20">
        <v>4</v>
      </c>
    </row>
    <row r="814" spans="1:17" ht="128" x14ac:dyDescent="0.2">
      <c r="A814" s="71">
        <v>813</v>
      </c>
      <c r="B814" s="107" t="str">
        <f>HYPERLINK("https://www.ncbi.nlm.nih.gov/gene/6777", "6777")</f>
        <v>6777</v>
      </c>
      <c r="C814" s="109" t="str">
        <f>HYPERLINK("https://www.uniprot.org/uniprot/P51692", "P51692")</f>
        <v>P51692</v>
      </c>
      <c r="D814" s="43" t="s">
        <v>791</v>
      </c>
      <c r="E814" s="35" t="s">
        <v>791</v>
      </c>
      <c r="F814" s="30"/>
      <c r="G814" s="30" t="s">
        <v>2565</v>
      </c>
      <c r="H814" s="30" t="s">
        <v>2566</v>
      </c>
      <c r="I814" s="47" t="s">
        <v>5075</v>
      </c>
      <c r="J814" s="73">
        <v>20585448</v>
      </c>
      <c r="K814" s="23" t="s">
        <v>4787</v>
      </c>
      <c r="L814" s="60" t="s">
        <v>3289</v>
      </c>
      <c r="M814" s="60" t="s">
        <v>3289</v>
      </c>
      <c r="N814" s="60" t="s">
        <v>3291</v>
      </c>
      <c r="O814" s="60"/>
      <c r="P814" s="60" t="s">
        <v>5492</v>
      </c>
      <c r="Q814" s="20">
        <v>4</v>
      </c>
    </row>
    <row r="815" spans="1:17" ht="64" x14ac:dyDescent="0.2">
      <c r="A815" s="71">
        <v>814</v>
      </c>
      <c r="B815" s="107" t="str">
        <f>HYPERLINK("https://www.ncbi.nlm.nih.gov/gene/6778", "6778")</f>
        <v>6778</v>
      </c>
      <c r="C815" s="109" t="str">
        <f>HYPERLINK("https://www.uniprot.org/uniprot/P42226", "P42226")</f>
        <v>P42226</v>
      </c>
      <c r="D815" s="43" t="s">
        <v>792</v>
      </c>
      <c r="E815" s="35" t="s">
        <v>792</v>
      </c>
      <c r="F815" s="30"/>
      <c r="G815" s="30" t="s">
        <v>2567</v>
      </c>
      <c r="H815" s="30" t="s">
        <v>2568</v>
      </c>
      <c r="I815" s="47" t="s">
        <v>2842</v>
      </c>
      <c r="J815" s="73">
        <v>21765211</v>
      </c>
      <c r="K815" s="23" t="s">
        <v>4788</v>
      </c>
      <c r="L815" s="60" t="s">
        <v>3318</v>
      </c>
      <c r="M815" s="60" t="s">
        <v>3318</v>
      </c>
      <c r="N815" s="60" t="s">
        <v>3303</v>
      </c>
      <c r="O815" s="60"/>
      <c r="P815" s="60" t="s">
        <v>5493</v>
      </c>
      <c r="Q815" s="20">
        <v>4</v>
      </c>
    </row>
    <row r="816" spans="1:17" ht="112" x14ac:dyDescent="0.2">
      <c r="A816" s="71">
        <v>815</v>
      </c>
      <c r="B816" s="107" t="str">
        <f>HYPERLINK("https://www.ncbi.nlm.nih.gov/gene/6786", "6786")</f>
        <v>6786</v>
      </c>
      <c r="C816" s="109" t="str">
        <f>HYPERLINK("https://www.uniprot.org/uniprot/Q13586", "Q13586")</f>
        <v>Q13586</v>
      </c>
      <c r="D816" s="43" t="s">
        <v>793</v>
      </c>
      <c r="E816" s="16" t="s">
        <v>793</v>
      </c>
      <c r="F816" s="28" t="s">
        <v>2569</v>
      </c>
      <c r="G816" s="28" t="s">
        <v>2570</v>
      </c>
      <c r="H816" s="28" t="s">
        <v>2571</v>
      </c>
      <c r="I816" s="31" t="s">
        <v>5427</v>
      </c>
      <c r="J816" s="73" t="s">
        <v>3237</v>
      </c>
      <c r="K816" s="23" t="s">
        <v>4789</v>
      </c>
      <c r="L816" s="60" t="s">
        <v>3290</v>
      </c>
      <c r="M816" s="60" t="s">
        <v>3290</v>
      </c>
      <c r="N816" s="60" t="s">
        <v>3292</v>
      </c>
      <c r="O816" s="60"/>
      <c r="P816" s="60" t="s">
        <v>5493</v>
      </c>
      <c r="Q816" s="20">
        <v>4</v>
      </c>
    </row>
    <row r="817" spans="1:17" ht="64" x14ac:dyDescent="0.2">
      <c r="A817" s="71">
        <v>816</v>
      </c>
      <c r="B817" s="107" t="str">
        <f>HYPERLINK("https://www.ncbi.nlm.nih.gov/gene/340061", "340061")</f>
        <v>340061</v>
      </c>
      <c r="C817" s="109" t="str">
        <f>HYPERLINK("https://www.uniprot.org/uniprot/Q86WV6", "Q86WV6")</f>
        <v>Q86WV6</v>
      </c>
      <c r="D817" s="43" t="s">
        <v>794</v>
      </c>
      <c r="E817" s="16" t="s">
        <v>794</v>
      </c>
      <c r="F817" s="28" t="s">
        <v>2572</v>
      </c>
      <c r="G817" s="28" t="s">
        <v>2573</v>
      </c>
      <c r="H817" s="28" t="s">
        <v>2574</v>
      </c>
      <c r="I817" s="31" t="s">
        <v>2842</v>
      </c>
      <c r="J817" s="73" t="s">
        <v>3238</v>
      </c>
      <c r="K817" s="23" t="s">
        <v>4790</v>
      </c>
      <c r="L817" s="60" t="s">
        <v>3290</v>
      </c>
      <c r="M817" s="60" t="s">
        <v>3290</v>
      </c>
      <c r="N817" s="60" t="s">
        <v>3289</v>
      </c>
      <c r="O817" s="60"/>
      <c r="P817" s="60" t="s">
        <v>5497</v>
      </c>
      <c r="Q817" s="20">
        <v>3</v>
      </c>
    </row>
    <row r="818" spans="1:17" ht="80" x14ac:dyDescent="0.2">
      <c r="A818" s="71">
        <v>817</v>
      </c>
      <c r="B818" s="107" t="str">
        <f>HYPERLINK("https://www.ncbi.nlm.nih.gov/gene/6794", "6794")</f>
        <v>6794</v>
      </c>
      <c r="C818" s="109" t="str">
        <f>HYPERLINK("https://www.uniprot.org/uniprot/Q15831", "Q15831")</f>
        <v>Q15831</v>
      </c>
      <c r="D818" s="43" t="s">
        <v>795</v>
      </c>
      <c r="E818" s="16" t="s">
        <v>795</v>
      </c>
      <c r="F818" s="28" t="s">
        <v>2575</v>
      </c>
      <c r="G818" s="28" t="s">
        <v>2576</v>
      </c>
      <c r="H818" s="28" t="s">
        <v>2577</v>
      </c>
      <c r="I818" s="31" t="s">
        <v>5428</v>
      </c>
      <c r="J818" s="73">
        <v>22576699</v>
      </c>
      <c r="K818" s="23" t="s">
        <v>4791</v>
      </c>
      <c r="L818" s="60" t="s">
        <v>3291</v>
      </c>
      <c r="M818" s="60" t="s">
        <v>3292</v>
      </c>
      <c r="N818" s="60" t="s">
        <v>3291</v>
      </c>
      <c r="O818" s="60"/>
      <c r="P818" s="60" t="s">
        <v>5495</v>
      </c>
      <c r="Q818" s="20">
        <v>2</v>
      </c>
    </row>
    <row r="819" spans="1:17" ht="112" x14ac:dyDescent="0.2">
      <c r="A819" s="71">
        <v>818</v>
      </c>
      <c r="B819" s="107" t="str">
        <f>HYPERLINK("https://www.ncbi.nlm.nih.gov/gene/9263", "9263")</f>
        <v>9263</v>
      </c>
      <c r="C819" s="109" t="str">
        <f>HYPERLINK("https://www.uniprot.org/uniprot/Q9UEE5", "Q9UEE5")</f>
        <v>Q9UEE5</v>
      </c>
      <c r="D819" s="43" t="s">
        <v>796</v>
      </c>
      <c r="E819" s="35" t="s">
        <v>796</v>
      </c>
      <c r="F819" s="30" t="s">
        <v>2578</v>
      </c>
      <c r="G819" s="30" t="s">
        <v>2579</v>
      </c>
      <c r="H819" s="30" t="s">
        <v>4905</v>
      </c>
      <c r="I819" s="47" t="s">
        <v>5429</v>
      </c>
      <c r="J819" s="73" t="s">
        <v>3239</v>
      </c>
      <c r="K819" s="23" t="s">
        <v>4792</v>
      </c>
      <c r="L819" s="60" t="s">
        <v>3292</v>
      </c>
      <c r="M819" s="60" t="s">
        <v>3292</v>
      </c>
      <c r="N819" s="60" t="s">
        <v>3289</v>
      </c>
      <c r="O819" s="60"/>
      <c r="P819" s="60" t="s">
        <v>3323</v>
      </c>
      <c r="Q819" s="20">
        <v>1</v>
      </c>
    </row>
    <row r="820" spans="1:17" ht="128" x14ac:dyDescent="0.2">
      <c r="A820" s="71">
        <v>819</v>
      </c>
      <c r="B820" s="107" t="str">
        <f>HYPERLINK("https://www.ncbi.nlm.nih.gov/gene/6789", "6789")</f>
        <v>6789</v>
      </c>
      <c r="C820" s="109" t="s">
        <v>797</v>
      </c>
      <c r="D820" s="43" t="s">
        <v>798</v>
      </c>
      <c r="E820" s="35" t="s">
        <v>798</v>
      </c>
      <c r="F820" s="30" t="s">
        <v>2580</v>
      </c>
      <c r="G820" s="30" t="s">
        <v>2581</v>
      </c>
      <c r="H820" s="30" t="s">
        <v>2582</v>
      </c>
      <c r="I820" s="47" t="s">
        <v>2845</v>
      </c>
      <c r="J820" s="73">
        <v>18381433</v>
      </c>
      <c r="K820" s="23" t="s">
        <v>4793</v>
      </c>
      <c r="L820" s="60" t="s">
        <v>3291</v>
      </c>
      <c r="M820" s="60" t="s">
        <v>3292</v>
      </c>
      <c r="N820" s="60" t="s">
        <v>3292</v>
      </c>
      <c r="O820" s="60"/>
      <c r="P820" s="60" t="s">
        <v>3323</v>
      </c>
      <c r="Q820" s="20">
        <v>1</v>
      </c>
    </row>
    <row r="821" spans="1:17" ht="96" x14ac:dyDescent="0.2">
      <c r="A821" s="71">
        <v>820</v>
      </c>
      <c r="B821" s="107" t="str">
        <f>HYPERLINK("https://www.ncbi.nlm.nih.gov/gene/56241", "56241")</f>
        <v>56241</v>
      </c>
      <c r="C821" s="109" t="str">
        <f>HYPERLINK("https://www.uniprot.org/uniprot/Q9UGT4", "Q9UGT4")</f>
        <v>Q9UGT4</v>
      </c>
      <c r="D821" s="43" t="s">
        <v>799</v>
      </c>
      <c r="E821" s="35" t="s">
        <v>799</v>
      </c>
      <c r="F821" s="30"/>
      <c r="G821" s="30" t="s">
        <v>2583</v>
      </c>
      <c r="H821" s="30" t="s">
        <v>4906</v>
      </c>
      <c r="I821" s="47" t="s">
        <v>5430</v>
      </c>
      <c r="J821" s="73">
        <v>29305171</v>
      </c>
      <c r="K821" s="23" t="s">
        <v>4794</v>
      </c>
      <c r="L821" s="60" t="s">
        <v>3289</v>
      </c>
      <c r="M821" s="60" t="s">
        <v>3289</v>
      </c>
      <c r="N821" s="60" t="s">
        <v>3291</v>
      </c>
      <c r="O821" s="60"/>
      <c r="P821" s="60" t="s">
        <v>5494</v>
      </c>
      <c r="Q821" s="20">
        <v>5</v>
      </c>
    </row>
    <row r="822" spans="1:17" ht="64" x14ac:dyDescent="0.2">
      <c r="A822" s="71">
        <v>821</v>
      </c>
      <c r="B822" s="107" t="str">
        <f>HYPERLINK("https://www.ncbi.nlm.nih.gov/gene/10454", "10454")</f>
        <v>10454</v>
      </c>
      <c r="C822" s="109" t="str">
        <f>HYPERLINK("https://www.uniprot.org/uniprot/Q15750", "Q15750")</f>
        <v>Q15750</v>
      </c>
      <c r="D822" s="43" t="s">
        <v>800</v>
      </c>
      <c r="E822" s="35" t="s">
        <v>800</v>
      </c>
      <c r="F822" s="30" t="s">
        <v>2584</v>
      </c>
      <c r="G822" s="30" t="s">
        <v>2585</v>
      </c>
      <c r="H822" s="30" t="s">
        <v>4907</v>
      </c>
      <c r="I822" s="47" t="s">
        <v>5431</v>
      </c>
      <c r="J822" s="73">
        <v>23934659</v>
      </c>
      <c r="K822" s="23" t="s">
        <v>4795</v>
      </c>
      <c r="L822" s="60" t="s">
        <v>3292</v>
      </c>
      <c r="M822" s="60" t="s">
        <v>3292</v>
      </c>
      <c r="N822" s="60" t="s">
        <v>3289</v>
      </c>
      <c r="O822" s="60"/>
      <c r="P822" s="60" t="s">
        <v>3323</v>
      </c>
      <c r="Q822" s="20">
        <v>1</v>
      </c>
    </row>
    <row r="823" spans="1:17" ht="80" x14ac:dyDescent="0.2">
      <c r="A823" s="71">
        <v>822</v>
      </c>
      <c r="B823" s="107" t="str">
        <f>HYPERLINK("https://www.ncbi.nlm.nih.gov/gene/257397", "257397")</f>
        <v>257397</v>
      </c>
      <c r="C823" s="109" t="str">
        <f>HYPERLINK("https://www.uniprot.org/uniprot/Q8N5C8", "Q8N5C8")</f>
        <v>Q8N5C8</v>
      </c>
      <c r="D823" s="43" t="s">
        <v>801</v>
      </c>
      <c r="E823" s="35" t="s">
        <v>801</v>
      </c>
      <c r="F823" s="30" t="s">
        <v>2586</v>
      </c>
      <c r="G823" s="30" t="s">
        <v>2587</v>
      </c>
      <c r="H823" s="30" t="s">
        <v>4908</v>
      </c>
      <c r="I823" s="47" t="s">
        <v>5432</v>
      </c>
      <c r="J823" s="73" t="s">
        <v>3240</v>
      </c>
      <c r="K823" s="23" t="s">
        <v>4796</v>
      </c>
      <c r="L823" s="60" t="s">
        <v>3289</v>
      </c>
      <c r="M823" s="60" t="s">
        <v>3289</v>
      </c>
      <c r="N823" s="60" t="s">
        <v>3291</v>
      </c>
      <c r="O823" s="60"/>
      <c r="P823" s="60" t="s">
        <v>3323</v>
      </c>
      <c r="Q823" s="20">
        <v>1</v>
      </c>
    </row>
    <row r="824" spans="1:17" ht="64" x14ac:dyDescent="0.2">
      <c r="A824" s="71">
        <v>823</v>
      </c>
      <c r="B824" s="107" t="str">
        <f>HYPERLINK("https://www.ncbi.nlm.nih.gov/gene/6890", "6890")</f>
        <v>6890</v>
      </c>
      <c r="C824" s="109" t="str">
        <f>HYPERLINK("https://www.uniprot.org/uniprot/Q03518", "Q03518")</f>
        <v>Q03518</v>
      </c>
      <c r="D824" s="43" t="s">
        <v>802</v>
      </c>
      <c r="E824" s="35" t="s">
        <v>802</v>
      </c>
      <c r="F824" s="30" t="s">
        <v>2588</v>
      </c>
      <c r="G824" s="30" t="s">
        <v>5046</v>
      </c>
      <c r="H824" s="30" t="s">
        <v>2589</v>
      </c>
      <c r="I824" s="47" t="s">
        <v>2842</v>
      </c>
      <c r="J824" s="73" t="s">
        <v>3241</v>
      </c>
      <c r="K824" s="23" t="s">
        <v>4797</v>
      </c>
      <c r="L824" s="60" t="s">
        <v>5520</v>
      </c>
      <c r="M824" s="60" t="s">
        <v>5520</v>
      </c>
      <c r="N824" s="60" t="s">
        <v>3289</v>
      </c>
      <c r="O824" s="60"/>
      <c r="P824" s="60" t="s">
        <v>3323</v>
      </c>
      <c r="Q824" s="20">
        <v>1</v>
      </c>
    </row>
    <row r="825" spans="1:17" ht="64" x14ac:dyDescent="0.2">
      <c r="A825" s="71">
        <v>824</v>
      </c>
      <c r="B825" s="107" t="str">
        <f>HYPERLINK("https://www.ncbi.nlm.nih.gov/gene/6905", "6905")</f>
        <v>6905</v>
      </c>
      <c r="C825" s="109" t="str">
        <f>HYPERLINK("https://www.uniprot.org/uniprot/Q15813", "Q15813")</f>
        <v>Q15813</v>
      </c>
      <c r="D825" s="43" t="s">
        <v>803</v>
      </c>
      <c r="E825" s="35" t="s">
        <v>803</v>
      </c>
      <c r="F825" s="30"/>
      <c r="G825" s="30" t="s">
        <v>2590</v>
      </c>
      <c r="H825" s="30" t="s">
        <v>4909</v>
      </c>
      <c r="I825" s="47" t="s">
        <v>2855</v>
      </c>
      <c r="J825" s="73">
        <v>18571892</v>
      </c>
      <c r="K825" s="23" t="s">
        <v>4798</v>
      </c>
      <c r="L825" s="60" t="s">
        <v>3289</v>
      </c>
      <c r="M825" s="60" t="s">
        <v>3289</v>
      </c>
      <c r="N825" s="60" t="s">
        <v>3291</v>
      </c>
      <c r="O825" s="60"/>
      <c r="P825" s="60" t="s">
        <v>3323</v>
      </c>
      <c r="Q825" s="20">
        <v>1</v>
      </c>
    </row>
    <row r="826" spans="1:17" ht="96" x14ac:dyDescent="0.2">
      <c r="A826" s="71">
        <v>825</v>
      </c>
      <c r="B826" s="107" t="str">
        <f>HYPERLINK("https://www.ncbi.nlm.nih.gov/gene/6909", "6909")</f>
        <v>6909</v>
      </c>
      <c r="C826" s="109" t="str">
        <f>HYPERLINK("https://www.uniprot.org/uniprot/Q13207", "Q13207")</f>
        <v>Q13207</v>
      </c>
      <c r="D826" s="43" t="s">
        <v>804</v>
      </c>
      <c r="E826" s="35" t="s">
        <v>804</v>
      </c>
      <c r="F826" s="30"/>
      <c r="G826" s="30" t="s">
        <v>2591</v>
      </c>
      <c r="H826" s="30" t="s">
        <v>4910</v>
      </c>
      <c r="I826" s="47" t="s">
        <v>5433</v>
      </c>
      <c r="J826" s="73">
        <v>29435041</v>
      </c>
      <c r="K826" s="23" t="s">
        <v>4799</v>
      </c>
      <c r="L826" s="60" t="s">
        <v>3289</v>
      </c>
      <c r="M826" s="60" t="s">
        <v>3289</v>
      </c>
      <c r="N826" s="60" t="s">
        <v>3291</v>
      </c>
      <c r="O826" s="60"/>
      <c r="P826" s="60" t="s">
        <v>5493</v>
      </c>
      <c r="Q826" s="20">
        <v>4</v>
      </c>
    </row>
    <row r="827" spans="1:17" ht="80" x14ac:dyDescent="0.2">
      <c r="A827" s="71">
        <v>826</v>
      </c>
      <c r="B827" s="107" t="str">
        <f>HYPERLINK("https://www.ncbi.nlm.nih.gov/gene/7003", "7003")</f>
        <v>7003</v>
      </c>
      <c r="C827" s="109" t="str">
        <f>HYPERLINK("https://www.uniprot.org/uniprot/P28347", "P28347")</f>
        <v>P28347</v>
      </c>
      <c r="D827" s="43" t="s">
        <v>805</v>
      </c>
      <c r="E827" s="35" t="s">
        <v>805</v>
      </c>
      <c r="F827" s="30" t="s">
        <v>2592</v>
      </c>
      <c r="G827" s="30" t="s">
        <v>2593</v>
      </c>
      <c r="H827" s="30" t="s">
        <v>2594</v>
      </c>
      <c r="I827" s="47" t="s">
        <v>5434</v>
      </c>
      <c r="J827" s="73">
        <v>25369529</v>
      </c>
      <c r="K827" s="23" t="s">
        <v>4897</v>
      </c>
      <c r="L827" s="60" t="s">
        <v>3289</v>
      </c>
      <c r="M827" s="60" t="s">
        <v>3289</v>
      </c>
      <c r="N827" s="60" t="s">
        <v>3291</v>
      </c>
      <c r="O827" s="60"/>
      <c r="P827" s="60" t="s">
        <v>3323</v>
      </c>
      <c r="Q827" s="20">
        <v>1</v>
      </c>
    </row>
    <row r="828" spans="1:17" ht="32" x14ac:dyDescent="0.2">
      <c r="A828" s="71">
        <v>827</v>
      </c>
      <c r="B828" s="107" t="str">
        <f>HYPERLINK("https://www.ncbi.nlm.nih.gov/gene/7005", "7005")</f>
        <v>7005</v>
      </c>
      <c r="C828" s="109" t="s">
        <v>806</v>
      </c>
      <c r="D828" s="43" t="s">
        <v>807</v>
      </c>
      <c r="E828" s="35" t="s">
        <v>807</v>
      </c>
      <c r="F828" s="30" t="s">
        <v>2595</v>
      </c>
      <c r="G828" s="30" t="s">
        <v>2596</v>
      </c>
      <c r="H828" s="30" t="s">
        <v>4911</v>
      </c>
      <c r="I828" s="47" t="s">
        <v>5434</v>
      </c>
      <c r="J828" s="73">
        <v>25369529</v>
      </c>
      <c r="K828" s="23" t="s">
        <v>2597</v>
      </c>
      <c r="L828" s="60" t="s">
        <v>3289</v>
      </c>
      <c r="M828" s="60" t="s">
        <v>3289</v>
      </c>
      <c r="N828" s="60" t="s">
        <v>3291</v>
      </c>
      <c r="O828" s="60"/>
      <c r="P828" s="60" t="s">
        <v>3323</v>
      </c>
      <c r="Q828" s="20">
        <v>1</v>
      </c>
    </row>
    <row r="829" spans="1:17" ht="32" x14ac:dyDescent="0.2">
      <c r="A829" s="71">
        <v>828</v>
      </c>
      <c r="B829" s="107" t="str">
        <f>HYPERLINK("https://www.ncbi.nlm.nih.gov/gene/7004", "7004")</f>
        <v>7004</v>
      </c>
      <c r="C829" s="109" t="str">
        <f>HYPERLINK("https://www.uniprot.org/uniprot/Q15561", "Q15561")</f>
        <v>Q15561</v>
      </c>
      <c r="D829" s="43" t="s">
        <v>808</v>
      </c>
      <c r="E829" s="35" t="s">
        <v>808</v>
      </c>
      <c r="F829" s="30" t="s">
        <v>2598</v>
      </c>
      <c r="G829" s="30" t="s">
        <v>2599</v>
      </c>
      <c r="H829" s="30" t="s">
        <v>4911</v>
      </c>
      <c r="I829" s="47" t="s">
        <v>5434</v>
      </c>
      <c r="J829" s="73">
        <v>25369529</v>
      </c>
      <c r="K829" s="23" t="s">
        <v>2597</v>
      </c>
      <c r="L829" s="60" t="s">
        <v>3289</v>
      </c>
      <c r="M829" s="60" t="s">
        <v>3289</v>
      </c>
      <c r="N829" s="60" t="s">
        <v>3291</v>
      </c>
      <c r="O829" s="60"/>
      <c r="P829" s="60" t="s">
        <v>3323</v>
      </c>
      <c r="Q829" s="20">
        <v>1</v>
      </c>
    </row>
    <row r="830" spans="1:17" ht="128" x14ac:dyDescent="0.2">
      <c r="A830" s="71">
        <v>829</v>
      </c>
      <c r="B830" s="107" t="str">
        <f>HYPERLINK("https://www.ncbi.nlm.nih.gov/gene/7015", "7015")</f>
        <v>7015</v>
      </c>
      <c r="C830" s="109" t="str">
        <f>HYPERLINK("https://www.uniprot.org/uniprot/O14746", "O14746")</f>
        <v>O14746</v>
      </c>
      <c r="D830" s="43" t="s">
        <v>809</v>
      </c>
      <c r="E830" s="16" t="s">
        <v>809</v>
      </c>
      <c r="F830" s="28" t="s">
        <v>2600</v>
      </c>
      <c r="G830" s="28" t="s">
        <v>2601</v>
      </c>
      <c r="H830" s="28" t="s">
        <v>4912</v>
      </c>
      <c r="I830" s="31" t="s">
        <v>5435</v>
      </c>
      <c r="J830" s="73" t="s">
        <v>3242</v>
      </c>
      <c r="K830" s="23" t="s">
        <v>4800</v>
      </c>
      <c r="L830" s="60" t="s">
        <v>3289</v>
      </c>
      <c r="M830" s="60" t="s">
        <v>3289</v>
      </c>
      <c r="N830" s="60" t="s">
        <v>3319</v>
      </c>
      <c r="O830" s="60"/>
      <c r="P830" s="60" t="s">
        <v>5493</v>
      </c>
      <c r="Q830" s="20">
        <v>4</v>
      </c>
    </row>
    <row r="831" spans="1:17" ht="128" x14ac:dyDescent="0.2">
      <c r="A831" s="71">
        <v>830</v>
      </c>
      <c r="B831" s="107" t="str">
        <f>HYPERLINK("https://www.ncbi.nlm.nih.gov/gene/80312", "80312")</f>
        <v>80312</v>
      </c>
      <c r="C831" s="109" t="str">
        <f>HYPERLINK("https://www.uniprot.org/uniprot/Q8NFU7", "Q8NFU7")</f>
        <v>Q8NFU7</v>
      </c>
      <c r="D831" s="43" t="s">
        <v>810</v>
      </c>
      <c r="E831" s="35" t="s">
        <v>810</v>
      </c>
      <c r="F831" s="30" t="s">
        <v>2602</v>
      </c>
      <c r="G831" s="30" t="s">
        <v>2603</v>
      </c>
      <c r="H831" s="30" t="s">
        <v>4913</v>
      </c>
      <c r="I831" s="47" t="s">
        <v>5436</v>
      </c>
      <c r="J831" s="73" t="s">
        <v>3371</v>
      </c>
      <c r="K831" s="23" t="s">
        <v>4801</v>
      </c>
      <c r="L831" s="60" t="s">
        <v>3289</v>
      </c>
      <c r="M831" s="60" t="s">
        <v>3289</v>
      </c>
      <c r="N831" s="60" t="s">
        <v>3291</v>
      </c>
      <c r="O831" s="60"/>
      <c r="P831" s="60" t="s">
        <v>5493</v>
      </c>
      <c r="Q831" s="20">
        <v>4</v>
      </c>
    </row>
    <row r="832" spans="1:17" ht="80" x14ac:dyDescent="0.2">
      <c r="A832" s="71">
        <v>831</v>
      </c>
      <c r="B832" s="107" t="str">
        <f>HYPERLINK("https://www.ncbi.nlm.nih.gov/gene/54790", "54790")</f>
        <v>54790</v>
      </c>
      <c r="C832" s="109" t="str">
        <f>HYPERLINK("https://www.uniprot.org/uniprot/Q6N021", "Q6N021")</f>
        <v>Q6N021</v>
      </c>
      <c r="D832" s="43" t="s">
        <v>811</v>
      </c>
      <c r="E832" s="35" t="s">
        <v>811</v>
      </c>
      <c r="F832" s="30"/>
      <c r="G832" s="30" t="s">
        <v>2605</v>
      </c>
      <c r="H832" s="30" t="s">
        <v>2604</v>
      </c>
      <c r="I832" s="47" t="s">
        <v>5437</v>
      </c>
      <c r="J832" s="73" t="s">
        <v>3372</v>
      </c>
      <c r="K832" s="23" t="s">
        <v>4802</v>
      </c>
      <c r="L832" s="60" t="s">
        <v>3292</v>
      </c>
      <c r="M832" s="60" t="s">
        <v>3290</v>
      </c>
      <c r="N832" s="60" t="s">
        <v>3291</v>
      </c>
      <c r="O832" s="60"/>
      <c r="P832" s="60" t="s">
        <v>3323</v>
      </c>
      <c r="Q832" s="20">
        <v>1</v>
      </c>
    </row>
    <row r="833" spans="1:17" ht="64" x14ac:dyDescent="0.2">
      <c r="A833" s="71">
        <v>832</v>
      </c>
      <c r="B833" s="107" t="str">
        <f>HYPERLINK("https://www.ncbi.nlm.nih.gov/gene/7019", "7019")</f>
        <v>7019</v>
      </c>
      <c r="C833" s="111" t="str">
        <f>HYPERLINK("https://www.uniprot.org/uniprot/Q00059", "Q00059")</f>
        <v>Q00059</v>
      </c>
      <c r="D833" s="43" t="s">
        <v>812</v>
      </c>
      <c r="E833" s="35" t="s">
        <v>812</v>
      </c>
      <c r="F833" s="30" t="s">
        <v>2606</v>
      </c>
      <c r="G833" s="30" t="s">
        <v>2607</v>
      </c>
      <c r="H833" s="30" t="s">
        <v>2608</v>
      </c>
      <c r="I833" s="47" t="s">
        <v>5438</v>
      </c>
      <c r="J833" s="73">
        <v>27779689</v>
      </c>
      <c r="K833" s="23" t="s">
        <v>4803</v>
      </c>
      <c r="L833" s="60" t="s">
        <v>3289</v>
      </c>
      <c r="M833" s="60" t="s">
        <v>3289</v>
      </c>
      <c r="N833" s="60" t="s">
        <v>3291</v>
      </c>
      <c r="O833" s="60"/>
      <c r="P833" s="60" t="s">
        <v>5492</v>
      </c>
      <c r="Q833" s="20">
        <v>4</v>
      </c>
    </row>
    <row r="834" spans="1:17" ht="64" x14ac:dyDescent="0.2">
      <c r="A834" s="71">
        <v>833</v>
      </c>
      <c r="B834" s="107" t="str">
        <f>HYPERLINK("https://www.ncbi.nlm.nih.gov/gene/7037", "7037")</f>
        <v>7037</v>
      </c>
      <c r="C834" s="109" t="str">
        <f>HYPERLINK("https://www.uniprot.org/uniprot/P02786", "P02786")</f>
        <v>P02786</v>
      </c>
      <c r="D834" s="43" t="s">
        <v>813</v>
      </c>
      <c r="E834" s="16" t="s">
        <v>813</v>
      </c>
      <c r="F834" s="28"/>
      <c r="G834" s="28" t="s">
        <v>2609</v>
      </c>
      <c r="H834" s="28" t="s">
        <v>2610</v>
      </c>
      <c r="I834" s="31" t="s">
        <v>5439</v>
      </c>
      <c r="J834" s="73" t="s">
        <v>3243</v>
      </c>
      <c r="K834" s="23" t="s">
        <v>4804</v>
      </c>
      <c r="L834" s="60" t="s">
        <v>3291</v>
      </c>
      <c r="M834" s="60" t="s">
        <v>3292</v>
      </c>
      <c r="N834" s="60" t="s">
        <v>3292</v>
      </c>
      <c r="O834" s="60"/>
      <c r="P834" s="60" t="s">
        <v>3323</v>
      </c>
      <c r="Q834" s="20">
        <v>1</v>
      </c>
    </row>
    <row r="835" spans="1:17" ht="112" x14ac:dyDescent="0.2">
      <c r="A835" s="71">
        <v>834</v>
      </c>
      <c r="B835" s="107" t="str">
        <f>HYPERLINK("https://www.ncbi.nlm.nih.gov/gene/7040", "7040")</f>
        <v>7040</v>
      </c>
      <c r="C835" s="109" t="str">
        <f>HYPERLINK("https://www.uniprot.org/uniprot/P01137", "P01137")</f>
        <v>P01137</v>
      </c>
      <c r="D835" s="43" t="s">
        <v>814</v>
      </c>
      <c r="E835" s="16" t="s">
        <v>814</v>
      </c>
      <c r="F835" s="28" t="s">
        <v>2611</v>
      </c>
      <c r="G835" s="28" t="s">
        <v>2612</v>
      </c>
      <c r="H835" s="28" t="s">
        <v>4914</v>
      </c>
      <c r="I835" s="31" t="s">
        <v>5440</v>
      </c>
      <c r="J835" s="73" t="s">
        <v>3669</v>
      </c>
      <c r="K835" s="23" t="s">
        <v>4805</v>
      </c>
      <c r="L835" s="60" t="s">
        <v>3289</v>
      </c>
      <c r="M835" s="60" t="s">
        <v>3290</v>
      </c>
      <c r="N835" s="60" t="s">
        <v>3289</v>
      </c>
      <c r="O835" s="60"/>
      <c r="P835" s="60" t="s">
        <v>5494</v>
      </c>
      <c r="Q835" s="20">
        <v>5</v>
      </c>
    </row>
    <row r="836" spans="1:17" ht="112" x14ac:dyDescent="0.2">
      <c r="A836" s="71">
        <v>835</v>
      </c>
      <c r="B836" s="107" t="str">
        <f>HYPERLINK("https://www.ncbi.nlm.nih.gov/gene/7042", "7042")</f>
        <v>7042</v>
      </c>
      <c r="C836" s="109" t="str">
        <f>HYPERLINK("https://www.uniprot.org/uniprot/P61812", "P61812")</f>
        <v>P61812</v>
      </c>
      <c r="D836" s="43" t="s">
        <v>815</v>
      </c>
      <c r="E836" s="16" t="s">
        <v>815</v>
      </c>
      <c r="F836" s="28"/>
      <c r="G836" s="28" t="s">
        <v>2613</v>
      </c>
      <c r="H836" s="28" t="s">
        <v>2614</v>
      </c>
      <c r="I836" s="31" t="s">
        <v>5440</v>
      </c>
      <c r="J836" s="73" t="s">
        <v>3670</v>
      </c>
      <c r="K836" s="23" t="s">
        <v>4806</v>
      </c>
      <c r="L836" s="60" t="s">
        <v>3289</v>
      </c>
      <c r="M836" s="60" t="s">
        <v>3289</v>
      </c>
      <c r="N836" s="60" t="s">
        <v>3289</v>
      </c>
      <c r="O836" s="60"/>
      <c r="P836" s="60" t="s">
        <v>3323</v>
      </c>
      <c r="Q836" s="20">
        <v>1</v>
      </c>
    </row>
    <row r="837" spans="1:17" ht="112" x14ac:dyDescent="0.2">
      <c r="A837" s="71">
        <v>836</v>
      </c>
      <c r="B837" s="107" t="str">
        <f>HYPERLINK("https://www.ncbi.nlm.nih.gov/gene/7043", "7043")</f>
        <v>7043</v>
      </c>
      <c r="C837" s="109" t="str">
        <f>HYPERLINK("https://www.uniprot.org/uniprot/P10600", "P10600")</f>
        <v>P10600</v>
      </c>
      <c r="D837" s="43" t="s">
        <v>816</v>
      </c>
      <c r="E837" s="16" t="s">
        <v>816</v>
      </c>
      <c r="F837" s="28"/>
      <c r="G837" s="28" t="s">
        <v>5064</v>
      </c>
      <c r="H837" s="28" t="s">
        <v>2615</v>
      </c>
      <c r="I837" s="31" t="s">
        <v>5440</v>
      </c>
      <c r="J837" s="73">
        <v>31436806</v>
      </c>
      <c r="K837" s="52" t="s">
        <v>4807</v>
      </c>
      <c r="L837" s="60" t="s">
        <v>3289</v>
      </c>
      <c r="M837" s="60" t="s">
        <v>3289</v>
      </c>
      <c r="N837" s="60" t="s">
        <v>3289</v>
      </c>
      <c r="O837" s="60"/>
      <c r="P837" s="60" t="s">
        <v>5493</v>
      </c>
      <c r="Q837" s="20">
        <v>4</v>
      </c>
    </row>
    <row r="838" spans="1:17" ht="80" x14ac:dyDescent="0.2">
      <c r="A838" s="71">
        <v>837</v>
      </c>
      <c r="B838" s="107" t="str">
        <f>HYPERLINK("https://www.ncbi.nlm.nih.gov/gene/7045", "7045")</f>
        <v>7045</v>
      </c>
      <c r="C838" s="109" t="str">
        <f>HYPERLINK("https://www.uniprot.org/uniprot/Q15582", "Q15582")</f>
        <v>Q15582</v>
      </c>
      <c r="D838" s="43" t="s">
        <v>817</v>
      </c>
      <c r="E838" s="16" t="s">
        <v>817</v>
      </c>
      <c r="F838" s="28" t="s">
        <v>2616</v>
      </c>
      <c r="G838" s="28" t="s">
        <v>2617</v>
      </c>
      <c r="H838" s="28" t="s">
        <v>2618</v>
      </c>
      <c r="I838" s="31" t="s">
        <v>5441</v>
      </c>
      <c r="J838" s="73">
        <v>29795279</v>
      </c>
      <c r="K838" s="28" t="s">
        <v>4808</v>
      </c>
      <c r="L838" s="60" t="s">
        <v>3292</v>
      </c>
      <c r="M838" s="60" t="s">
        <v>3292</v>
      </c>
      <c r="N838" s="60" t="s">
        <v>3291</v>
      </c>
      <c r="O838" s="60"/>
      <c r="P838" s="60" t="s">
        <v>5493</v>
      </c>
      <c r="Q838" s="20">
        <v>4</v>
      </c>
    </row>
    <row r="839" spans="1:17" ht="80" x14ac:dyDescent="0.2">
      <c r="A839" s="71">
        <v>838</v>
      </c>
      <c r="B839" s="107" t="str">
        <f>HYPERLINK("https://www.ncbi.nlm.nih.gov/gene/7046", "7046")</f>
        <v>7046</v>
      </c>
      <c r="C839" s="109" t="str">
        <f>HYPERLINK("https://www.uniprot.org/uniprot/P36897", "P36897")</f>
        <v>P36897</v>
      </c>
      <c r="D839" s="43" t="s">
        <v>818</v>
      </c>
      <c r="E839" s="16" t="s">
        <v>818</v>
      </c>
      <c r="F839" s="28" t="s">
        <v>2619</v>
      </c>
      <c r="G839" s="28" t="s">
        <v>2620</v>
      </c>
      <c r="H839" s="28" t="s">
        <v>2621</v>
      </c>
      <c r="I839" s="31" t="s">
        <v>5440</v>
      </c>
      <c r="J839" s="73">
        <v>26191185</v>
      </c>
      <c r="K839" s="52" t="s">
        <v>4809</v>
      </c>
      <c r="L839" s="60" t="s">
        <v>3291</v>
      </c>
      <c r="M839" s="60" t="s">
        <v>3289</v>
      </c>
      <c r="N839" s="60" t="s">
        <v>3291</v>
      </c>
      <c r="O839" s="60"/>
      <c r="P839" s="60" t="s">
        <v>3323</v>
      </c>
      <c r="Q839" s="20">
        <v>1</v>
      </c>
    </row>
    <row r="840" spans="1:17" ht="80" x14ac:dyDescent="0.2">
      <c r="A840" s="71">
        <v>839</v>
      </c>
      <c r="B840" s="107" t="str">
        <f>HYPERLINK("https://www.ncbi.nlm.nih.gov/gene/7048", "7048")</f>
        <v>7048</v>
      </c>
      <c r="C840" s="109" t="str">
        <f>HYPERLINK("https://www.uniprot.org/uniprot/P37173", "P37173")</f>
        <v>P37173</v>
      </c>
      <c r="D840" s="43" t="s">
        <v>819</v>
      </c>
      <c r="E840" s="16" t="s">
        <v>819</v>
      </c>
      <c r="F840" s="28"/>
      <c r="G840" s="28" t="s">
        <v>2622</v>
      </c>
      <c r="H840" s="28" t="s">
        <v>2621</v>
      </c>
      <c r="I840" s="31" t="s">
        <v>5440</v>
      </c>
      <c r="J840" s="73" t="s">
        <v>3244</v>
      </c>
      <c r="K840" s="52" t="s">
        <v>4810</v>
      </c>
      <c r="L840" s="60" t="s">
        <v>3291</v>
      </c>
      <c r="M840" s="60" t="s">
        <v>3289</v>
      </c>
      <c r="N840" s="60" t="s">
        <v>3291</v>
      </c>
      <c r="O840" s="60"/>
      <c r="P840" s="60" t="s">
        <v>3323</v>
      </c>
      <c r="Q840" s="20">
        <v>1</v>
      </c>
    </row>
    <row r="841" spans="1:17" ht="96" x14ac:dyDescent="0.2">
      <c r="A841" s="71">
        <v>840</v>
      </c>
      <c r="B841" s="107" t="str">
        <f>HYPERLINK("https://www.ncbi.nlm.nih.gov/gene/7052", "7052")</f>
        <v>7052</v>
      </c>
      <c r="C841" s="109" t="str">
        <f>HYPERLINK("https://www.uniprot.org/uniprot/P21980", "P21980")</f>
        <v>P21980</v>
      </c>
      <c r="D841" s="43" t="s">
        <v>820</v>
      </c>
      <c r="E841" s="35" t="s">
        <v>820</v>
      </c>
      <c r="F841" s="30" t="s">
        <v>2623</v>
      </c>
      <c r="G841" s="30" t="s">
        <v>2624</v>
      </c>
      <c r="H841" s="30" t="s">
        <v>2625</v>
      </c>
      <c r="I841" s="47" t="s">
        <v>5442</v>
      </c>
      <c r="J841" s="73" t="s">
        <v>3245</v>
      </c>
      <c r="K841" s="23" t="s">
        <v>4811</v>
      </c>
      <c r="L841" s="60" t="s">
        <v>3289</v>
      </c>
      <c r="M841" s="60" t="s">
        <v>3289</v>
      </c>
      <c r="N841" s="60" t="s">
        <v>3291</v>
      </c>
      <c r="O841" s="60"/>
      <c r="P841" s="60" t="s">
        <v>3323</v>
      </c>
      <c r="Q841" s="20">
        <v>1</v>
      </c>
    </row>
    <row r="842" spans="1:17" ht="160" x14ac:dyDescent="0.2">
      <c r="A842" s="71">
        <v>841</v>
      </c>
      <c r="B842" s="107" t="str">
        <f>HYPERLINK("https://www.ncbi.nlm.nih.gov/gene/7053", "7053")</f>
        <v>7053</v>
      </c>
      <c r="C842" s="109" t="str">
        <f>HYPERLINK("https://www.uniprot.org/uniprot/Q08188", "Q08188")</f>
        <v>Q08188</v>
      </c>
      <c r="D842" s="43" t="s">
        <v>821</v>
      </c>
      <c r="E842" s="34" t="s">
        <v>821</v>
      </c>
      <c r="F842" s="30"/>
      <c r="G842" s="30" t="s">
        <v>2626</v>
      </c>
      <c r="H842" s="30" t="s">
        <v>2627</v>
      </c>
      <c r="I842" s="47" t="s">
        <v>2829</v>
      </c>
      <c r="J842" s="73">
        <v>29953521</v>
      </c>
      <c r="K842" s="23" t="s">
        <v>4812</v>
      </c>
      <c r="L842" s="60" t="s">
        <v>3292</v>
      </c>
      <c r="M842" s="60" t="s">
        <v>3292</v>
      </c>
      <c r="N842" s="60" t="s">
        <v>3291</v>
      </c>
      <c r="O842" s="60"/>
      <c r="P842" s="60" t="s">
        <v>5498</v>
      </c>
      <c r="Q842" s="20">
        <v>3</v>
      </c>
    </row>
    <row r="843" spans="1:17" ht="96" x14ac:dyDescent="0.2">
      <c r="A843" s="71">
        <v>842</v>
      </c>
      <c r="B843" s="107" t="str">
        <f>HYPERLINK("https://www.ncbi.nlm.nih.gov/gene/7057", "7057")</f>
        <v>7057</v>
      </c>
      <c r="C843" s="109" t="str">
        <f>HYPERLINK("https://www.uniprot.org/uniprot/P07996", "P07996")</f>
        <v>P07996</v>
      </c>
      <c r="D843" s="43" t="s">
        <v>822</v>
      </c>
      <c r="E843" s="35" t="s">
        <v>822</v>
      </c>
      <c r="F843" s="30" t="s">
        <v>2628</v>
      </c>
      <c r="G843" s="30" t="s">
        <v>2629</v>
      </c>
      <c r="H843" s="30" t="s">
        <v>2630</v>
      </c>
      <c r="I843" s="47" t="s">
        <v>5443</v>
      </c>
      <c r="J843" s="73" t="s">
        <v>3246</v>
      </c>
      <c r="K843" s="23" t="s">
        <v>4813</v>
      </c>
      <c r="L843" s="60" t="s">
        <v>3292</v>
      </c>
      <c r="M843" s="60" t="s">
        <v>3292</v>
      </c>
      <c r="N843" s="60" t="s">
        <v>3289</v>
      </c>
      <c r="O843" s="60"/>
      <c r="P843" s="60" t="s">
        <v>5493</v>
      </c>
      <c r="Q843" s="20">
        <v>4</v>
      </c>
    </row>
    <row r="844" spans="1:17" ht="64" x14ac:dyDescent="0.2">
      <c r="A844" s="71">
        <v>843</v>
      </c>
      <c r="B844" s="107" t="str">
        <f>HYPERLINK("https://www.ncbi.nlm.nih.gov/gene/7075", "7075")</f>
        <v>7075</v>
      </c>
      <c r="C844" s="109" t="str">
        <f>HYPERLINK("https://www.uniprot.org/uniprot/P35590", "P35590")</f>
        <v>P35590</v>
      </c>
      <c r="D844" s="43" t="s">
        <v>823</v>
      </c>
      <c r="E844" s="35" t="s">
        <v>823</v>
      </c>
      <c r="F844" s="30" t="s">
        <v>2631</v>
      </c>
      <c r="G844" s="30" t="s">
        <v>2632</v>
      </c>
      <c r="H844" s="30" t="s">
        <v>2633</v>
      </c>
      <c r="I844" s="47" t="s">
        <v>3334</v>
      </c>
      <c r="J844" s="73">
        <v>30181600</v>
      </c>
      <c r="K844" s="23" t="s">
        <v>4814</v>
      </c>
      <c r="L844" s="60" t="s">
        <v>3289</v>
      </c>
      <c r="M844" s="60" t="s">
        <v>3289</v>
      </c>
      <c r="N844" s="60" t="s">
        <v>3291</v>
      </c>
      <c r="O844" s="60"/>
      <c r="P844" s="60" t="s">
        <v>5493</v>
      </c>
      <c r="Q844" s="20">
        <v>4</v>
      </c>
    </row>
    <row r="845" spans="1:17" ht="112" x14ac:dyDescent="0.2">
      <c r="A845" s="71">
        <v>844</v>
      </c>
      <c r="B845" s="107" t="str">
        <f>HYPERLINK("https://www.ncbi.nlm.nih.gov/gene/57103", "57103")</f>
        <v>57103</v>
      </c>
      <c r="C845" s="109" t="str">
        <f>HYPERLINK("https://www.uniprot.org/uniprot/Q9NQ88", "Q9NQ88")</f>
        <v>Q9NQ88</v>
      </c>
      <c r="D845" s="43" t="s">
        <v>824</v>
      </c>
      <c r="E845" s="35" t="s">
        <v>824</v>
      </c>
      <c r="F845" s="30" t="s">
        <v>2634</v>
      </c>
      <c r="G845" s="30" t="s">
        <v>2635</v>
      </c>
      <c r="H845" s="30" t="s">
        <v>4915</v>
      </c>
      <c r="I845" s="47" t="s">
        <v>5444</v>
      </c>
      <c r="J845" s="73" t="s">
        <v>3247</v>
      </c>
      <c r="K845" s="23" t="s">
        <v>4815</v>
      </c>
      <c r="L845" s="60" t="s">
        <v>3291</v>
      </c>
      <c r="M845" s="60" t="s">
        <v>3289</v>
      </c>
      <c r="N845" s="60" t="s">
        <v>3289</v>
      </c>
      <c r="O845" s="60"/>
      <c r="P845" s="60" t="s">
        <v>3323</v>
      </c>
      <c r="Q845" s="20">
        <v>1</v>
      </c>
    </row>
    <row r="846" spans="1:17" ht="80" x14ac:dyDescent="0.2">
      <c r="A846" s="71">
        <v>845</v>
      </c>
      <c r="B846" s="107" t="str">
        <f>HYPERLINK("https://www.ncbi.nlm.nih.gov/gene/8914", "8914")</f>
        <v>8914</v>
      </c>
      <c r="C846" s="109" t="str">
        <f>HYPERLINK("https://www.uniprot.org/uniprot/Q9UNS1", "Q9UNS1")</f>
        <v>Q9UNS1</v>
      </c>
      <c r="D846" s="43" t="s">
        <v>825</v>
      </c>
      <c r="E846" s="16" t="s">
        <v>825</v>
      </c>
      <c r="F846" s="28" t="s">
        <v>2636</v>
      </c>
      <c r="G846" s="28" t="s">
        <v>5047</v>
      </c>
      <c r="H846" s="28" t="s">
        <v>2637</v>
      </c>
      <c r="I846" s="31" t="s">
        <v>5445</v>
      </c>
      <c r="J846" s="73">
        <v>28583847</v>
      </c>
      <c r="K846" s="23" t="s">
        <v>4816</v>
      </c>
      <c r="L846" s="60" t="s">
        <v>3289</v>
      </c>
      <c r="M846" s="60" t="s">
        <v>3289</v>
      </c>
      <c r="N846" s="60" t="s">
        <v>3291</v>
      </c>
      <c r="O846" s="60"/>
      <c r="P846" s="60" t="s">
        <v>5495</v>
      </c>
      <c r="Q846" s="20">
        <v>2</v>
      </c>
    </row>
    <row r="847" spans="1:17" ht="144" x14ac:dyDescent="0.2">
      <c r="A847" s="71">
        <v>846</v>
      </c>
      <c r="B847" s="107" t="str">
        <f>HYPERLINK("https://www.ncbi.nlm.nih.gov/gene/7077", "7077")</f>
        <v>7077</v>
      </c>
      <c r="C847" s="109" t="str">
        <f>HYPERLINK("https://www.uniprot.org/uniprot/P16035", "P16035")</f>
        <v>P16035</v>
      </c>
      <c r="D847" s="43" t="s">
        <v>826</v>
      </c>
      <c r="E847" s="16" t="s">
        <v>826</v>
      </c>
      <c r="F847" s="28"/>
      <c r="G847" s="28" t="s">
        <v>3608</v>
      </c>
      <c r="H847" s="28" t="s">
        <v>3609</v>
      </c>
      <c r="I847" s="31" t="s">
        <v>2830</v>
      </c>
      <c r="J847" s="73" t="s">
        <v>3248</v>
      </c>
      <c r="K847" s="30" t="s">
        <v>4817</v>
      </c>
      <c r="L847" s="60" t="s">
        <v>3292</v>
      </c>
      <c r="M847" s="60" t="s">
        <v>3292</v>
      </c>
      <c r="N847" s="60" t="s">
        <v>3291</v>
      </c>
      <c r="O847" s="60"/>
      <c r="P847" s="60" t="s">
        <v>5493</v>
      </c>
      <c r="Q847" s="20">
        <v>4</v>
      </c>
    </row>
    <row r="848" spans="1:17" ht="48" x14ac:dyDescent="0.2">
      <c r="A848" s="71">
        <v>847</v>
      </c>
      <c r="B848" s="107" t="str">
        <f>HYPERLINK("https://www.ncbi.nlm.nih.gov/gene/7078", "7078")</f>
        <v>7078</v>
      </c>
      <c r="C848" s="109" t="str">
        <f>HYPERLINK("https://www.uniprot.org/uniprot/P35625", "P35625")</f>
        <v>P35625</v>
      </c>
      <c r="D848" s="43" t="s">
        <v>827</v>
      </c>
      <c r="E848" s="16" t="s">
        <v>827</v>
      </c>
      <c r="F848" s="28"/>
      <c r="G848" s="28" t="s">
        <v>2638</v>
      </c>
      <c r="H848" s="28" t="s">
        <v>4916</v>
      </c>
      <c r="I848" s="31" t="s">
        <v>2830</v>
      </c>
      <c r="J848" s="73">
        <v>29731768</v>
      </c>
      <c r="K848" s="30" t="s">
        <v>4818</v>
      </c>
      <c r="L848" s="60" t="s">
        <v>3292</v>
      </c>
      <c r="M848" s="60" t="s">
        <v>3292</v>
      </c>
      <c r="N848" s="61" t="s">
        <v>3291</v>
      </c>
      <c r="O848" s="61"/>
      <c r="P848" s="61" t="s">
        <v>5499</v>
      </c>
      <c r="Q848" s="65">
        <v>5</v>
      </c>
    </row>
    <row r="849" spans="1:17" ht="80" x14ac:dyDescent="0.2">
      <c r="A849" s="71">
        <v>848</v>
      </c>
      <c r="B849" s="107" t="str">
        <f>HYPERLINK("https://www.ncbi.nlm.nih.gov/gene/9874", "9874")</f>
        <v>9874</v>
      </c>
      <c r="C849" s="109" t="str">
        <f>HYPERLINK("https://www.uniprot.org/uniprot/Q9UKI8", "Q9UKI8")</f>
        <v>Q9UKI8</v>
      </c>
      <c r="D849" s="43" t="s">
        <v>828</v>
      </c>
      <c r="E849" s="16" t="s">
        <v>828</v>
      </c>
      <c r="F849" s="28"/>
      <c r="G849" s="28" t="s">
        <v>2639</v>
      </c>
      <c r="H849" s="28" t="s">
        <v>4917</v>
      </c>
      <c r="I849" s="31" t="s">
        <v>2826</v>
      </c>
      <c r="J849" s="73">
        <v>20381954</v>
      </c>
      <c r="K849" s="23" t="s">
        <v>4819</v>
      </c>
      <c r="L849" s="60" t="s">
        <v>3291</v>
      </c>
      <c r="M849" s="60" t="s">
        <v>3289</v>
      </c>
      <c r="N849" s="60" t="s">
        <v>3292</v>
      </c>
      <c r="O849" s="60"/>
      <c r="P849" s="60" t="s">
        <v>3323</v>
      </c>
      <c r="Q849" s="20">
        <v>1</v>
      </c>
    </row>
    <row r="850" spans="1:17" ht="96" x14ac:dyDescent="0.2">
      <c r="A850" s="71">
        <v>849</v>
      </c>
      <c r="B850" s="107" t="str">
        <f>HYPERLINK("https://www.ncbi.nlm.nih.gov/gene/7099", "7099")</f>
        <v>7099</v>
      </c>
      <c r="C850" s="109" t="str">
        <f>HYPERLINK("https://www.uniprot.org/uniprot/O00206", "O00206")</f>
        <v>O00206</v>
      </c>
      <c r="D850" s="43" t="s">
        <v>829</v>
      </c>
      <c r="E850" s="16" t="s">
        <v>829</v>
      </c>
      <c r="F850" s="28"/>
      <c r="G850" s="28" t="s">
        <v>2640</v>
      </c>
      <c r="H850" s="28" t="s">
        <v>2641</v>
      </c>
      <c r="I850" s="31" t="s">
        <v>5156</v>
      </c>
      <c r="J850" s="73" t="s">
        <v>3249</v>
      </c>
      <c r="K850" s="30" t="s">
        <v>4820</v>
      </c>
      <c r="L850" s="60" t="s">
        <v>3291</v>
      </c>
      <c r="M850" s="60" t="s">
        <v>3292</v>
      </c>
      <c r="N850" s="60" t="s">
        <v>3289</v>
      </c>
      <c r="O850" s="60"/>
      <c r="P850" s="60" t="s">
        <v>5495</v>
      </c>
      <c r="Q850" s="20">
        <v>2</v>
      </c>
    </row>
    <row r="851" spans="1:17" ht="80" x14ac:dyDescent="0.2">
      <c r="A851" s="71">
        <v>850</v>
      </c>
      <c r="B851" s="107" t="str">
        <f>HYPERLINK("https://www.ncbi.nlm.nih.gov/gene/30012", "30012")</f>
        <v>30012</v>
      </c>
      <c r="C851" s="109" t="str">
        <f>HYPERLINK("https://www.uniprot.org/uniprot/O43711", "O43711")</f>
        <v>O43711</v>
      </c>
      <c r="D851" s="43" t="s">
        <v>830</v>
      </c>
      <c r="E851" s="16" t="s">
        <v>830</v>
      </c>
      <c r="F851" s="28" t="s">
        <v>2642</v>
      </c>
      <c r="G851" s="28" t="s">
        <v>2643</v>
      </c>
      <c r="H851" s="28" t="s">
        <v>4918</v>
      </c>
      <c r="I851" s="31" t="s">
        <v>5446</v>
      </c>
      <c r="J851" s="73">
        <v>21617853</v>
      </c>
      <c r="K851" s="30" t="s">
        <v>4821</v>
      </c>
      <c r="L851" s="60" t="s">
        <v>3292</v>
      </c>
      <c r="M851" s="60" t="s">
        <v>3292</v>
      </c>
      <c r="N851" s="60" t="s">
        <v>3291</v>
      </c>
      <c r="O851" s="60"/>
      <c r="P851" s="60" t="s">
        <v>5492</v>
      </c>
      <c r="Q851" s="20">
        <v>4</v>
      </c>
    </row>
    <row r="852" spans="1:17" ht="128" x14ac:dyDescent="0.2">
      <c r="A852" s="71">
        <v>851</v>
      </c>
      <c r="B852" s="107" t="str">
        <f>HYPERLINK("https://www.ncbi.nlm.nih.gov/gene/374882", "374882")</f>
        <v>374882</v>
      </c>
      <c r="C852" s="109" t="str">
        <f>HYPERLINK("https://www.uniprot.org/uniprot/Q6UW68", "Q6UW68")</f>
        <v>Q6UW68</v>
      </c>
      <c r="D852" s="43" t="s">
        <v>831</v>
      </c>
      <c r="E852" s="16" t="s">
        <v>831</v>
      </c>
      <c r="F852" s="28" t="s">
        <v>2644</v>
      </c>
      <c r="G852" s="28" t="s">
        <v>2645</v>
      </c>
      <c r="H852" s="28" t="s">
        <v>2646</v>
      </c>
      <c r="I852" s="31" t="s">
        <v>3843</v>
      </c>
      <c r="J852" s="73" t="s">
        <v>3250</v>
      </c>
      <c r="K852" s="23" t="s">
        <v>4822</v>
      </c>
      <c r="L852" s="60" t="s">
        <v>3289</v>
      </c>
      <c r="M852" s="60" t="s">
        <v>3289</v>
      </c>
      <c r="N852" s="105" t="s">
        <v>3319</v>
      </c>
      <c r="O852" s="105"/>
      <c r="P852" s="105" t="s">
        <v>3323</v>
      </c>
      <c r="Q852" s="20">
        <v>1</v>
      </c>
    </row>
    <row r="853" spans="1:17" ht="112" x14ac:dyDescent="0.2">
      <c r="A853" s="71">
        <v>852</v>
      </c>
      <c r="B853" s="107" t="str">
        <f>HYPERLINK("https://www.ncbi.nlm.nih.gov/gene/92162", "92162")</f>
        <v>92162</v>
      </c>
      <c r="C853" s="109" t="str">
        <f>HYPERLINK("https://www.uniprot.org/uniprot/Q6PEY1", "Q6PEY1")</f>
        <v>Q6PEY1</v>
      </c>
      <c r="D853" s="43" t="s">
        <v>832</v>
      </c>
      <c r="E853" s="35" t="s">
        <v>832</v>
      </c>
      <c r="F853" s="30" t="s">
        <v>2647</v>
      </c>
      <c r="G853" s="30" t="s">
        <v>2648</v>
      </c>
      <c r="H853" s="30" t="s">
        <v>2649</v>
      </c>
      <c r="I853" s="47" t="s">
        <v>2831</v>
      </c>
      <c r="J853" s="73">
        <v>27374141</v>
      </c>
      <c r="K853" s="23" t="s">
        <v>4823</v>
      </c>
      <c r="L853" s="60" t="s">
        <v>3289</v>
      </c>
      <c r="M853" s="60" t="s">
        <v>3289</v>
      </c>
      <c r="N853" s="60" t="s">
        <v>3291</v>
      </c>
      <c r="O853" s="60"/>
      <c r="P853" s="60" t="s">
        <v>5495</v>
      </c>
      <c r="Q853" s="20">
        <v>2</v>
      </c>
    </row>
    <row r="854" spans="1:17" ht="80" x14ac:dyDescent="0.2">
      <c r="A854" s="71">
        <v>853</v>
      </c>
      <c r="B854" s="107" t="str">
        <f>HYPERLINK("https://www.ncbi.nlm.nih.gov/gene/27346", "27346")</f>
        <v>27346</v>
      </c>
      <c r="C854" s="110" t="str">
        <f>HYPERLINK("https://www.uniprot.org/uniprot/Q5BJF2", "Q5BJF2")</f>
        <v>Q5BJF2</v>
      </c>
      <c r="D854" s="43" t="s">
        <v>833</v>
      </c>
      <c r="E854" s="35" t="s">
        <v>833</v>
      </c>
      <c r="F854" s="30" t="s">
        <v>2650</v>
      </c>
      <c r="G854" s="30" t="s">
        <v>2651</v>
      </c>
      <c r="H854" s="30" t="s">
        <v>2652</v>
      </c>
      <c r="I854" s="47" t="s">
        <v>5447</v>
      </c>
      <c r="J854" s="73" t="s">
        <v>3251</v>
      </c>
      <c r="K854" s="23" t="s">
        <v>4824</v>
      </c>
      <c r="L854" s="60" t="s">
        <v>3289</v>
      </c>
      <c r="M854" s="60" t="s">
        <v>3289</v>
      </c>
      <c r="N854" s="105" t="s">
        <v>3291</v>
      </c>
      <c r="O854" s="105"/>
      <c r="P854" s="105" t="s">
        <v>5497</v>
      </c>
      <c r="Q854" s="20">
        <v>3</v>
      </c>
    </row>
    <row r="855" spans="1:17" ht="112" x14ac:dyDescent="0.2">
      <c r="A855" s="71">
        <v>854</v>
      </c>
      <c r="B855" s="107" t="str">
        <f>HYPERLINK("https://www.ncbi.nlm.nih.gov/gene/26022", "26022")</f>
        <v>26022</v>
      </c>
      <c r="C855" s="109" t="str">
        <f>HYPERLINK("https://www.uniprot.org/uniprot/Q9Y2Y6", "Q9Y2Y6")</f>
        <v>Q9Y2Y6</v>
      </c>
      <c r="D855" s="43" t="s">
        <v>834</v>
      </c>
      <c r="E855" s="35" t="s">
        <v>834</v>
      </c>
      <c r="F855" s="30" t="s">
        <v>2653</v>
      </c>
      <c r="G855" s="30" t="s">
        <v>2654</v>
      </c>
      <c r="H855" s="30" t="s">
        <v>2655</v>
      </c>
      <c r="I855" s="47" t="s">
        <v>2847</v>
      </c>
      <c r="J855" s="73">
        <v>24608572</v>
      </c>
      <c r="K855" s="23" t="s">
        <v>4825</v>
      </c>
      <c r="L855" s="60" t="s">
        <v>3289</v>
      </c>
      <c r="M855" s="60" t="s">
        <v>3289</v>
      </c>
      <c r="N855" s="105" t="s">
        <v>3291</v>
      </c>
      <c r="O855" s="105"/>
      <c r="P855" s="105" t="s">
        <v>5494</v>
      </c>
      <c r="Q855" s="20">
        <v>5</v>
      </c>
    </row>
    <row r="856" spans="1:17" ht="128" x14ac:dyDescent="0.2">
      <c r="A856" s="71">
        <v>855</v>
      </c>
      <c r="B856" s="107" t="str">
        <f>HYPERLINK("https://www.ncbi.nlm.nih.gov/gene/7124", "7124")</f>
        <v>7124</v>
      </c>
      <c r="C856" s="109" t="str">
        <f>HYPERLINK("https://www.uniprot.org/uniprot/P01375", "P01375")</f>
        <v>P01375</v>
      </c>
      <c r="D856" s="43" t="s">
        <v>835</v>
      </c>
      <c r="E856" s="16" t="s">
        <v>835</v>
      </c>
      <c r="F856" s="28" t="s">
        <v>2656</v>
      </c>
      <c r="G856" s="28" t="s">
        <v>5048</v>
      </c>
      <c r="H856" s="28" t="s">
        <v>2657</v>
      </c>
      <c r="I856" s="31" t="s">
        <v>5448</v>
      </c>
      <c r="J856" s="73" t="s">
        <v>3650</v>
      </c>
      <c r="K856" s="23" t="s">
        <v>4898</v>
      </c>
      <c r="L856" s="60" t="s">
        <v>3289</v>
      </c>
      <c r="M856" s="60" t="s">
        <v>3290</v>
      </c>
      <c r="N856" s="60" t="s">
        <v>3289</v>
      </c>
      <c r="O856" s="60" t="s">
        <v>5509</v>
      </c>
      <c r="P856" s="60" t="s">
        <v>3323</v>
      </c>
      <c r="Q856" s="20">
        <v>1</v>
      </c>
    </row>
    <row r="857" spans="1:17" ht="192" x14ac:dyDescent="0.2">
      <c r="A857" s="71">
        <v>856</v>
      </c>
      <c r="B857" s="107" t="str">
        <f>HYPERLINK("https://www.ncbi.nlm.nih.gov/gene/25816", "25816")</f>
        <v>25816</v>
      </c>
      <c r="C857" s="109" t="str">
        <f>HYPERLINK("https://www.uniprot.org/uniprot/O95379", "O95379")</f>
        <v>O95379</v>
      </c>
      <c r="D857" s="43" t="s">
        <v>836</v>
      </c>
      <c r="E857" s="35" t="s">
        <v>836</v>
      </c>
      <c r="F857" s="30"/>
      <c r="G857" s="30" t="s">
        <v>2658</v>
      </c>
      <c r="H857" s="30" t="s">
        <v>2659</v>
      </c>
      <c r="I857" s="47" t="s">
        <v>5449</v>
      </c>
      <c r="J857" s="73" t="s">
        <v>3252</v>
      </c>
      <c r="K857" s="23" t="s">
        <v>4826</v>
      </c>
      <c r="L857" s="60" t="s">
        <v>3289</v>
      </c>
      <c r="M857" s="60" t="s">
        <v>3289</v>
      </c>
      <c r="N857" s="60" t="s">
        <v>3291</v>
      </c>
      <c r="O857" s="60"/>
      <c r="P857" s="60" t="s">
        <v>5497</v>
      </c>
      <c r="Q857" s="20">
        <v>4</v>
      </c>
    </row>
    <row r="858" spans="1:17" ht="96" x14ac:dyDescent="0.2">
      <c r="A858" s="71">
        <v>857</v>
      </c>
      <c r="B858" s="107" t="str">
        <f>HYPERLINK("https://www.ncbi.nlm.nih.gov/gene/79626", "79626")</f>
        <v>79626</v>
      </c>
      <c r="C858" s="109" t="s">
        <v>837</v>
      </c>
      <c r="D858" s="43" t="s">
        <v>838</v>
      </c>
      <c r="E858" s="16" t="s">
        <v>838</v>
      </c>
      <c r="F858" s="28" t="s">
        <v>2660</v>
      </c>
      <c r="G858" s="28" t="s">
        <v>2661</v>
      </c>
      <c r="H858" s="28" t="s">
        <v>2662</v>
      </c>
      <c r="I858" s="31" t="s">
        <v>5450</v>
      </c>
      <c r="J858" s="73" t="s">
        <v>3253</v>
      </c>
      <c r="K858" s="23" t="s">
        <v>4827</v>
      </c>
      <c r="L858" s="60" t="s">
        <v>3292</v>
      </c>
      <c r="M858" s="60" t="s">
        <v>3292</v>
      </c>
      <c r="N858" s="60" t="s">
        <v>3291</v>
      </c>
      <c r="O858" s="60"/>
      <c r="P858" s="60" t="s">
        <v>5493</v>
      </c>
      <c r="Q858" s="20">
        <v>4</v>
      </c>
    </row>
    <row r="859" spans="1:17" ht="144" x14ac:dyDescent="0.2">
      <c r="A859" s="71">
        <v>858</v>
      </c>
      <c r="B859" s="107" t="str">
        <f>HYPERLINK("https://www.ncbi.nlm.nih.gov/gene/8797", "8797")</f>
        <v>8797</v>
      </c>
      <c r="C859" s="109" t="str">
        <f>HYPERLINK("https://www.uniprot.org/uniprot/O00220", "O00220")</f>
        <v>O00220</v>
      </c>
      <c r="D859" s="43" t="s">
        <v>839</v>
      </c>
      <c r="E859" s="35" t="s">
        <v>839</v>
      </c>
      <c r="F859" s="30" t="s">
        <v>2663</v>
      </c>
      <c r="G859" s="30" t="s">
        <v>2664</v>
      </c>
      <c r="H859" s="30" t="s">
        <v>2665</v>
      </c>
      <c r="I859" s="47" t="s">
        <v>3326</v>
      </c>
      <c r="J859" s="73" t="s">
        <v>3254</v>
      </c>
      <c r="K859" s="23" t="s">
        <v>4828</v>
      </c>
      <c r="L859" s="60" t="s">
        <v>3292</v>
      </c>
      <c r="M859" s="60" t="s">
        <v>3292</v>
      </c>
      <c r="N859" s="60" t="s">
        <v>3292</v>
      </c>
      <c r="O859" s="60"/>
      <c r="P859" s="60" t="s">
        <v>3323</v>
      </c>
      <c r="Q859" s="20">
        <v>1</v>
      </c>
    </row>
    <row r="860" spans="1:17" ht="128" x14ac:dyDescent="0.2">
      <c r="A860" s="71">
        <v>859</v>
      </c>
      <c r="B860" s="107" t="str">
        <f>HYPERLINK("https://www.ncbi.nlm.nih.gov/gene/8795", "8795")</f>
        <v>8795</v>
      </c>
      <c r="C860" s="109" t="str">
        <f>HYPERLINK("https://www.uniprot.org/uniprot/O14763", "O14763")</f>
        <v>O14763</v>
      </c>
      <c r="D860" s="43" t="s">
        <v>840</v>
      </c>
      <c r="E860" s="35" t="s">
        <v>840</v>
      </c>
      <c r="F860" s="30" t="s">
        <v>2666</v>
      </c>
      <c r="G860" s="30" t="s">
        <v>2667</v>
      </c>
      <c r="H860" s="30" t="s">
        <v>2668</v>
      </c>
      <c r="I860" s="47" t="s">
        <v>3326</v>
      </c>
      <c r="J860" s="73" t="s">
        <v>3665</v>
      </c>
      <c r="K860" s="23" t="s">
        <v>4829</v>
      </c>
      <c r="L860" s="60" t="s">
        <v>3292</v>
      </c>
      <c r="M860" s="60" t="s">
        <v>3292</v>
      </c>
      <c r="N860" s="60" t="s">
        <v>3289</v>
      </c>
      <c r="O860" s="60"/>
      <c r="P860" s="60" t="s">
        <v>5494</v>
      </c>
      <c r="Q860" s="20">
        <v>5</v>
      </c>
    </row>
    <row r="861" spans="1:17" ht="112" x14ac:dyDescent="0.2">
      <c r="A861" s="71">
        <v>860</v>
      </c>
      <c r="B861" s="107" t="str">
        <f>HYPERLINK("https://www.ncbi.nlm.nih.gov/gene/51330", "51330")</f>
        <v>51330</v>
      </c>
      <c r="C861" s="109" t="str">
        <f>HYPERLINK("https://www.uniprot.org/uniprot/Q9NP84", "Q9NP84")</f>
        <v>Q9NP84</v>
      </c>
      <c r="D861" s="43" t="s">
        <v>842</v>
      </c>
      <c r="E861" s="35" t="s">
        <v>842</v>
      </c>
      <c r="F861" s="30" t="s">
        <v>2671</v>
      </c>
      <c r="G861" s="30" t="s">
        <v>2672</v>
      </c>
      <c r="H861" s="30" t="s">
        <v>2673</v>
      </c>
      <c r="I861" s="47" t="s">
        <v>5226</v>
      </c>
      <c r="J861" s="73">
        <v>31023317</v>
      </c>
      <c r="K861" s="23" t="s">
        <v>4830</v>
      </c>
      <c r="L861" s="60" t="s">
        <v>3292</v>
      </c>
      <c r="M861" s="60" t="s">
        <v>3292</v>
      </c>
      <c r="N861" s="60" t="s">
        <v>3291</v>
      </c>
      <c r="O861" s="60"/>
      <c r="P861" s="60" t="s">
        <v>5493</v>
      </c>
      <c r="Q861" s="20">
        <v>4</v>
      </c>
    </row>
    <row r="862" spans="1:17" ht="128" x14ac:dyDescent="0.2">
      <c r="A862" s="71">
        <v>861</v>
      </c>
      <c r="B862" s="107" t="str">
        <f>HYPERLINK("https://www.ncbi.nlm.nih.gov/gene/8743", "8743")</f>
        <v>8743</v>
      </c>
      <c r="C862" s="109" t="str">
        <f>HYPERLINK("https://www.uniprot.org/uniprot/P50591", "P50591")</f>
        <v>P50591</v>
      </c>
      <c r="D862" s="43" t="s">
        <v>841</v>
      </c>
      <c r="E862" s="35" t="s">
        <v>841</v>
      </c>
      <c r="F862" s="30" t="s">
        <v>2669</v>
      </c>
      <c r="G862" s="30" t="s">
        <v>2670</v>
      </c>
      <c r="H862" s="30" t="s">
        <v>4919</v>
      </c>
      <c r="I862" s="47" t="s">
        <v>3326</v>
      </c>
      <c r="J862" s="73" t="s">
        <v>3255</v>
      </c>
      <c r="K862" s="23" t="s">
        <v>4831</v>
      </c>
      <c r="L862" s="60" t="s">
        <v>3292</v>
      </c>
      <c r="M862" s="60" t="s">
        <v>3292</v>
      </c>
      <c r="N862" s="60" t="s">
        <v>3291</v>
      </c>
      <c r="O862" s="60"/>
      <c r="P862" s="60" t="s">
        <v>5493</v>
      </c>
      <c r="Q862" s="20">
        <v>4</v>
      </c>
    </row>
    <row r="863" spans="1:17" ht="32" x14ac:dyDescent="0.2">
      <c r="A863" s="71">
        <v>862</v>
      </c>
      <c r="B863" s="107" t="str">
        <f>HYPERLINK("https://www.ncbi.nlm.nih.gov/gene/7150", "7150")</f>
        <v>7150</v>
      </c>
      <c r="C863" s="109" t="str">
        <f>HYPERLINK("https://www.uniprot.org/uniprot/P11387", "P11387")</f>
        <v>P11387</v>
      </c>
      <c r="D863" s="43" t="s">
        <v>843</v>
      </c>
      <c r="E863" s="35" t="s">
        <v>843</v>
      </c>
      <c r="F863" s="30"/>
      <c r="G863" s="30" t="s">
        <v>2674</v>
      </c>
      <c r="H863" s="30" t="s">
        <v>2675</v>
      </c>
      <c r="I863" s="47" t="s">
        <v>2826</v>
      </c>
      <c r="J863" s="73">
        <v>27315793</v>
      </c>
      <c r="K863" s="23" t="s">
        <v>3256</v>
      </c>
      <c r="L863" s="60" t="s">
        <v>3289</v>
      </c>
      <c r="M863" s="60" t="s">
        <v>3289</v>
      </c>
      <c r="N863" s="60" t="s">
        <v>3291</v>
      </c>
      <c r="O863" s="60" t="s">
        <v>5509</v>
      </c>
      <c r="P863" s="60" t="s">
        <v>5497</v>
      </c>
      <c r="Q863" s="20">
        <v>3</v>
      </c>
    </row>
    <row r="864" spans="1:17" ht="112" x14ac:dyDescent="0.2">
      <c r="A864" s="71">
        <v>863</v>
      </c>
      <c r="B864" s="107" t="str">
        <f>HYPERLINK("https://www.ncbi.nlm.nih.gov/gene/7153", "7153")</f>
        <v>7153</v>
      </c>
      <c r="C864" s="109" t="str">
        <f>HYPERLINK("https://www.uniprot.org/uniprot/P11388", "P11388")</f>
        <v>P11388</v>
      </c>
      <c r="D864" s="43" t="s">
        <v>844</v>
      </c>
      <c r="E864" s="35" t="s">
        <v>844</v>
      </c>
      <c r="F864" s="30" t="s">
        <v>2676</v>
      </c>
      <c r="G864" s="30" t="s">
        <v>2677</v>
      </c>
      <c r="H864" s="30" t="s">
        <v>4920</v>
      </c>
      <c r="I864" s="47" t="s">
        <v>2826</v>
      </c>
      <c r="J864" s="73" t="s">
        <v>3257</v>
      </c>
      <c r="K864" s="30" t="s">
        <v>4832</v>
      </c>
      <c r="L864" s="60" t="s">
        <v>3289</v>
      </c>
      <c r="M864" s="60" t="s">
        <v>3289</v>
      </c>
      <c r="N864" s="60" t="s">
        <v>3292</v>
      </c>
      <c r="O864" s="60" t="s">
        <v>5509</v>
      </c>
      <c r="P864" s="60" t="s">
        <v>5497</v>
      </c>
      <c r="Q864" s="20">
        <v>3</v>
      </c>
    </row>
    <row r="865" spans="1:17" ht="80" x14ac:dyDescent="0.2">
      <c r="A865" s="71">
        <v>864</v>
      </c>
      <c r="B865" s="107" t="str">
        <f>HYPERLINK("https://www.ncbi.nlm.nih.gov/gene/7156", "7156")</f>
        <v>7156</v>
      </c>
      <c r="C865" s="109" t="str">
        <f>HYPERLINK("https://www.uniprot.org/uniprot/Q13472", "Q13472")</f>
        <v>Q13472</v>
      </c>
      <c r="D865" s="43" t="s">
        <v>845</v>
      </c>
      <c r="E865" s="35" t="s">
        <v>845</v>
      </c>
      <c r="F865" s="30" t="s">
        <v>2678</v>
      </c>
      <c r="G865" s="30" t="s">
        <v>2679</v>
      </c>
      <c r="H865" s="30" t="s">
        <v>2680</v>
      </c>
      <c r="I865" s="47" t="s">
        <v>2826</v>
      </c>
      <c r="J865" s="73" t="s">
        <v>3258</v>
      </c>
      <c r="K865" s="23" t="s">
        <v>4833</v>
      </c>
      <c r="L865" s="60" t="s">
        <v>3289</v>
      </c>
      <c r="M865" s="60" t="s">
        <v>3289</v>
      </c>
      <c r="N865" s="60" t="s">
        <v>3291</v>
      </c>
      <c r="O865" s="60"/>
      <c r="P865" s="60" t="s">
        <v>5497</v>
      </c>
      <c r="Q865" s="20">
        <v>4</v>
      </c>
    </row>
    <row r="866" spans="1:17" ht="32" x14ac:dyDescent="0.2">
      <c r="A866" s="71">
        <v>865</v>
      </c>
      <c r="B866" s="107" t="str">
        <f>HYPERLINK("https://www.ncbi.nlm.nih.gov/gene/8940", "8940")</f>
        <v>8940</v>
      </c>
      <c r="C866" s="109" t="str">
        <f>HYPERLINK("https://www.uniprot.org/uniprot/O95985", "O95985")</f>
        <v>O95985</v>
      </c>
      <c r="D866" s="43" t="s">
        <v>846</v>
      </c>
      <c r="E866" s="35" t="s">
        <v>846</v>
      </c>
      <c r="F866" s="30" t="s">
        <v>2681</v>
      </c>
      <c r="G866" s="30" t="s">
        <v>2682</v>
      </c>
      <c r="H866" s="30" t="s">
        <v>2680</v>
      </c>
      <c r="I866" s="47" t="s">
        <v>2826</v>
      </c>
      <c r="J866" s="73">
        <v>21263267</v>
      </c>
      <c r="K866" s="23" t="s">
        <v>4834</v>
      </c>
      <c r="L866" s="60" t="s">
        <v>3289</v>
      </c>
      <c r="M866" s="60" t="s">
        <v>3289</v>
      </c>
      <c r="N866" s="60" t="s">
        <v>3291</v>
      </c>
      <c r="O866" s="60"/>
      <c r="P866" s="60" t="s">
        <v>5497</v>
      </c>
      <c r="Q866" s="20">
        <v>3</v>
      </c>
    </row>
    <row r="867" spans="1:17" ht="144" x14ac:dyDescent="0.2">
      <c r="A867" s="71">
        <v>866</v>
      </c>
      <c r="B867" s="107" t="str">
        <f>HYPERLINK("https://www.ncbi.nlm.nih.gov/gene/11073", "11073")</f>
        <v>11073</v>
      </c>
      <c r="C867" s="109" t="str">
        <f>HYPERLINK("https://www.uniprot.org/uniprot/Q92547", "Q92547")</f>
        <v>Q92547</v>
      </c>
      <c r="D867" s="43" t="s">
        <v>847</v>
      </c>
      <c r="E867" s="16" t="s">
        <v>847</v>
      </c>
      <c r="F867" s="28"/>
      <c r="G867" s="28" t="s">
        <v>2683</v>
      </c>
      <c r="H867" s="28" t="s">
        <v>2684</v>
      </c>
      <c r="I867" s="31" t="s">
        <v>2826</v>
      </c>
      <c r="J867" s="73" t="s">
        <v>3259</v>
      </c>
      <c r="K867" s="23" t="s">
        <v>4835</v>
      </c>
      <c r="L867" s="60" t="s">
        <v>3289</v>
      </c>
      <c r="M867" s="60" t="s">
        <v>3289</v>
      </c>
      <c r="N867" s="60" t="s">
        <v>3291</v>
      </c>
      <c r="O867" s="60"/>
      <c r="P867" s="60" t="s">
        <v>5500</v>
      </c>
      <c r="Q867" s="20">
        <v>4</v>
      </c>
    </row>
    <row r="868" spans="1:17" ht="304" x14ac:dyDescent="0.2">
      <c r="A868" s="71">
        <v>867</v>
      </c>
      <c r="B868" s="107" t="str">
        <f>HYPERLINK("https://www.ncbi.nlm.nih.gov/gene/7157", "7157")</f>
        <v>7157</v>
      </c>
      <c r="C868" s="109" t="str">
        <f>HYPERLINK("https://www.uniprot.org/uniprot/P04637", "P04637")</f>
        <v>P04637</v>
      </c>
      <c r="D868" s="43" t="s">
        <v>848</v>
      </c>
      <c r="E868" s="16" t="s">
        <v>848</v>
      </c>
      <c r="F868" s="28" t="s">
        <v>3560</v>
      </c>
      <c r="G868" s="28" t="s">
        <v>3561</v>
      </c>
      <c r="H868" s="28" t="s">
        <v>4921</v>
      </c>
      <c r="I868" s="31" t="s">
        <v>5351</v>
      </c>
      <c r="J868" s="73" t="s">
        <v>3662</v>
      </c>
      <c r="K868" s="23" t="s">
        <v>4836</v>
      </c>
      <c r="L868" s="60" t="s">
        <v>3320</v>
      </c>
      <c r="M868" s="60" t="s">
        <v>5521</v>
      </c>
      <c r="N868" s="60" t="s">
        <v>3295</v>
      </c>
      <c r="O868" s="60"/>
      <c r="P868" s="60" t="s">
        <v>5494</v>
      </c>
      <c r="Q868" s="20">
        <v>5</v>
      </c>
    </row>
    <row r="869" spans="1:17" ht="96" x14ac:dyDescent="0.2">
      <c r="A869" s="71">
        <v>868</v>
      </c>
      <c r="B869" s="107" t="str">
        <f>HYPERLINK("https://www.ncbi.nlm.nih.gov/gene/7158", "7158")</f>
        <v>7158</v>
      </c>
      <c r="C869" s="109" t="str">
        <f>HYPERLINK("https://www.uniprot.org/uniprot/Q12888", "Q12888")</f>
        <v>Q12888</v>
      </c>
      <c r="D869" s="43" t="s">
        <v>849</v>
      </c>
      <c r="E869" s="35" t="s">
        <v>849</v>
      </c>
      <c r="F869" s="30"/>
      <c r="G869" s="30" t="s">
        <v>2685</v>
      </c>
      <c r="H869" s="30" t="s">
        <v>4922</v>
      </c>
      <c r="I869" s="47" t="s">
        <v>5451</v>
      </c>
      <c r="J869" s="73" t="s">
        <v>3260</v>
      </c>
      <c r="K869" s="23" t="s">
        <v>4837</v>
      </c>
      <c r="L869" s="60" t="s">
        <v>3292</v>
      </c>
      <c r="M869" s="60" t="s">
        <v>3290</v>
      </c>
      <c r="N869" s="60" t="s">
        <v>3291</v>
      </c>
      <c r="O869" s="60"/>
      <c r="P869" s="60" t="s">
        <v>5493</v>
      </c>
      <c r="Q869" s="20">
        <v>4</v>
      </c>
    </row>
    <row r="870" spans="1:17" ht="144" x14ac:dyDescent="0.2">
      <c r="A870" s="71">
        <v>869</v>
      </c>
      <c r="B870" s="107" t="str">
        <f>HYPERLINK("https://www.ncbi.nlm.nih.gov/gene/94241", "94241")</f>
        <v>94241</v>
      </c>
      <c r="C870" s="109" t="str">
        <f>HYPERLINK("https://www.uniprot.org/uniprot/Q96A56", "Q96A56")</f>
        <v>Q96A56</v>
      </c>
      <c r="D870" s="43" t="s">
        <v>850</v>
      </c>
      <c r="E870" s="35" t="s">
        <v>850</v>
      </c>
      <c r="F870" s="30" t="s">
        <v>2686</v>
      </c>
      <c r="G870" s="30" t="s">
        <v>2687</v>
      </c>
      <c r="H870" s="30" t="s">
        <v>2688</v>
      </c>
      <c r="I870" s="47" t="s">
        <v>5170</v>
      </c>
      <c r="J870" s="73">
        <v>31410122</v>
      </c>
      <c r="K870" s="23" t="s">
        <v>4838</v>
      </c>
      <c r="L870" s="60" t="s">
        <v>3292</v>
      </c>
      <c r="M870" s="60" t="s">
        <v>3292</v>
      </c>
      <c r="N870" s="60" t="s">
        <v>3289</v>
      </c>
      <c r="O870" s="60"/>
      <c r="P870" s="60" t="s">
        <v>3323</v>
      </c>
      <c r="Q870" s="20">
        <v>1</v>
      </c>
    </row>
    <row r="871" spans="1:17" ht="176" x14ac:dyDescent="0.2">
      <c r="A871" s="71">
        <v>870</v>
      </c>
      <c r="B871" s="107" t="str">
        <f>HYPERLINK("https://www.ncbi.nlm.nih.gov/gene/8626", "8626")</f>
        <v>8626</v>
      </c>
      <c r="C871" s="109" t="str">
        <f>HYPERLINK("https://www.uniprot.org/uniprot/Q9H3D4", "Q9H3D4")</f>
        <v>Q9H3D4</v>
      </c>
      <c r="D871" s="43" t="s">
        <v>851</v>
      </c>
      <c r="E871" s="16" t="s">
        <v>851</v>
      </c>
      <c r="F871" s="28" t="s">
        <v>2689</v>
      </c>
      <c r="G871" s="28" t="s">
        <v>2690</v>
      </c>
      <c r="H871" s="28" t="s">
        <v>2691</v>
      </c>
      <c r="I871" s="31" t="s">
        <v>5452</v>
      </c>
      <c r="J871" s="73" t="s">
        <v>3261</v>
      </c>
      <c r="K871" s="23" t="s">
        <v>4839</v>
      </c>
      <c r="L871" s="60" t="s">
        <v>3289</v>
      </c>
      <c r="M871" s="60" t="s">
        <v>3289</v>
      </c>
      <c r="N871" s="60" t="s">
        <v>3294</v>
      </c>
      <c r="O871" s="60"/>
      <c r="P871" s="60" t="s">
        <v>3323</v>
      </c>
      <c r="Q871" s="20">
        <v>4</v>
      </c>
    </row>
    <row r="872" spans="1:17" ht="112" x14ac:dyDescent="0.2">
      <c r="A872" s="71">
        <v>871</v>
      </c>
      <c r="B872" s="107" t="str">
        <f>HYPERLINK("https://www.ncbi.nlm.nih.gov/gene/7161", "7161")</f>
        <v>7161</v>
      </c>
      <c r="C872" s="109" t="str">
        <f>HYPERLINK("https://www.uniprot.org/uniprot/O15350", "O15350")</f>
        <v>O15350</v>
      </c>
      <c r="D872" s="43" t="s">
        <v>852</v>
      </c>
      <c r="E872" s="16" t="s">
        <v>852</v>
      </c>
      <c r="F872" s="28" t="s">
        <v>2692</v>
      </c>
      <c r="G872" s="28" t="s">
        <v>2693</v>
      </c>
      <c r="H872" s="28" t="s">
        <v>2694</v>
      </c>
      <c r="I872" s="31" t="s">
        <v>2824</v>
      </c>
      <c r="J872" s="73" t="s">
        <v>3262</v>
      </c>
      <c r="K872" s="23" t="s">
        <v>4840</v>
      </c>
      <c r="L872" s="60" t="s">
        <v>3290</v>
      </c>
      <c r="M872" s="60" t="s">
        <v>3290</v>
      </c>
      <c r="N872" s="60" t="s">
        <v>3289</v>
      </c>
      <c r="O872" s="60"/>
      <c r="P872" s="60" t="s">
        <v>5492</v>
      </c>
      <c r="Q872" s="20">
        <v>4</v>
      </c>
    </row>
    <row r="873" spans="1:17" ht="80" x14ac:dyDescent="0.2">
      <c r="A873" s="71">
        <v>872</v>
      </c>
      <c r="B873" s="107" t="str">
        <f>HYPERLINK("https://www.ncbi.nlm.nih.gov/gene/7178", "7178")</f>
        <v>7178</v>
      </c>
      <c r="C873" s="109" t="str">
        <f>HYPERLINK("https://www.uniprot.org/uniprot/P13693", "P13693")</f>
        <v>P13693</v>
      </c>
      <c r="D873" s="43" t="s">
        <v>853</v>
      </c>
      <c r="E873" s="35" t="s">
        <v>853</v>
      </c>
      <c r="F873" s="30" t="s">
        <v>2695</v>
      </c>
      <c r="G873" s="30" t="s">
        <v>2696</v>
      </c>
      <c r="H873" s="30" t="s">
        <v>4923</v>
      </c>
      <c r="I873" s="47" t="s">
        <v>5453</v>
      </c>
      <c r="J873" s="73">
        <v>25564355</v>
      </c>
      <c r="K873" s="23" t="s">
        <v>4841</v>
      </c>
      <c r="L873" s="60" t="s">
        <v>3289</v>
      </c>
      <c r="M873" s="60" t="s">
        <v>3289</v>
      </c>
      <c r="N873" s="60" t="s">
        <v>3291</v>
      </c>
      <c r="O873" s="60"/>
      <c r="P873" s="60" t="s">
        <v>5493</v>
      </c>
      <c r="Q873" s="20">
        <v>4</v>
      </c>
    </row>
    <row r="874" spans="1:17" ht="48" x14ac:dyDescent="0.2">
      <c r="A874" s="71">
        <v>873</v>
      </c>
      <c r="B874" s="107" t="str">
        <f>HYPERLINK("https://www.ncbi.nlm.nih.gov/gene/7186", "7186")</f>
        <v>7186</v>
      </c>
      <c r="C874" s="109" t="str">
        <f>HYPERLINK("https://ebi14.uniprot.org/uniprot/Q12933", "Q12933")</f>
        <v>Q12933</v>
      </c>
      <c r="D874" s="43" t="s">
        <v>854</v>
      </c>
      <c r="E874" s="39" t="s">
        <v>854</v>
      </c>
      <c r="F874" s="30" t="s">
        <v>2697</v>
      </c>
      <c r="G874" s="30" t="s">
        <v>2698</v>
      </c>
      <c r="H874" s="30" t="s">
        <v>2699</v>
      </c>
      <c r="I874" s="47" t="s">
        <v>5454</v>
      </c>
      <c r="J874" s="73">
        <v>32238696</v>
      </c>
      <c r="K874" s="23" t="s">
        <v>4842</v>
      </c>
      <c r="L874" s="60" t="s">
        <v>3291</v>
      </c>
      <c r="M874" s="60" t="s">
        <v>3289</v>
      </c>
      <c r="N874" s="60" t="s">
        <v>3291</v>
      </c>
      <c r="O874" s="60"/>
      <c r="P874" s="60" t="s">
        <v>3323</v>
      </c>
      <c r="Q874" s="20">
        <v>1</v>
      </c>
    </row>
    <row r="875" spans="1:17" ht="144" x14ac:dyDescent="0.2">
      <c r="A875" s="71">
        <v>874</v>
      </c>
      <c r="B875" s="107" t="str">
        <f>HYPERLINK("https://www.ncbi.nlm.nih.gov/gene/10131", "10131")</f>
        <v>10131</v>
      </c>
      <c r="C875" s="109" t="str">
        <f>HYPERLINK("https://www.uniprot.org/uniprot/Q12931", "Q12931")</f>
        <v>Q12931</v>
      </c>
      <c r="D875" s="43" t="s">
        <v>855</v>
      </c>
      <c r="E875" s="37" t="s">
        <v>855</v>
      </c>
      <c r="F875" s="30" t="s">
        <v>2700</v>
      </c>
      <c r="G875" s="30" t="s">
        <v>2701</v>
      </c>
      <c r="H875" s="30" t="s">
        <v>2702</v>
      </c>
      <c r="I875" s="47" t="s">
        <v>5455</v>
      </c>
      <c r="J875" s="73" t="s">
        <v>3263</v>
      </c>
      <c r="K875" s="23" t="s">
        <v>4843</v>
      </c>
      <c r="L875" s="60" t="s">
        <v>3292</v>
      </c>
      <c r="M875" s="60" t="s">
        <v>3292</v>
      </c>
      <c r="N875" s="60" t="s">
        <v>3291</v>
      </c>
      <c r="O875" s="60"/>
      <c r="P875" s="60" t="s">
        <v>5493</v>
      </c>
      <c r="Q875" s="20">
        <v>4</v>
      </c>
    </row>
    <row r="876" spans="1:17" ht="128" x14ac:dyDescent="0.2">
      <c r="A876" s="71">
        <v>875</v>
      </c>
      <c r="B876" s="107" t="str">
        <f>HYPERLINK("https://www.ncbi.nlm.nih.gov/gene/28951", "28951")</f>
        <v>28951</v>
      </c>
      <c r="C876" s="109" t="str">
        <f>HYPERLINK("https://www.uniprot.org/uniprot/Q92519", "Q92519")</f>
        <v>Q92519</v>
      </c>
      <c r="D876" s="43" t="s">
        <v>856</v>
      </c>
      <c r="E876" s="16" t="s">
        <v>856</v>
      </c>
      <c r="F876" s="28" t="s">
        <v>2703</v>
      </c>
      <c r="G876" s="28" t="s">
        <v>2704</v>
      </c>
      <c r="H876" s="28" t="s">
        <v>4924</v>
      </c>
      <c r="I876" s="31" t="s">
        <v>5456</v>
      </c>
      <c r="J876" s="73" t="s">
        <v>3264</v>
      </c>
      <c r="K876" s="23" t="s">
        <v>4844</v>
      </c>
      <c r="L876" s="60" t="s">
        <v>3292</v>
      </c>
      <c r="M876" s="60" t="s">
        <v>3292</v>
      </c>
      <c r="N876" s="60" t="s">
        <v>3291</v>
      </c>
      <c r="O876" s="60"/>
      <c r="P876" s="60" t="s">
        <v>5493</v>
      </c>
      <c r="Q876" s="20">
        <v>4</v>
      </c>
    </row>
    <row r="877" spans="1:17" ht="112" x14ac:dyDescent="0.2">
      <c r="A877" s="71">
        <v>876</v>
      </c>
      <c r="B877" s="107" t="str">
        <f>HYPERLINK("https://www.ncbi.nlm.nih.gov/gene/5987", "5987")</f>
        <v>5987</v>
      </c>
      <c r="C877" s="116" t="str">
        <f>HYPERLINK("https://www.uniprot.org/uniprot/P14373", "P14373")</f>
        <v>P14373</v>
      </c>
      <c r="D877" s="43" t="s">
        <v>857</v>
      </c>
      <c r="E877" s="35" t="s">
        <v>857</v>
      </c>
      <c r="F877" s="47" t="s">
        <v>2705</v>
      </c>
      <c r="G877" s="47" t="s">
        <v>2706</v>
      </c>
      <c r="H877" s="47" t="s">
        <v>4925</v>
      </c>
      <c r="I877" s="47" t="s">
        <v>5457</v>
      </c>
      <c r="J877" s="73">
        <v>23342271</v>
      </c>
      <c r="K877" s="23" t="s">
        <v>4845</v>
      </c>
      <c r="L877" s="60" t="s">
        <v>3289</v>
      </c>
      <c r="M877" s="60" t="s">
        <v>3289</v>
      </c>
      <c r="N877" s="60" t="s">
        <v>3291</v>
      </c>
      <c r="O877" s="60"/>
      <c r="P877" s="60" t="s">
        <v>5494</v>
      </c>
      <c r="Q877" s="64">
        <v>5</v>
      </c>
    </row>
    <row r="878" spans="1:17" ht="128" x14ac:dyDescent="0.2">
      <c r="A878" s="71">
        <v>877</v>
      </c>
      <c r="B878" s="107" t="str">
        <f>HYPERLINK("https://www.ncbi.nlm.nih.gov/gene/201292", "201292")</f>
        <v>201292</v>
      </c>
      <c r="C878" s="109" t="str">
        <f>HYPERLINK("https://www.uniprot.org/uniprot/Q6PJ69", "Q6PJ69")</f>
        <v>Q6PJ69</v>
      </c>
      <c r="D878" s="43" t="s">
        <v>858</v>
      </c>
      <c r="E878" s="35" t="s">
        <v>858</v>
      </c>
      <c r="F878" s="30"/>
      <c r="G878" s="30" t="s">
        <v>2707</v>
      </c>
      <c r="H878" s="30" t="s">
        <v>2708</v>
      </c>
      <c r="I878" s="47" t="s">
        <v>2838</v>
      </c>
      <c r="J878" s="73">
        <v>31160576</v>
      </c>
      <c r="K878" s="23" t="s">
        <v>4846</v>
      </c>
      <c r="L878" s="60" t="s">
        <v>3289</v>
      </c>
      <c r="M878" s="60" t="s">
        <v>3289</v>
      </c>
      <c r="N878" s="60" t="s">
        <v>3291</v>
      </c>
      <c r="O878" s="60"/>
      <c r="P878" s="60" t="s">
        <v>5492</v>
      </c>
      <c r="Q878" s="20">
        <v>4</v>
      </c>
    </row>
    <row r="879" spans="1:17" ht="112" x14ac:dyDescent="0.2">
      <c r="A879" s="71">
        <v>878</v>
      </c>
      <c r="B879" s="107" t="str">
        <f>HYPERLINK("https://www.ncbi.nlm.nih.gov/gene/9319", "9319")</f>
        <v>9319</v>
      </c>
      <c r="C879" s="109" t="str">
        <f>HYPERLINK("https://www.uniprot.org/uniprot/Q15645", "Q15645")</f>
        <v>Q15645</v>
      </c>
      <c r="D879" s="43" t="s">
        <v>859</v>
      </c>
      <c r="E879" s="35" t="s">
        <v>859</v>
      </c>
      <c r="F879" s="30" t="s">
        <v>2709</v>
      </c>
      <c r="G879" s="30" t="s">
        <v>2710</v>
      </c>
      <c r="H879" s="30" t="s">
        <v>2711</v>
      </c>
      <c r="I879" s="47" t="s">
        <v>5362</v>
      </c>
      <c r="J879" s="73" t="s">
        <v>3541</v>
      </c>
      <c r="K879" s="23" t="s">
        <v>4847</v>
      </c>
      <c r="L879" s="60" t="s">
        <v>3290</v>
      </c>
      <c r="M879" s="60" t="s">
        <v>3290</v>
      </c>
      <c r="N879" s="105" t="s">
        <v>3291</v>
      </c>
      <c r="O879" s="105"/>
      <c r="P879" s="105" t="s">
        <v>5494</v>
      </c>
      <c r="Q879" s="20">
        <v>5</v>
      </c>
    </row>
    <row r="880" spans="1:17" ht="64" x14ac:dyDescent="0.2">
      <c r="A880" s="71">
        <v>879</v>
      </c>
      <c r="B880" s="107" t="str">
        <f>HYPERLINK("https://www.ncbi.nlm.nih.gov/gene/7216", "7216")</f>
        <v>7216</v>
      </c>
      <c r="C880" s="109" t="str">
        <f>HYPERLINK("https://www.uniprot.org/uniprot/Q12816", "Q12816")</f>
        <v>Q12816</v>
      </c>
      <c r="D880" s="43" t="s">
        <v>860</v>
      </c>
      <c r="E880" s="35" t="s">
        <v>860</v>
      </c>
      <c r="F880" s="30" t="s">
        <v>2712</v>
      </c>
      <c r="G880" s="30" t="s">
        <v>2713</v>
      </c>
      <c r="H880" s="30" t="s">
        <v>2714</v>
      </c>
      <c r="I880" s="47" t="s">
        <v>5458</v>
      </c>
      <c r="J880" s="73">
        <v>17597582</v>
      </c>
      <c r="K880" s="23" t="s">
        <v>4848</v>
      </c>
      <c r="L880" s="60" t="s">
        <v>3292</v>
      </c>
      <c r="M880" s="60" t="s">
        <v>3292</v>
      </c>
      <c r="N880" s="60" t="s">
        <v>3291</v>
      </c>
      <c r="O880" s="60"/>
      <c r="P880" s="60" t="s">
        <v>5493</v>
      </c>
      <c r="Q880" s="20">
        <v>4</v>
      </c>
    </row>
    <row r="881" spans="1:17" ht="96" x14ac:dyDescent="0.2">
      <c r="A881" s="71">
        <v>880</v>
      </c>
      <c r="B881" s="107" t="str">
        <f>HYPERLINK("https://www.ncbi.nlm.nih.gov/gene/10381", "10381")</f>
        <v>10381</v>
      </c>
      <c r="C881" s="109" t="str">
        <f>HYPERLINK("https://www.uniprot.org/uniprot/Q13509", "Q13509")</f>
        <v>Q13509</v>
      </c>
      <c r="D881" s="43" t="s">
        <v>3406</v>
      </c>
      <c r="E881" s="35" t="s">
        <v>3406</v>
      </c>
      <c r="F881" s="30" t="s">
        <v>3407</v>
      </c>
      <c r="G881" s="30" t="s">
        <v>3411</v>
      </c>
      <c r="H881" s="30" t="s">
        <v>4926</v>
      </c>
      <c r="I881" s="47" t="s">
        <v>5221</v>
      </c>
      <c r="J881" s="73" t="s">
        <v>3412</v>
      </c>
      <c r="K881" s="23" t="s">
        <v>4849</v>
      </c>
      <c r="L881" s="60" t="s">
        <v>3289</v>
      </c>
      <c r="M881" s="60" t="s">
        <v>3289</v>
      </c>
      <c r="N881" s="60" t="s">
        <v>3291</v>
      </c>
      <c r="O881" s="60" t="s">
        <v>5509</v>
      </c>
      <c r="P881" s="60" t="s">
        <v>5497</v>
      </c>
      <c r="Q881" s="20">
        <v>3</v>
      </c>
    </row>
    <row r="882" spans="1:17" ht="96" x14ac:dyDescent="0.2">
      <c r="A882" s="71">
        <v>881</v>
      </c>
      <c r="B882" s="107" t="str">
        <f>HYPERLINK("https://www.ncbi.nlm.nih.gov/gene/7291", "7291")</f>
        <v>7291</v>
      </c>
      <c r="C882" s="109" t="str">
        <f>HYPERLINK("https://www.uniprot.org/uniprot/Q15672", "Q15672")</f>
        <v>Q15672</v>
      </c>
      <c r="D882" s="43" t="s">
        <v>861</v>
      </c>
      <c r="E882" s="34" t="s">
        <v>861</v>
      </c>
      <c r="F882" s="5" t="s">
        <v>2715</v>
      </c>
      <c r="G882" s="28" t="s">
        <v>2716</v>
      </c>
      <c r="H882" s="28" t="s">
        <v>4927</v>
      </c>
      <c r="I882" s="31" t="s">
        <v>5459</v>
      </c>
      <c r="J882" s="73" t="s">
        <v>3265</v>
      </c>
      <c r="K882" s="23" t="s">
        <v>4850</v>
      </c>
      <c r="L882" s="60" t="s">
        <v>3289</v>
      </c>
      <c r="M882" s="60" t="s">
        <v>3289</v>
      </c>
      <c r="N882" s="60" t="s">
        <v>3291</v>
      </c>
      <c r="O882" s="60"/>
      <c r="P882" s="60" t="s">
        <v>5494</v>
      </c>
      <c r="Q882" s="20">
        <v>5</v>
      </c>
    </row>
    <row r="883" spans="1:17" ht="112" x14ac:dyDescent="0.2">
      <c r="A883" s="71">
        <v>882</v>
      </c>
      <c r="B883" s="107" t="str">
        <f>HYPERLINK("https://www.ncbi.nlm.nih.gov/gene/7295", "7295")</f>
        <v>7295</v>
      </c>
      <c r="C883" s="109" t="str">
        <f>HYPERLINK("https://www.uniprot.org/uniprot/P10599", "P10599")</f>
        <v>P10599</v>
      </c>
      <c r="D883" s="43" t="s">
        <v>862</v>
      </c>
      <c r="E883" s="16" t="s">
        <v>862</v>
      </c>
      <c r="F883" s="28" t="s">
        <v>3410</v>
      </c>
      <c r="G883" s="28" t="s">
        <v>3409</v>
      </c>
      <c r="H883" s="28" t="s">
        <v>3408</v>
      </c>
      <c r="I883" s="31" t="s">
        <v>5460</v>
      </c>
      <c r="J883" s="73" t="s">
        <v>3583</v>
      </c>
      <c r="K883" s="23" t="s">
        <v>4851</v>
      </c>
      <c r="L883" s="60" t="s">
        <v>3290</v>
      </c>
      <c r="M883" s="60" t="s">
        <v>3290</v>
      </c>
      <c r="N883" s="60" t="s">
        <v>3321</v>
      </c>
      <c r="O883" s="60"/>
      <c r="P883" s="60" t="s">
        <v>5493</v>
      </c>
      <c r="Q883" s="20">
        <v>4</v>
      </c>
    </row>
    <row r="884" spans="1:17" ht="96" x14ac:dyDescent="0.2">
      <c r="A884" s="71">
        <v>883</v>
      </c>
      <c r="B884" s="107" t="str">
        <f>HYPERLINK("https://www.ncbi.nlm.nih.gov/gene/84817", "84817")</f>
        <v>84817</v>
      </c>
      <c r="C884" s="109" t="str">
        <f>HYPERLINK("https://www.uniprot.org/uniprot/Q9BRA2", "Q9BRA2")</f>
        <v>Q9BRA2</v>
      </c>
      <c r="D884" s="43" t="s">
        <v>863</v>
      </c>
      <c r="E884" s="16" t="s">
        <v>863</v>
      </c>
      <c r="F884" s="28" t="s">
        <v>2717</v>
      </c>
      <c r="G884" s="28" t="s">
        <v>2718</v>
      </c>
      <c r="H884" s="28" t="s">
        <v>2719</v>
      </c>
      <c r="I884" s="31" t="s">
        <v>5461</v>
      </c>
      <c r="J884" s="73">
        <v>31524236</v>
      </c>
      <c r="K884" s="23" t="s">
        <v>4852</v>
      </c>
      <c r="L884" s="60" t="s">
        <v>3289</v>
      </c>
      <c r="M884" s="60" t="s">
        <v>3289</v>
      </c>
      <c r="N884" s="60" t="s">
        <v>3289</v>
      </c>
      <c r="O884" s="60"/>
      <c r="P884" s="60" t="s">
        <v>3323</v>
      </c>
      <c r="Q884" s="20">
        <v>1</v>
      </c>
    </row>
    <row r="885" spans="1:17" ht="64" x14ac:dyDescent="0.2">
      <c r="A885" s="71">
        <v>884</v>
      </c>
      <c r="B885" s="107" t="str">
        <f>HYPERLINK("https://www.ncbi.nlm.nih.gov/gene/9352", "9352")</f>
        <v>9352</v>
      </c>
      <c r="C885" s="109" t="str">
        <f>HYPERLINK("https://www.uniprot.org/uniprot/O43396", "O43396")</f>
        <v>O43396</v>
      </c>
      <c r="D885" s="43" t="s">
        <v>867</v>
      </c>
      <c r="E885" s="16" t="s">
        <v>867</v>
      </c>
      <c r="F885" s="28" t="s">
        <v>2728</v>
      </c>
      <c r="G885" s="28" t="s">
        <v>2729</v>
      </c>
      <c r="H885" s="28" t="s">
        <v>3564</v>
      </c>
      <c r="I885" s="31" t="s">
        <v>5462</v>
      </c>
      <c r="J885" s="73" t="s">
        <v>3563</v>
      </c>
      <c r="K885" s="23" t="s">
        <v>4853</v>
      </c>
      <c r="L885" s="60" t="s">
        <v>3292</v>
      </c>
      <c r="M885" s="60" t="s">
        <v>3292</v>
      </c>
      <c r="N885" s="60" t="s">
        <v>3291</v>
      </c>
      <c r="O885" s="60"/>
      <c r="P885" s="60" t="s">
        <v>3323</v>
      </c>
      <c r="Q885" s="20">
        <v>1</v>
      </c>
    </row>
    <row r="886" spans="1:17" ht="80" x14ac:dyDescent="0.2">
      <c r="A886" s="71">
        <v>885</v>
      </c>
      <c r="B886" s="107" t="str">
        <f>HYPERLINK("https://www.ncbi.nlm.nih.gov/gene/7296", "7296")</f>
        <v>7296</v>
      </c>
      <c r="C886" s="109" t="str">
        <f>HYPERLINK("https://www.uniprot.org/uniprot/Q16881", "Q16881")</f>
        <v>Q16881</v>
      </c>
      <c r="D886" s="43" t="s">
        <v>864</v>
      </c>
      <c r="E886" s="16" t="s">
        <v>864</v>
      </c>
      <c r="F886" s="28" t="s">
        <v>2720</v>
      </c>
      <c r="G886" s="28" t="s">
        <v>2721</v>
      </c>
      <c r="H886" s="28" t="s">
        <v>2722</v>
      </c>
      <c r="I886" s="31" t="s">
        <v>2836</v>
      </c>
      <c r="J886" s="73">
        <v>10490269</v>
      </c>
      <c r="K886" s="23" t="s">
        <v>3266</v>
      </c>
      <c r="L886" s="60" t="s">
        <v>3289</v>
      </c>
      <c r="M886" s="60" t="s">
        <v>3289</v>
      </c>
      <c r="N886" s="60" t="s">
        <v>3292</v>
      </c>
      <c r="O886" s="60" t="s">
        <v>5509</v>
      </c>
      <c r="P886" s="60" t="s">
        <v>3323</v>
      </c>
      <c r="Q886" s="20">
        <v>1</v>
      </c>
    </row>
    <row r="887" spans="1:17" ht="112" x14ac:dyDescent="0.2">
      <c r="A887" s="71">
        <v>886</v>
      </c>
      <c r="B887" s="107" t="str">
        <f>HYPERLINK("https://www.ncbi.nlm.nih.gov/gene/10587", "10587")</f>
        <v>10587</v>
      </c>
      <c r="C887" s="109" t="str">
        <f>HYPERLINK("https://www.uniprot.org/uniprot/Q9NNW7", "Q9NNW7")</f>
        <v>Q9NNW7</v>
      </c>
      <c r="D887" s="43" t="s">
        <v>865</v>
      </c>
      <c r="E887" s="16" t="s">
        <v>865</v>
      </c>
      <c r="F887" s="28" t="s">
        <v>2723</v>
      </c>
      <c r="G887" s="28" t="s">
        <v>2724</v>
      </c>
      <c r="H887" s="28" t="s">
        <v>2725</v>
      </c>
      <c r="I887" s="31" t="s">
        <v>2836</v>
      </c>
      <c r="J887" s="73">
        <v>10490269</v>
      </c>
      <c r="K887" s="23" t="s">
        <v>4854</v>
      </c>
      <c r="L887" s="60" t="s">
        <v>3289</v>
      </c>
      <c r="M887" s="60" t="s">
        <v>3289</v>
      </c>
      <c r="N887" s="60" t="s">
        <v>3292</v>
      </c>
      <c r="O887" s="60"/>
      <c r="P887" s="60" t="s">
        <v>3323</v>
      </c>
      <c r="Q887" s="20">
        <v>1</v>
      </c>
    </row>
    <row r="888" spans="1:17" ht="48" x14ac:dyDescent="0.2">
      <c r="A888" s="71">
        <v>887</v>
      </c>
      <c r="B888" s="107" t="str">
        <f>HYPERLINK("https://www.ncbi.nlm.nih.gov/gene/114112", "114112")</f>
        <v>114112</v>
      </c>
      <c r="C888" s="109" t="str">
        <f>HYPERLINK("https://www.uniprot.org/uniprot/Q86VQ6", "Q86VQ6")</f>
        <v>Q86VQ6</v>
      </c>
      <c r="D888" s="43" t="s">
        <v>866</v>
      </c>
      <c r="E888" s="16" t="s">
        <v>866</v>
      </c>
      <c r="F888" s="28" t="s">
        <v>2726</v>
      </c>
      <c r="G888" s="28" t="s">
        <v>2727</v>
      </c>
      <c r="H888" s="28" t="s">
        <v>3505</v>
      </c>
      <c r="I888" s="31" t="s">
        <v>2836</v>
      </c>
      <c r="J888" s="73">
        <v>10490269</v>
      </c>
      <c r="K888" s="23" t="s">
        <v>3266</v>
      </c>
      <c r="L888" s="60" t="s">
        <v>3289</v>
      </c>
      <c r="M888" s="60" t="s">
        <v>3289</v>
      </c>
      <c r="N888" s="60" t="s">
        <v>3292</v>
      </c>
      <c r="O888" s="60"/>
      <c r="P888" s="60" t="s">
        <v>3323</v>
      </c>
      <c r="Q888" s="20">
        <v>1</v>
      </c>
    </row>
    <row r="889" spans="1:17" ht="80" x14ac:dyDescent="0.2">
      <c r="A889" s="71">
        <v>888</v>
      </c>
      <c r="B889" s="107" t="str">
        <f>HYPERLINK("https://www.ncbi.nlm.nih.gov/gene/27338", "27338")</f>
        <v>27338</v>
      </c>
      <c r="C889" s="109" t="str">
        <f>HYPERLINK("https://www.uniprot.org/uniprot/Q16763", "Q16763")</f>
        <v>Q16763</v>
      </c>
      <c r="D889" s="43" t="s">
        <v>868</v>
      </c>
      <c r="E889" s="16" t="s">
        <v>868</v>
      </c>
      <c r="F889" s="28" t="s">
        <v>2730</v>
      </c>
      <c r="G889" s="28" t="s">
        <v>2731</v>
      </c>
      <c r="H889" s="28" t="s">
        <v>4928</v>
      </c>
      <c r="I889" s="31" t="s">
        <v>5463</v>
      </c>
      <c r="J889" s="73">
        <v>19083192</v>
      </c>
      <c r="K889" s="23" t="s">
        <v>4855</v>
      </c>
      <c r="L889" s="60" t="s">
        <v>3289</v>
      </c>
      <c r="M889" s="60" t="s">
        <v>3289</v>
      </c>
      <c r="N889" s="60" t="s">
        <v>3291</v>
      </c>
      <c r="O889" s="60"/>
      <c r="P889" s="60" t="s">
        <v>5492</v>
      </c>
      <c r="Q889" s="20">
        <v>4</v>
      </c>
    </row>
    <row r="890" spans="1:17" ht="80" x14ac:dyDescent="0.2">
      <c r="A890" s="71">
        <v>889</v>
      </c>
      <c r="B890" s="107" t="str">
        <f>HYPERLINK("https://www.ncbi.nlm.nih.gov/gene/29089", "29089")</f>
        <v>29089</v>
      </c>
      <c r="C890" s="109" t="str">
        <f>HYPERLINK("https://www.uniprot.org/uniprot/Q9NPD8", "Q9NPD8")</f>
        <v>Q9NPD8</v>
      </c>
      <c r="D890" s="43" t="s">
        <v>869</v>
      </c>
      <c r="E890" s="38" t="s">
        <v>869</v>
      </c>
      <c r="F890" s="6" t="s">
        <v>3542</v>
      </c>
      <c r="G890" s="28" t="s">
        <v>3543</v>
      </c>
      <c r="H890" s="6" t="s">
        <v>4929</v>
      </c>
      <c r="I890" s="49" t="s">
        <v>5373</v>
      </c>
      <c r="J890" s="73" t="s">
        <v>3267</v>
      </c>
      <c r="K890" s="23" t="s">
        <v>4856</v>
      </c>
      <c r="L890" s="60" t="s">
        <v>3291</v>
      </c>
      <c r="M890" s="60" t="s">
        <v>3289</v>
      </c>
      <c r="N890" s="60" t="s">
        <v>3291</v>
      </c>
      <c r="O890" s="60"/>
      <c r="P890" s="60" t="s">
        <v>3323</v>
      </c>
      <c r="Q890" s="20">
        <v>1</v>
      </c>
    </row>
    <row r="891" spans="1:17" ht="48" x14ac:dyDescent="0.2">
      <c r="A891" s="71">
        <v>890</v>
      </c>
      <c r="B891" s="107" t="str">
        <f>HYPERLINK("https://www.ncbi.nlm.nih.gov/gene/51366", "51366")</f>
        <v>51366</v>
      </c>
      <c r="C891" s="109" t="str">
        <f>HYPERLINK("https://www.uniprot.org/uniprot/O95071", "O95071")</f>
        <v>O95071</v>
      </c>
      <c r="D891" s="43" t="s">
        <v>870</v>
      </c>
      <c r="E891" s="35" t="s">
        <v>870</v>
      </c>
      <c r="F891" s="30"/>
      <c r="G891" s="30" t="s">
        <v>2732</v>
      </c>
      <c r="H891" s="30" t="s">
        <v>2733</v>
      </c>
      <c r="I891" s="47" t="s">
        <v>5464</v>
      </c>
      <c r="J891" s="73">
        <v>27721409</v>
      </c>
      <c r="K891" s="23" t="s">
        <v>4857</v>
      </c>
      <c r="L891" s="60" t="s">
        <v>3289</v>
      </c>
      <c r="M891" s="60" t="s">
        <v>3289</v>
      </c>
      <c r="N891" s="60" t="s">
        <v>3291</v>
      </c>
      <c r="O891" s="60"/>
      <c r="P891" s="60" t="s">
        <v>5493</v>
      </c>
      <c r="Q891" s="20">
        <v>4</v>
      </c>
    </row>
    <row r="892" spans="1:17" ht="96" x14ac:dyDescent="0.2">
      <c r="A892" s="71">
        <v>891</v>
      </c>
      <c r="B892" s="107" t="str">
        <f>HYPERLINK("https://www.ncbi.nlm.nih.gov/gene/7345", "7345")</f>
        <v>7345</v>
      </c>
      <c r="C892" s="109" t="str">
        <f>HYPERLINK("https://www.uniprot.org/uniprot/P09936", "P09936")</f>
        <v>P09936</v>
      </c>
      <c r="D892" s="43" t="s">
        <v>871</v>
      </c>
      <c r="E892" s="35" t="s">
        <v>871</v>
      </c>
      <c r="F892" s="30"/>
      <c r="G892" s="30" t="s">
        <v>2734</v>
      </c>
      <c r="H892" s="30" t="s">
        <v>2735</v>
      </c>
      <c r="I892" s="47" t="s">
        <v>5313</v>
      </c>
      <c r="J892" s="73">
        <v>24155778</v>
      </c>
      <c r="K892" s="23" t="s">
        <v>4858</v>
      </c>
      <c r="L892" s="60" t="s">
        <v>3292</v>
      </c>
      <c r="M892" s="60" t="s">
        <v>3292</v>
      </c>
      <c r="N892" s="60" t="s">
        <v>3291</v>
      </c>
      <c r="O892" s="60"/>
      <c r="P892" s="60" t="s">
        <v>3323</v>
      </c>
      <c r="Q892" s="20">
        <v>1</v>
      </c>
    </row>
    <row r="893" spans="1:17" ht="64" x14ac:dyDescent="0.2">
      <c r="A893" s="71">
        <v>892</v>
      </c>
      <c r="B893" s="107" t="str">
        <f>HYPERLINK("https://www.ncbi.nlm.nih.gov/gene/7351", "7351")</f>
        <v>7351</v>
      </c>
      <c r="C893" s="109" t="str">
        <f>HYPERLINK("https://www.uniprot.org/uniprot/P55851", "P55851")</f>
        <v>P55851</v>
      </c>
      <c r="D893" s="43" t="s">
        <v>872</v>
      </c>
      <c r="E893" s="35" t="s">
        <v>872</v>
      </c>
      <c r="F893" s="30" t="s">
        <v>2736</v>
      </c>
      <c r="G893" s="30" t="s">
        <v>2737</v>
      </c>
      <c r="H893" s="30" t="s">
        <v>4930</v>
      </c>
      <c r="I893" s="47" t="s">
        <v>2836</v>
      </c>
      <c r="J893" s="73">
        <v>29928365</v>
      </c>
      <c r="K893" s="23" t="s">
        <v>4859</v>
      </c>
      <c r="L893" s="60" t="s">
        <v>3289</v>
      </c>
      <c r="M893" s="60" t="s">
        <v>3289</v>
      </c>
      <c r="N893" s="60" t="s">
        <v>3291</v>
      </c>
      <c r="O893" s="60"/>
      <c r="P893" s="60" t="s">
        <v>5493</v>
      </c>
      <c r="Q893" s="20">
        <v>4</v>
      </c>
    </row>
    <row r="894" spans="1:17" ht="112" x14ac:dyDescent="0.2">
      <c r="A894" s="71">
        <v>893</v>
      </c>
      <c r="B894" s="107" t="str">
        <f>HYPERLINK("https://www.ncbi.nlm.nih.gov/gene/7357", "7357")</f>
        <v>7357</v>
      </c>
      <c r="C894" s="109" t="str">
        <f>HYPERLINK("https://www.uniprot.org/uniprot/Q16739", "Q16739")</f>
        <v>Q16739</v>
      </c>
      <c r="D894" s="43" t="s">
        <v>873</v>
      </c>
      <c r="E894" s="35" t="s">
        <v>873</v>
      </c>
      <c r="F894" s="30"/>
      <c r="G894" s="30" t="s">
        <v>2738</v>
      </c>
      <c r="H894" s="30" t="s">
        <v>4931</v>
      </c>
      <c r="I894" s="47" t="s">
        <v>5465</v>
      </c>
      <c r="J894" s="73" t="s">
        <v>3268</v>
      </c>
      <c r="K894" s="23" t="s">
        <v>4860</v>
      </c>
      <c r="L894" s="60" t="s">
        <v>3289</v>
      </c>
      <c r="M894" s="60" t="s">
        <v>3289</v>
      </c>
      <c r="N894" s="60" t="s">
        <v>3291</v>
      </c>
      <c r="O894" s="60" t="s">
        <v>5509</v>
      </c>
      <c r="P894" s="60" t="s">
        <v>5495</v>
      </c>
      <c r="Q894" s="20">
        <v>2</v>
      </c>
    </row>
    <row r="895" spans="1:17" ht="160" x14ac:dyDescent="0.2">
      <c r="A895" s="71">
        <v>894</v>
      </c>
      <c r="B895" s="107" t="str">
        <f>HYPERLINK("https://www.ncbi.nlm.nih.gov/gene/51720", "51720")</f>
        <v>51720</v>
      </c>
      <c r="C895" s="109" t="str">
        <f>HYPERLINK("https://www.uniprot.org/uniprot/Q96RL1", "Q96RL1")</f>
        <v>Q96RL1</v>
      </c>
      <c r="D895" s="43" t="s">
        <v>874</v>
      </c>
      <c r="E895" s="35" t="s">
        <v>874</v>
      </c>
      <c r="F895" s="30" t="s">
        <v>2739</v>
      </c>
      <c r="G895" s="30" t="s">
        <v>2740</v>
      </c>
      <c r="H895" s="30" t="s">
        <v>2741</v>
      </c>
      <c r="I895" s="47" t="s">
        <v>3332</v>
      </c>
      <c r="J895" s="73" t="s">
        <v>3269</v>
      </c>
      <c r="K895" s="23" t="s">
        <v>4861</v>
      </c>
      <c r="L895" s="60" t="s">
        <v>3289</v>
      </c>
      <c r="M895" s="60" t="s">
        <v>3289</v>
      </c>
      <c r="N895" s="60" t="s">
        <v>3291</v>
      </c>
      <c r="O895" s="60"/>
      <c r="P895" s="60" t="s">
        <v>5493</v>
      </c>
      <c r="Q895" s="20">
        <v>4</v>
      </c>
    </row>
    <row r="896" spans="1:17" ht="80" x14ac:dyDescent="0.2">
      <c r="A896" s="71">
        <v>895</v>
      </c>
      <c r="B896" s="107" t="str">
        <f>HYPERLINK("https://www.ncbi.nlm.nih.gov/gene/7374", "7374")</f>
        <v>7374</v>
      </c>
      <c r="C896" s="109" t="str">
        <f>HYPERLINK("https://www.uniprot.org/uniprot/P13051", "P13051")</f>
        <v>P13051</v>
      </c>
      <c r="D896" s="43" t="s">
        <v>875</v>
      </c>
      <c r="E896" s="38" t="s">
        <v>875</v>
      </c>
      <c r="F896" s="6" t="s">
        <v>2742</v>
      </c>
      <c r="G896" s="28" t="s">
        <v>5049</v>
      </c>
      <c r="H896" s="6" t="s">
        <v>4932</v>
      </c>
      <c r="I896" s="49" t="s">
        <v>5466</v>
      </c>
      <c r="J896" s="73" t="s">
        <v>3270</v>
      </c>
      <c r="K896" s="23" t="s">
        <v>4862</v>
      </c>
      <c r="L896" s="60" t="s">
        <v>3291</v>
      </c>
      <c r="M896" s="60" t="s">
        <v>3292</v>
      </c>
      <c r="N896" s="60" t="s">
        <v>3291</v>
      </c>
      <c r="O896" s="60"/>
      <c r="P896" s="60" t="s">
        <v>3323</v>
      </c>
      <c r="Q896" s="20">
        <v>1</v>
      </c>
    </row>
    <row r="897" spans="1:17" ht="112" x14ac:dyDescent="0.2">
      <c r="A897" s="71">
        <v>896</v>
      </c>
      <c r="B897" s="107" t="str">
        <f>HYPERLINK("https://www.ncbi.nlm.nih.gov/gene/8725", "8725")</f>
        <v>8725</v>
      </c>
      <c r="C897" s="109" t="str">
        <f>HYPERLINK("https://www.uniprot.org/uniprot/O94763", "O94763")</f>
        <v>O94763</v>
      </c>
      <c r="D897" s="43" t="s">
        <v>876</v>
      </c>
      <c r="E897" s="16" t="s">
        <v>928</v>
      </c>
      <c r="F897" s="28" t="s">
        <v>2743</v>
      </c>
      <c r="G897" s="28" t="s">
        <v>2744</v>
      </c>
      <c r="H897" s="28" t="s">
        <v>4933</v>
      </c>
      <c r="I897" s="31" t="s">
        <v>5467</v>
      </c>
      <c r="J897" s="73" t="s">
        <v>3271</v>
      </c>
      <c r="K897" s="23" t="s">
        <v>4863</v>
      </c>
      <c r="L897" s="60" t="s">
        <v>3289</v>
      </c>
      <c r="M897" s="60" t="s">
        <v>3289</v>
      </c>
      <c r="N897" s="60" t="s">
        <v>3291</v>
      </c>
      <c r="O897" s="60"/>
      <c r="P897" s="60" t="s">
        <v>5494</v>
      </c>
      <c r="Q897" s="20">
        <v>5</v>
      </c>
    </row>
    <row r="898" spans="1:17" ht="96" x14ac:dyDescent="0.2">
      <c r="A898" s="71">
        <v>897</v>
      </c>
      <c r="B898" s="107" t="str">
        <f>HYPERLINK("https://www.ncbi.nlm.nih.gov/gene/7398", "7398")</f>
        <v>7398</v>
      </c>
      <c r="C898" s="109" t="str">
        <f>HYPERLINK("https://www.uniprot.org/uniprot/O94782", "O94782")</f>
        <v>O94782</v>
      </c>
      <c r="D898" s="43" t="s">
        <v>877</v>
      </c>
      <c r="E898" s="16" t="s">
        <v>877</v>
      </c>
      <c r="F898" s="28"/>
      <c r="G898" s="28" t="s">
        <v>2745</v>
      </c>
      <c r="H898" s="28" t="s">
        <v>2746</v>
      </c>
      <c r="I898" s="31" t="s">
        <v>5468</v>
      </c>
      <c r="J898" s="73">
        <v>27029531</v>
      </c>
      <c r="K898" s="30" t="s">
        <v>4864</v>
      </c>
      <c r="L898" s="60" t="s">
        <v>3291</v>
      </c>
      <c r="M898" s="60" t="s">
        <v>3289</v>
      </c>
      <c r="N898" s="60" t="s">
        <v>5523</v>
      </c>
      <c r="O898" s="60"/>
      <c r="P898" s="60" t="s">
        <v>3323</v>
      </c>
      <c r="Q898" s="20">
        <v>1</v>
      </c>
    </row>
    <row r="899" spans="1:17" ht="96" x14ac:dyDescent="0.2">
      <c r="A899" s="71">
        <v>898</v>
      </c>
      <c r="B899" s="107" t="str">
        <f>HYPERLINK("https://www.ncbi.nlm.nih.gov/gene/8975", "8975")</f>
        <v>8975</v>
      </c>
      <c r="C899" s="109" t="str">
        <f>HYPERLINK("https://www.uniprot.org/uniprot/Q92995", "Q92995")</f>
        <v>Q92995</v>
      </c>
      <c r="D899" s="43" t="s">
        <v>878</v>
      </c>
      <c r="E899" s="16" t="s">
        <v>878</v>
      </c>
      <c r="F899" s="28" t="s">
        <v>2747</v>
      </c>
      <c r="G899" s="28" t="s">
        <v>2748</v>
      </c>
      <c r="H899" s="28" t="s">
        <v>2749</v>
      </c>
      <c r="I899" s="31" t="s">
        <v>3332</v>
      </c>
      <c r="J899" s="73">
        <v>28569838</v>
      </c>
      <c r="K899" s="23" t="s">
        <v>4865</v>
      </c>
      <c r="L899" s="60" t="s">
        <v>3291</v>
      </c>
      <c r="M899" s="60" t="s">
        <v>3289</v>
      </c>
      <c r="N899" s="60" t="s">
        <v>3291</v>
      </c>
      <c r="O899" s="60"/>
      <c r="P899" s="60" t="s">
        <v>3323</v>
      </c>
      <c r="Q899" s="20">
        <v>1</v>
      </c>
    </row>
    <row r="900" spans="1:17" ht="112" x14ac:dyDescent="0.2">
      <c r="A900" s="71">
        <v>899</v>
      </c>
      <c r="B900" s="107" t="str">
        <f>HYPERLINK("https://www.ncbi.nlm.nih.gov/gene/23326", "23326")</f>
        <v>23326</v>
      </c>
      <c r="C900" s="109" t="str">
        <f>HYPERLINK("https://www.uniprot.org/uniprot/Q9UPT9", "Q9UPT9")</f>
        <v>Q9UPT9</v>
      </c>
      <c r="D900" s="43" t="s">
        <v>879</v>
      </c>
      <c r="E900" s="16" t="s">
        <v>879</v>
      </c>
      <c r="F900" s="28" t="s">
        <v>2750</v>
      </c>
      <c r="G900" s="28" t="s">
        <v>2751</v>
      </c>
      <c r="H900" s="28" t="s">
        <v>4934</v>
      </c>
      <c r="I900" s="31" t="s">
        <v>5469</v>
      </c>
      <c r="J900" s="73">
        <v>31842906</v>
      </c>
      <c r="K900" s="23" t="s">
        <v>4866</v>
      </c>
      <c r="L900" s="60" t="s">
        <v>3289</v>
      </c>
      <c r="M900" s="60" t="s">
        <v>3289</v>
      </c>
      <c r="N900" s="60" t="s">
        <v>3291</v>
      </c>
      <c r="O900" s="60"/>
      <c r="P900" s="60" t="s">
        <v>5495</v>
      </c>
      <c r="Q900" s="20">
        <v>2</v>
      </c>
    </row>
    <row r="901" spans="1:17" ht="112" x14ac:dyDescent="0.2">
      <c r="A901" s="71">
        <v>900</v>
      </c>
      <c r="B901" s="107" t="str">
        <f>HYPERLINK("https://www.ncbi.nlm.nih.gov/gene/57558", "57558")</f>
        <v>57558</v>
      </c>
      <c r="C901" s="109" t="str">
        <f>HYPERLINK("https://www.uniprot.org/uniprot/Q9P2H5", "Q9P2H5")</f>
        <v>Q9P2H5</v>
      </c>
      <c r="D901" s="43" t="s">
        <v>880</v>
      </c>
      <c r="E901" s="16" t="s">
        <v>880</v>
      </c>
      <c r="F901" s="28" t="s">
        <v>2752</v>
      </c>
      <c r="G901" s="28" t="s">
        <v>2753</v>
      </c>
      <c r="H901" s="28" t="s">
        <v>4935</v>
      </c>
      <c r="I901" s="31" t="s">
        <v>5470</v>
      </c>
      <c r="J901" s="73">
        <v>32678307</v>
      </c>
      <c r="K901" s="23" t="s">
        <v>4867</v>
      </c>
      <c r="L901" s="60" t="s">
        <v>3289</v>
      </c>
      <c r="M901" s="60" t="s">
        <v>3289</v>
      </c>
      <c r="N901" s="60" t="s">
        <v>3291</v>
      </c>
      <c r="O901" s="60"/>
      <c r="P901" s="60" t="s">
        <v>5493</v>
      </c>
      <c r="Q901" s="20">
        <v>4</v>
      </c>
    </row>
    <row r="902" spans="1:17" ht="80" x14ac:dyDescent="0.2">
      <c r="A902" s="71">
        <v>901</v>
      </c>
      <c r="B902" s="107" t="str">
        <f>HYPERLINK("https://www.ncbi.nlm.nih.gov/gene/57695", "57695")</f>
        <v>57695</v>
      </c>
      <c r="C902" s="109" t="str">
        <f>HYPERLINK("https://www.uniprot.org/uniprot/Q86T82", "Q86T82")</f>
        <v>Q86T82</v>
      </c>
      <c r="D902" s="43" t="s">
        <v>881</v>
      </c>
      <c r="E902" s="16" t="s">
        <v>881</v>
      </c>
      <c r="F902" s="28"/>
      <c r="G902" s="28" t="s">
        <v>2754</v>
      </c>
      <c r="H902" s="28" t="s">
        <v>2755</v>
      </c>
      <c r="I902" s="31" t="s">
        <v>2852</v>
      </c>
      <c r="J902" s="73">
        <v>30482232</v>
      </c>
      <c r="K902" s="23" t="s">
        <v>4868</v>
      </c>
      <c r="L902" s="60" t="s">
        <v>3289</v>
      </c>
      <c r="M902" s="60" t="s">
        <v>3289</v>
      </c>
      <c r="N902" s="60" t="s">
        <v>3291</v>
      </c>
      <c r="O902" s="60"/>
      <c r="P902" s="60" t="s">
        <v>5495</v>
      </c>
      <c r="Q902" s="20">
        <v>2</v>
      </c>
    </row>
    <row r="903" spans="1:17" ht="80" x14ac:dyDescent="0.2">
      <c r="A903" s="71">
        <v>902</v>
      </c>
      <c r="B903" s="107" t="str">
        <f>HYPERLINK("https://www.ncbi.nlm.nih.gov/gene/7405", "7405")</f>
        <v>7405</v>
      </c>
      <c r="C903" s="109" t="str">
        <f>HYPERLINK("https://www.uniprot.org/uniprot/Q9P2Y5", "Q9P2Y5")</f>
        <v>Q9P2Y5</v>
      </c>
      <c r="D903" s="43" t="s">
        <v>882</v>
      </c>
      <c r="E903" s="16" t="s">
        <v>882</v>
      </c>
      <c r="F903" s="28" t="s">
        <v>2756</v>
      </c>
      <c r="G903" s="28" t="s">
        <v>2757</v>
      </c>
      <c r="H903" s="28" t="s">
        <v>2758</v>
      </c>
      <c r="I903" s="31" t="s">
        <v>5471</v>
      </c>
      <c r="J903" s="73">
        <v>21606679</v>
      </c>
      <c r="K903" s="23" t="s">
        <v>4869</v>
      </c>
      <c r="L903" s="60" t="s">
        <v>3291</v>
      </c>
      <c r="M903" s="60" t="s">
        <v>3289</v>
      </c>
      <c r="N903" s="60" t="s">
        <v>3289</v>
      </c>
      <c r="O903" s="60"/>
      <c r="P903" s="60" t="s">
        <v>3323</v>
      </c>
      <c r="Q903" s="20">
        <v>1</v>
      </c>
    </row>
    <row r="904" spans="1:17" ht="144" x14ac:dyDescent="0.2">
      <c r="A904" s="71">
        <v>903</v>
      </c>
      <c r="B904" s="107" t="str">
        <f>HYPERLINK("https://www.ncbi.nlm.nih.gov/gene/7412", "7412")</f>
        <v>7412</v>
      </c>
      <c r="C904" s="109" t="str">
        <f>HYPERLINK("https://www.uniprot.org/uniprot/P19320", "P19320")</f>
        <v>P19320</v>
      </c>
      <c r="D904" s="43" t="s">
        <v>883</v>
      </c>
      <c r="E904" s="35" t="s">
        <v>883</v>
      </c>
      <c r="F904" s="30"/>
      <c r="G904" s="30" t="s">
        <v>2759</v>
      </c>
      <c r="H904" s="30" t="s">
        <v>4936</v>
      </c>
      <c r="I904" s="47" t="s">
        <v>5472</v>
      </c>
      <c r="J904" s="73" t="s">
        <v>3272</v>
      </c>
      <c r="K904" s="23" t="s">
        <v>4870</v>
      </c>
      <c r="L904" s="60" t="s">
        <v>3289</v>
      </c>
      <c r="M904" s="60" t="s">
        <v>3289</v>
      </c>
      <c r="N904" s="60" t="s">
        <v>3311</v>
      </c>
      <c r="O904" s="60"/>
      <c r="P904" s="60" t="s">
        <v>5495</v>
      </c>
      <c r="Q904" s="20">
        <v>2</v>
      </c>
    </row>
    <row r="905" spans="1:17" ht="112" x14ac:dyDescent="0.2">
      <c r="A905" s="71">
        <v>904</v>
      </c>
      <c r="B905" s="107" t="str">
        <f>HYPERLINK("https://www.ncbi.nlm.nih.gov/gene/7416", "7416")</f>
        <v>7416</v>
      </c>
      <c r="C905" s="109" t="str">
        <f>HYPERLINK("https://www.uniprot.org/uniprot/P21796", "P21796")</f>
        <v>P21796</v>
      </c>
      <c r="D905" s="43" t="s">
        <v>884</v>
      </c>
      <c r="E905" s="16" t="s">
        <v>884</v>
      </c>
      <c r="F905" s="28" t="s">
        <v>2760</v>
      </c>
      <c r="G905" s="28" t="s">
        <v>2761</v>
      </c>
      <c r="H905" s="28" t="s">
        <v>2762</v>
      </c>
      <c r="I905" s="31" t="s">
        <v>5473</v>
      </c>
      <c r="J905" s="73" t="s">
        <v>3273</v>
      </c>
      <c r="K905" s="23" t="s">
        <v>4871</v>
      </c>
      <c r="L905" s="60" t="s">
        <v>3290</v>
      </c>
      <c r="M905" s="60" t="s">
        <v>3290</v>
      </c>
      <c r="N905" s="60" t="s">
        <v>3292</v>
      </c>
      <c r="O905" s="60"/>
      <c r="P905" s="60" t="s">
        <v>3323</v>
      </c>
      <c r="Q905" s="20">
        <v>1</v>
      </c>
    </row>
    <row r="906" spans="1:17" ht="144" x14ac:dyDescent="0.2">
      <c r="A906" s="71">
        <v>905</v>
      </c>
      <c r="B906" s="107" t="str">
        <f>HYPERLINK("https://www.ncbi.nlm.nih.gov/gene/7422", "7422")</f>
        <v>7422</v>
      </c>
      <c r="C906" s="109" t="str">
        <f>HYPERLINK("https://www.uniprot.org/uniprot/P15692", "P15692")</f>
        <v>P15692</v>
      </c>
      <c r="D906" s="43" t="s">
        <v>885</v>
      </c>
      <c r="E906" s="35" t="s">
        <v>885</v>
      </c>
      <c r="F906" s="30" t="s">
        <v>2763</v>
      </c>
      <c r="G906" s="30" t="s">
        <v>2764</v>
      </c>
      <c r="H906" s="30" t="s">
        <v>2765</v>
      </c>
      <c r="I906" s="47" t="s">
        <v>5474</v>
      </c>
      <c r="J906" s="73" t="s">
        <v>3274</v>
      </c>
      <c r="K906" s="23" t="s">
        <v>4872</v>
      </c>
      <c r="L906" s="60" t="s">
        <v>3289</v>
      </c>
      <c r="M906" s="60" t="s">
        <v>3289</v>
      </c>
      <c r="N906" s="60" t="s">
        <v>3291</v>
      </c>
      <c r="O906" s="60" t="s">
        <v>5509</v>
      </c>
      <c r="P906" s="60" t="s">
        <v>5495</v>
      </c>
      <c r="Q906" s="20">
        <v>2</v>
      </c>
    </row>
    <row r="907" spans="1:17" ht="112" x14ac:dyDescent="0.2">
      <c r="A907" s="71">
        <v>906</v>
      </c>
      <c r="B907" s="107" t="str">
        <f>HYPERLINK("https://www.ncbi.nlm.nih.gov/gene/7428", "7428")</f>
        <v>7428</v>
      </c>
      <c r="C907" s="109" t="str">
        <f>HYPERLINK("https://www.uniprot.org/uniprot/P40337", "P40337")</f>
        <v>P40337</v>
      </c>
      <c r="D907" s="43" t="s">
        <v>887</v>
      </c>
      <c r="E907" s="16" t="s">
        <v>887</v>
      </c>
      <c r="F907" s="5"/>
      <c r="G907" s="28" t="s">
        <v>2769</v>
      </c>
      <c r="H907" s="6" t="s">
        <v>4937</v>
      </c>
      <c r="I907" s="49" t="s">
        <v>5475</v>
      </c>
      <c r="J907" s="73" t="s">
        <v>3276</v>
      </c>
      <c r="K907" s="16" t="s">
        <v>3826</v>
      </c>
      <c r="L907" s="60" t="s">
        <v>3291</v>
      </c>
      <c r="M907" s="60" t="s">
        <v>3292</v>
      </c>
      <c r="N907" s="60" t="s">
        <v>3291</v>
      </c>
      <c r="O907" s="60"/>
      <c r="P907" s="60" t="s">
        <v>3323</v>
      </c>
      <c r="Q907" s="20">
        <v>1</v>
      </c>
    </row>
    <row r="908" spans="1:17" ht="160" x14ac:dyDescent="0.2">
      <c r="A908" s="71">
        <v>907</v>
      </c>
      <c r="B908" s="107" t="str">
        <f>HYPERLINK("https://www.ncbi.nlm.nih.gov/gene/7431", "7431")</f>
        <v>7431</v>
      </c>
      <c r="C908" s="109" t="str">
        <f>HYPERLINK("https://www.uniprot.org/uniprot/P08670", "P08670")</f>
        <v>P08670</v>
      </c>
      <c r="D908" s="43" t="s">
        <v>888</v>
      </c>
      <c r="E908" s="16" t="s">
        <v>888</v>
      </c>
      <c r="F908" s="28" t="s">
        <v>2770</v>
      </c>
      <c r="G908" s="28" t="s">
        <v>5050</v>
      </c>
      <c r="H908" s="28" t="s">
        <v>2771</v>
      </c>
      <c r="I908" s="31" t="s">
        <v>2827</v>
      </c>
      <c r="J908" s="73">
        <v>27322682</v>
      </c>
      <c r="K908" s="23" t="s">
        <v>4873</v>
      </c>
      <c r="L908" s="60" t="s">
        <v>3292</v>
      </c>
      <c r="M908" s="60" t="s">
        <v>3292</v>
      </c>
      <c r="N908" s="60" t="s">
        <v>3291</v>
      </c>
      <c r="O908" s="60"/>
      <c r="P908" s="60" t="s">
        <v>3323</v>
      </c>
      <c r="Q908" s="20">
        <v>1</v>
      </c>
    </row>
    <row r="909" spans="1:17" ht="48" x14ac:dyDescent="0.2">
      <c r="A909" s="71">
        <v>908</v>
      </c>
      <c r="B909" s="107" t="str">
        <f>HYPERLINK("https://www.ncbi.nlm.nih.gov/gene/57599", "57599")</f>
        <v>57599</v>
      </c>
      <c r="C909" s="109" t="str">
        <f>HYPERLINK("https://www.uniprot.org/uniprot/Q8TAF3", "Q8TAF3")</f>
        <v>Q8TAF3</v>
      </c>
      <c r="D909" s="43" t="s">
        <v>889</v>
      </c>
      <c r="E909" s="16" t="s">
        <v>889</v>
      </c>
      <c r="F909" s="28" t="s">
        <v>2772</v>
      </c>
      <c r="G909" s="28" t="s">
        <v>2773</v>
      </c>
      <c r="H909" s="28" t="s">
        <v>2774</v>
      </c>
      <c r="I909" s="31" t="s">
        <v>5476</v>
      </c>
      <c r="J909" s="73" t="s">
        <v>3277</v>
      </c>
      <c r="K909" s="23" t="s">
        <v>4874</v>
      </c>
      <c r="L909" s="60" t="s">
        <v>3291</v>
      </c>
      <c r="M909" s="60" t="s">
        <v>3289</v>
      </c>
      <c r="N909" s="60" t="s">
        <v>3291</v>
      </c>
      <c r="O909" s="60"/>
      <c r="P909" s="60" t="s">
        <v>3323</v>
      </c>
      <c r="Q909" s="20">
        <v>1</v>
      </c>
    </row>
    <row r="910" spans="1:17" ht="128" x14ac:dyDescent="0.2">
      <c r="A910" s="71">
        <v>909</v>
      </c>
      <c r="B910" s="107" t="str">
        <f>HYPERLINK("https://www.ncbi.nlm.nih.gov/gene/10406", "10406")</f>
        <v>10406</v>
      </c>
      <c r="C910" s="109" t="str">
        <f>HYPERLINK("https://www.uniprot.org/uniprot/Q14508", "Q14508")</f>
        <v>Q14508</v>
      </c>
      <c r="D910" s="43" t="s">
        <v>890</v>
      </c>
      <c r="E910" s="35" t="s">
        <v>890</v>
      </c>
      <c r="F910" s="30" t="s">
        <v>2775</v>
      </c>
      <c r="G910" s="30" t="s">
        <v>2776</v>
      </c>
      <c r="H910" s="30" t="s">
        <v>4938</v>
      </c>
      <c r="I910" s="47" t="s">
        <v>2835</v>
      </c>
      <c r="J910" s="73" t="s">
        <v>3550</v>
      </c>
      <c r="K910" s="23" t="s">
        <v>4875</v>
      </c>
      <c r="L910" s="60" t="s">
        <v>3289</v>
      </c>
      <c r="M910" s="60" t="s">
        <v>3289</v>
      </c>
      <c r="N910" s="60" t="s">
        <v>3291</v>
      </c>
      <c r="O910" s="60"/>
      <c r="P910" s="60" t="s">
        <v>5494</v>
      </c>
      <c r="Q910" s="20">
        <v>4</v>
      </c>
    </row>
    <row r="911" spans="1:17" ht="96" x14ac:dyDescent="0.2">
      <c r="A911" s="71">
        <v>910</v>
      </c>
      <c r="B911" s="107" t="str">
        <f>HYPERLINK("https://www.ncbi.nlm.nih.gov/gene/51741", "51741")</f>
        <v>51741</v>
      </c>
      <c r="C911" s="109" t="str">
        <f>HYPERLINK("https://www.uniprot.org/uniprot/Q9NZC7", "Q9NZC7")</f>
        <v>Q9NZC7</v>
      </c>
      <c r="D911" s="43" t="s">
        <v>891</v>
      </c>
      <c r="E911" s="16" t="s">
        <v>891</v>
      </c>
      <c r="F911" s="28" t="s">
        <v>2777</v>
      </c>
      <c r="G911" s="28" t="s">
        <v>2778</v>
      </c>
      <c r="H911" s="28" t="s">
        <v>2779</v>
      </c>
      <c r="I911" s="31" t="s">
        <v>5477</v>
      </c>
      <c r="J911" s="73" t="s">
        <v>3278</v>
      </c>
      <c r="K911" s="23" t="s">
        <v>4876</v>
      </c>
      <c r="L911" s="60" t="s">
        <v>3292</v>
      </c>
      <c r="M911" s="60" t="s">
        <v>3292</v>
      </c>
      <c r="N911" s="60" t="s">
        <v>3291</v>
      </c>
      <c r="O911" s="60"/>
      <c r="P911" s="60" t="s">
        <v>5495</v>
      </c>
      <c r="Q911" s="20">
        <v>2</v>
      </c>
    </row>
    <row r="912" spans="1:17" ht="96" x14ac:dyDescent="0.2">
      <c r="A912" s="71">
        <v>911</v>
      </c>
      <c r="B912" s="107" t="str">
        <f>HYPERLINK("https://www.ncbi.nlm.nih.gov/gene/11060", "11060")</f>
        <v>11060</v>
      </c>
      <c r="C912" s="109" t="str">
        <f>HYPERLINK("https://www.uniprot.org/uniprot/O00308", "O00308")</f>
        <v>O00308</v>
      </c>
      <c r="D912" s="43" t="s">
        <v>892</v>
      </c>
      <c r="E912" s="35" t="s">
        <v>892</v>
      </c>
      <c r="F912" s="30"/>
      <c r="G912" s="30" t="s">
        <v>2780</v>
      </c>
      <c r="H912" s="30" t="s">
        <v>2781</v>
      </c>
      <c r="I912" s="47" t="s">
        <v>2833</v>
      </c>
      <c r="J912" s="73">
        <v>25356737</v>
      </c>
      <c r="K912" s="23" t="s">
        <v>4877</v>
      </c>
      <c r="L912" s="60" t="s">
        <v>3292</v>
      </c>
      <c r="M912" s="60" t="s">
        <v>3292</v>
      </c>
      <c r="N912" s="60" t="s">
        <v>3291</v>
      </c>
      <c r="O912" s="60"/>
      <c r="P912" s="60" t="s">
        <v>5494</v>
      </c>
      <c r="Q912" s="20">
        <v>5</v>
      </c>
    </row>
    <row r="913" spans="1:17" ht="96" x14ac:dyDescent="0.2">
      <c r="A913" s="71">
        <v>912</v>
      </c>
      <c r="B913" s="107" t="str">
        <f>HYPERLINK("https://www.ncbi.nlm.nih.gov/gene/25937", "25937")</f>
        <v>25937</v>
      </c>
      <c r="C913" s="109" t="str">
        <f>HYPERLINK("https://www.uniprot.org/uniprot/Q9GZV5", "Q9GZV5")</f>
        <v>Q9GZV5</v>
      </c>
      <c r="D913" s="43" t="s">
        <v>893</v>
      </c>
      <c r="E913" s="35" t="s">
        <v>893</v>
      </c>
      <c r="F913" s="30" t="s">
        <v>2782</v>
      </c>
      <c r="G913" s="30" t="s">
        <v>2783</v>
      </c>
      <c r="H913" s="30" t="s">
        <v>2784</v>
      </c>
      <c r="I913" s="47" t="s">
        <v>2845</v>
      </c>
      <c r="J913" s="73">
        <v>28749195</v>
      </c>
      <c r="K913" s="23" t="s">
        <v>4878</v>
      </c>
      <c r="L913" s="60" t="s">
        <v>3289</v>
      </c>
      <c r="M913" s="60" t="s">
        <v>3289</v>
      </c>
      <c r="N913" s="60" t="s">
        <v>3291</v>
      </c>
      <c r="O913" s="60"/>
      <c r="P913" s="60" t="s">
        <v>3323</v>
      </c>
      <c r="Q913" s="20">
        <v>1</v>
      </c>
    </row>
    <row r="914" spans="1:17" ht="80" x14ac:dyDescent="0.2">
      <c r="A914" s="71">
        <v>913</v>
      </c>
      <c r="B914" s="107" t="str">
        <f>HYPERLINK("https://www.ncbi.nlm.nih.gov/gene/54739", "54739")</f>
        <v>54739</v>
      </c>
      <c r="C914" s="109" t="str">
        <f>HYPERLINK("https://www.uniprot.org/uniprot/Q6GPH4", "Q6GPH4")</f>
        <v>Q6GPH4</v>
      </c>
      <c r="D914" s="43" t="s">
        <v>894</v>
      </c>
      <c r="E914" s="35" t="s">
        <v>894</v>
      </c>
      <c r="F914" s="30" t="s">
        <v>2785</v>
      </c>
      <c r="G914" s="30" t="s">
        <v>2786</v>
      </c>
      <c r="H914" s="30" t="s">
        <v>4939</v>
      </c>
      <c r="I914" s="47" t="s">
        <v>2828</v>
      </c>
      <c r="J914" s="73" t="s">
        <v>3279</v>
      </c>
      <c r="K914" s="23" t="s">
        <v>4879</v>
      </c>
      <c r="L914" s="60" t="s">
        <v>3292</v>
      </c>
      <c r="M914" s="60" t="s">
        <v>3292</v>
      </c>
      <c r="N914" s="60" t="s">
        <v>3291</v>
      </c>
      <c r="O914" s="60"/>
      <c r="P914" s="60" t="s">
        <v>5494</v>
      </c>
      <c r="Q914" s="20">
        <v>4</v>
      </c>
    </row>
    <row r="915" spans="1:17" ht="96" x14ac:dyDescent="0.2">
      <c r="A915" s="71">
        <v>914</v>
      </c>
      <c r="B915" s="107" t="str">
        <f>HYPERLINK("https://www.ncbi.nlm.nih.gov/gene/7494", "7494")</f>
        <v>7494</v>
      </c>
      <c r="C915" s="109" t="str">
        <f>HYPERLINK("https://www.uniprot.org/uniprot/P17861", "P17861")</f>
        <v>P17861</v>
      </c>
      <c r="D915" s="43" t="s">
        <v>895</v>
      </c>
      <c r="E915" s="16" t="s">
        <v>895</v>
      </c>
      <c r="F915" s="28" t="s">
        <v>2787</v>
      </c>
      <c r="G915" s="28" t="s">
        <v>2788</v>
      </c>
      <c r="H915" s="28" t="s">
        <v>2789</v>
      </c>
      <c r="I915" s="31" t="s">
        <v>2840</v>
      </c>
      <c r="J915" s="73" t="s">
        <v>3280</v>
      </c>
      <c r="K915" s="30" t="s">
        <v>4880</v>
      </c>
      <c r="L915" s="60" t="s">
        <v>3290</v>
      </c>
      <c r="M915" s="60" t="s">
        <v>3290</v>
      </c>
      <c r="N915" s="60" t="s">
        <v>3289</v>
      </c>
      <c r="O915" s="60"/>
      <c r="P915" s="60" t="s">
        <v>3323</v>
      </c>
      <c r="Q915" s="20">
        <v>1</v>
      </c>
    </row>
    <row r="916" spans="1:17" ht="96" x14ac:dyDescent="0.2">
      <c r="A916" s="71">
        <v>915</v>
      </c>
      <c r="B916" s="107" t="str">
        <f>HYPERLINK("https://www.ncbi.nlm.nih.gov/gene/331", "331")</f>
        <v>331</v>
      </c>
      <c r="C916" s="109" t="str">
        <f>HYPERLINK("https://www.uniprot.org/uniprot/P98170", "P98170")</f>
        <v>P98170</v>
      </c>
      <c r="D916" s="43" t="s">
        <v>896</v>
      </c>
      <c r="E916" s="16" t="s">
        <v>896</v>
      </c>
      <c r="F916" s="28"/>
      <c r="G916" s="28" t="s">
        <v>2790</v>
      </c>
      <c r="H916" s="28" t="s">
        <v>3506</v>
      </c>
      <c r="I916" s="31" t="s">
        <v>5478</v>
      </c>
      <c r="J916" s="73" t="s">
        <v>3632</v>
      </c>
      <c r="K916" s="23" t="s">
        <v>4881</v>
      </c>
      <c r="L916" s="60" t="s">
        <v>3289</v>
      </c>
      <c r="M916" s="60" t="s">
        <v>3289</v>
      </c>
      <c r="N916" s="60" t="s">
        <v>3291</v>
      </c>
      <c r="O916" s="60"/>
      <c r="P916" s="60" t="s">
        <v>5493</v>
      </c>
      <c r="Q916" s="20">
        <v>4</v>
      </c>
    </row>
    <row r="917" spans="1:17" ht="160" x14ac:dyDescent="0.2">
      <c r="A917" s="71">
        <v>916</v>
      </c>
      <c r="B917" s="107" t="str">
        <f>HYPERLINK("https://www.ncbi.nlm.nih.gov/gene/7507", "7507")</f>
        <v>7507</v>
      </c>
      <c r="C917" s="109" t="str">
        <f>HYPERLINK("https://www.uniprot.org/uniprot/P23025", "P23025")</f>
        <v>P23025</v>
      </c>
      <c r="D917" s="43" t="s">
        <v>897</v>
      </c>
      <c r="E917" s="77" t="s">
        <v>897</v>
      </c>
      <c r="F917" s="18" t="s">
        <v>2791</v>
      </c>
      <c r="G917" s="28" t="s">
        <v>5051</v>
      </c>
      <c r="H917" s="28" t="s">
        <v>2792</v>
      </c>
      <c r="I917" s="31" t="s">
        <v>3334</v>
      </c>
      <c r="J917" s="73" t="s">
        <v>3869</v>
      </c>
      <c r="K917" s="15" t="s">
        <v>3868</v>
      </c>
      <c r="L917" s="60" t="s">
        <v>3289</v>
      </c>
      <c r="M917" s="60" t="s">
        <v>3289</v>
      </c>
      <c r="N917" s="60" t="s">
        <v>3291</v>
      </c>
      <c r="O917" s="60"/>
      <c r="P917" s="60" t="s">
        <v>5493</v>
      </c>
      <c r="Q917" s="20">
        <v>4</v>
      </c>
    </row>
    <row r="918" spans="1:17" ht="160" x14ac:dyDescent="0.2">
      <c r="A918" s="71">
        <v>917</v>
      </c>
      <c r="B918" s="107" t="str">
        <f>HYPERLINK("https://www.ncbi.nlm.nih.gov/gene/7508", "7508")</f>
        <v>7508</v>
      </c>
      <c r="C918" s="109" t="str">
        <f>HYPERLINK("https://www.uniprot.org/uniprot/Q01831", "Q01831")</f>
        <v>Q01831</v>
      </c>
      <c r="D918" s="43" t="s">
        <v>898</v>
      </c>
      <c r="E918" s="77" t="s">
        <v>898</v>
      </c>
      <c r="F918" s="18" t="s">
        <v>2793</v>
      </c>
      <c r="G918" s="28" t="s">
        <v>2794</v>
      </c>
      <c r="H918" s="28" t="s">
        <v>2795</v>
      </c>
      <c r="I918" s="31" t="s">
        <v>3334</v>
      </c>
      <c r="J918" s="73" t="s">
        <v>3654</v>
      </c>
      <c r="K918" s="15" t="s">
        <v>3655</v>
      </c>
      <c r="L918" s="60" t="s">
        <v>3289</v>
      </c>
      <c r="M918" s="60" t="s">
        <v>3289</v>
      </c>
      <c r="N918" s="60" t="s">
        <v>3289</v>
      </c>
      <c r="O918" s="60"/>
      <c r="P918" s="60" t="s">
        <v>3323</v>
      </c>
      <c r="Q918" s="20">
        <v>1</v>
      </c>
    </row>
    <row r="919" spans="1:17" ht="112" x14ac:dyDescent="0.2">
      <c r="A919" s="71">
        <v>918</v>
      </c>
      <c r="B919" s="107" t="str">
        <f>HYPERLINK("https://www.ncbi.nlm.nih.gov/gene/7514", "7514")</f>
        <v>7514</v>
      </c>
      <c r="C919" s="109" t="str">
        <f>HYPERLINK("https://www.uniprot.org/uniprot/O14980", "O14980")</f>
        <v>O14980</v>
      </c>
      <c r="D919" s="43" t="s">
        <v>899</v>
      </c>
      <c r="E919" s="35" t="s">
        <v>899</v>
      </c>
      <c r="F919" s="30" t="s">
        <v>2796</v>
      </c>
      <c r="G919" s="30" t="s">
        <v>2797</v>
      </c>
      <c r="H919" s="30" t="s">
        <v>3354</v>
      </c>
      <c r="I919" s="47" t="s">
        <v>5479</v>
      </c>
      <c r="J919" s="73">
        <v>27649553</v>
      </c>
      <c r="K919" s="23" t="s">
        <v>3622</v>
      </c>
      <c r="L919" s="60" t="s">
        <v>3289</v>
      </c>
      <c r="M919" s="60" t="s">
        <v>3289</v>
      </c>
      <c r="N919" s="60" t="s">
        <v>3291</v>
      </c>
      <c r="O919" s="60"/>
      <c r="P919" s="60" t="s">
        <v>5494</v>
      </c>
      <c r="Q919" s="20">
        <v>5</v>
      </c>
    </row>
    <row r="920" spans="1:17" ht="112" x14ac:dyDescent="0.2">
      <c r="A920" s="71">
        <v>919</v>
      </c>
      <c r="B920" s="107" t="str">
        <f>HYPERLINK("https://www.ncbi.nlm.nih.gov/gene/7515", "7515")</f>
        <v>7515</v>
      </c>
      <c r="C920" s="109" t="str">
        <f>HYPERLINK("https://www.uniprot.org/uniprot/P18887", "P18887")</f>
        <v>P18887</v>
      </c>
      <c r="D920" s="43" t="s">
        <v>900</v>
      </c>
      <c r="E920" s="38" t="s">
        <v>900</v>
      </c>
      <c r="F920" s="6"/>
      <c r="G920" s="28" t="s">
        <v>2798</v>
      </c>
      <c r="H920" s="6" t="s">
        <v>2799</v>
      </c>
      <c r="I920" s="49" t="s">
        <v>5480</v>
      </c>
      <c r="J920" s="73">
        <v>24525731</v>
      </c>
      <c r="K920" s="23" t="s">
        <v>4882</v>
      </c>
      <c r="L920" s="60" t="s">
        <v>3289</v>
      </c>
      <c r="M920" s="60" t="s">
        <v>3289</v>
      </c>
      <c r="N920" s="60" t="s">
        <v>3291</v>
      </c>
      <c r="O920" s="60"/>
      <c r="P920" s="60" t="s">
        <v>5494</v>
      </c>
      <c r="Q920" s="20">
        <v>5</v>
      </c>
    </row>
    <row r="921" spans="1:17" ht="64" x14ac:dyDescent="0.2">
      <c r="A921" s="71">
        <v>920</v>
      </c>
      <c r="B921" s="107" t="str">
        <f>HYPERLINK("https://www.ncbi.nlm.nih.gov/gene/7516", "7516")</f>
        <v>7516</v>
      </c>
      <c r="C921" s="109" t="str">
        <f>HYPERLINK("https://www.uniprot.org/uniprot/O43543", "O43543")</f>
        <v>O43543</v>
      </c>
      <c r="D921" s="43" t="s">
        <v>901</v>
      </c>
      <c r="E921" s="16" t="s">
        <v>901</v>
      </c>
      <c r="F921" s="5"/>
      <c r="G921" s="28" t="s">
        <v>5052</v>
      </c>
      <c r="H921" s="6" t="s">
        <v>4940</v>
      </c>
      <c r="I921" s="49" t="s">
        <v>3332</v>
      </c>
      <c r="J921" s="73" t="s">
        <v>3281</v>
      </c>
      <c r="K921" s="16" t="s">
        <v>3827</v>
      </c>
      <c r="L921" s="60" t="s">
        <v>3289</v>
      </c>
      <c r="M921" s="60" t="s">
        <v>3289</v>
      </c>
      <c r="N921" s="60" t="s">
        <v>3291</v>
      </c>
      <c r="O921" s="60"/>
      <c r="P921" s="60" t="s">
        <v>3323</v>
      </c>
      <c r="Q921" s="20">
        <v>1</v>
      </c>
    </row>
    <row r="922" spans="1:17" ht="80" x14ac:dyDescent="0.2">
      <c r="A922" s="71">
        <v>921</v>
      </c>
      <c r="B922" s="107" t="str">
        <f>HYPERLINK("https://www.ncbi.nlm.nih.gov/gene/7517", "7517")</f>
        <v>7517</v>
      </c>
      <c r="C922" s="109" t="str">
        <f>HYPERLINK("https://www.uniprot.org/uniprot/O43542", "O43542")</f>
        <v>O43542</v>
      </c>
      <c r="D922" s="43" t="s">
        <v>902</v>
      </c>
      <c r="E922" s="16" t="s">
        <v>902</v>
      </c>
      <c r="F922" s="5"/>
      <c r="G922" s="28" t="s">
        <v>5053</v>
      </c>
      <c r="H922" s="6" t="s">
        <v>4941</v>
      </c>
      <c r="I922" s="49" t="s">
        <v>3332</v>
      </c>
      <c r="J922" s="73">
        <v>15843498</v>
      </c>
      <c r="K922" s="16" t="s">
        <v>3828</v>
      </c>
      <c r="L922" s="60" t="s">
        <v>3291</v>
      </c>
      <c r="M922" s="60" t="s">
        <v>3289</v>
      </c>
      <c r="N922" s="60" t="s">
        <v>3291</v>
      </c>
      <c r="O922" s="60"/>
      <c r="P922" s="60" t="s">
        <v>3323</v>
      </c>
      <c r="Q922" s="20">
        <v>1</v>
      </c>
    </row>
    <row r="923" spans="1:17" ht="48" x14ac:dyDescent="0.2">
      <c r="A923" s="71">
        <v>922</v>
      </c>
      <c r="B923" s="107" t="str">
        <f>HYPERLINK("https://www.ncbi.nlm.nih.gov/gene/7518", "7518")</f>
        <v>7518</v>
      </c>
      <c r="C923" s="109" t="str">
        <f>HYPERLINK("https://www.uniprot.org/uniprot/Q13426", "Q13426")</f>
        <v>Q13426</v>
      </c>
      <c r="D923" s="43" t="s">
        <v>903</v>
      </c>
      <c r="E923" s="16" t="s">
        <v>903</v>
      </c>
      <c r="F923" s="5"/>
      <c r="G923" s="28" t="s">
        <v>5054</v>
      </c>
      <c r="H923" s="6" t="s">
        <v>2800</v>
      </c>
      <c r="I923" s="49" t="s">
        <v>3332</v>
      </c>
      <c r="J923" s="73">
        <v>21785230</v>
      </c>
      <c r="K923" s="13" t="s">
        <v>3829</v>
      </c>
      <c r="L923" s="60" t="s">
        <v>3291</v>
      </c>
      <c r="M923" s="60" t="s">
        <v>3289</v>
      </c>
      <c r="N923" s="60" t="s">
        <v>3291</v>
      </c>
      <c r="O923" s="60"/>
      <c r="P923" s="60" t="s">
        <v>3323</v>
      </c>
      <c r="Q923" s="20">
        <v>1</v>
      </c>
    </row>
    <row r="924" spans="1:17" ht="80" x14ac:dyDescent="0.2">
      <c r="A924" s="71">
        <v>923</v>
      </c>
      <c r="B924" s="107" t="str">
        <f>HYPERLINK("https://www.ncbi.nlm.nih.gov/gene/7520", "7520")</f>
        <v>7520</v>
      </c>
      <c r="C924" s="109" t="str">
        <f>HYPERLINK("https://www.uniprot.org/uniprot/P13010", "P13010")</f>
        <v>P13010</v>
      </c>
      <c r="D924" s="43" t="s">
        <v>904</v>
      </c>
      <c r="E924" s="16" t="s">
        <v>904</v>
      </c>
      <c r="F924" s="28" t="s">
        <v>2801</v>
      </c>
      <c r="G924" s="28" t="s">
        <v>3544</v>
      </c>
      <c r="H924" s="28" t="s">
        <v>4942</v>
      </c>
      <c r="I924" s="31" t="s">
        <v>3335</v>
      </c>
      <c r="J924" s="73" t="s">
        <v>3591</v>
      </c>
      <c r="K924" s="23" t="s">
        <v>4883</v>
      </c>
      <c r="L924" s="60" t="s">
        <v>3289</v>
      </c>
      <c r="M924" s="60" t="s">
        <v>3289</v>
      </c>
      <c r="N924" s="60" t="s">
        <v>3290</v>
      </c>
      <c r="O924" s="60"/>
      <c r="P924" s="60" t="s">
        <v>5492</v>
      </c>
      <c r="Q924" s="20">
        <v>4</v>
      </c>
    </row>
    <row r="925" spans="1:17" ht="80" x14ac:dyDescent="0.2">
      <c r="A925" s="71">
        <v>924</v>
      </c>
      <c r="B925" s="107" t="str">
        <f>HYPERLINK("https://www.ncbi.nlm.nih.gov/gene/2547", "2547")</f>
        <v>2547</v>
      </c>
      <c r="C925" s="109" t="str">
        <f>HYPERLINK("https://www.uniprot.org/uniprot/P12956", "P12956")</f>
        <v>P12956</v>
      </c>
      <c r="D925" s="43" t="s">
        <v>905</v>
      </c>
      <c r="E925" s="16" t="s">
        <v>905</v>
      </c>
      <c r="F925" s="28" t="s">
        <v>2802</v>
      </c>
      <c r="G925" s="28" t="s">
        <v>3545</v>
      </c>
      <c r="H925" s="28" t="s">
        <v>4942</v>
      </c>
      <c r="I925" s="31" t="s">
        <v>3335</v>
      </c>
      <c r="J925" s="73" t="s">
        <v>3592</v>
      </c>
      <c r="K925" s="23" t="s">
        <v>4884</v>
      </c>
      <c r="L925" s="60" t="s">
        <v>3290</v>
      </c>
      <c r="M925" s="60" t="s">
        <v>3290</v>
      </c>
      <c r="N925" s="60" t="s">
        <v>3292</v>
      </c>
      <c r="O925" s="60"/>
      <c r="P925" s="60" t="s">
        <v>5492</v>
      </c>
      <c r="Q925" s="20">
        <v>4</v>
      </c>
    </row>
    <row r="926" spans="1:17" ht="64" x14ac:dyDescent="0.2">
      <c r="A926" s="71">
        <v>925</v>
      </c>
      <c r="B926" s="107" t="str">
        <f>HYPERLINK("https://www.ncbi.nlm.nih.gov/gene/10413", "10413")</f>
        <v>10413</v>
      </c>
      <c r="C926" s="109" t="str">
        <f>HYPERLINK("https://www.uniprot.org/uniprot/P46937", "P46937")</f>
        <v>P46937</v>
      </c>
      <c r="D926" s="43" t="s">
        <v>906</v>
      </c>
      <c r="E926" s="34" t="s">
        <v>906</v>
      </c>
      <c r="F926" s="30" t="s">
        <v>2803</v>
      </c>
      <c r="G926" s="28" t="s">
        <v>5055</v>
      </c>
      <c r="H926" s="30" t="s">
        <v>5490</v>
      </c>
      <c r="I926" s="47" t="s">
        <v>5481</v>
      </c>
      <c r="J926" s="73">
        <v>26716514</v>
      </c>
      <c r="K926" s="23" t="s">
        <v>4885</v>
      </c>
      <c r="L926" s="60" t="s">
        <v>3289</v>
      </c>
      <c r="M926" s="60" t="s">
        <v>3289</v>
      </c>
      <c r="N926" s="60" t="s">
        <v>3291</v>
      </c>
      <c r="O926" s="60"/>
      <c r="P926" s="60" t="s">
        <v>3323</v>
      </c>
      <c r="Q926" s="20">
        <v>1</v>
      </c>
    </row>
    <row r="927" spans="1:17" ht="48" x14ac:dyDescent="0.2">
      <c r="A927" s="71">
        <v>926</v>
      </c>
      <c r="B927" s="107" t="str">
        <f>HYPERLINK("https://www.ncbi.nlm.nih.gov/gene/4904", "4904")</f>
        <v>4904</v>
      </c>
      <c r="C927" s="109" t="str">
        <f>HYPERLINK("https://www.uniprot.org/uniprot/P67809", "P67809")</f>
        <v>P67809</v>
      </c>
      <c r="D927" s="43" t="s">
        <v>907</v>
      </c>
      <c r="E927" s="34" t="s">
        <v>907</v>
      </c>
      <c r="F927" s="30" t="s">
        <v>2804</v>
      </c>
      <c r="G927" s="28" t="s">
        <v>5056</v>
      </c>
      <c r="H927" s="30" t="s">
        <v>4943</v>
      </c>
      <c r="I927" s="47" t="s">
        <v>2850</v>
      </c>
      <c r="J927" s="73" t="s">
        <v>3282</v>
      </c>
      <c r="K927" s="23" t="s">
        <v>3283</v>
      </c>
      <c r="L927" s="60" t="s">
        <v>3289</v>
      </c>
      <c r="M927" s="60" t="s">
        <v>3289</v>
      </c>
      <c r="N927" s="60" t="s">
        <v>3291</v>
      </c>
      <c r="O927" s="60"/>
      <c r="P927" s="60" t="s">
        <v>3323</v>
      </c>
      <c r="Q927" s="20">
        <v>1</v>
      </c>
    </row>
    <row r="928" spans="1:17" ht="80" x14ac:dyDescent="0.2">
      <c r="A928" s="71">
        <v>927</v>
      </c>
      <c r="B928" s="107" t="str">
        <f>HYPERLINK("https://www.ncbi.nlm.nih.gov/gene/54915", "54915")</f>
        <v>54915</v>
      </c>
      <c r="C928" s="109" t="str">
        <f>HYPERLINK("https://www.uniprot.org/uniprot/Q9BYJ9", "Q9BYJ9")</f>
        <v>Q9BYJ9</v>
      </c>
      <c r="D928" s="43" t="s">
        <v>908</v>
      </c>
      <c r="E928" s="34" t="s">
        <v>908</v>
      </c>
      <c r="F928" s="30" t="s">
        <v>2805</v>
      </c>
      <c r="G928" s="28" t="s">
        <v>2806</v>
      </c>
      <c r="H928" s="30" t="s">
        <v>3374</v>
      </c>
      <c r="I928" s="47" t="s">
        <v>5482</v>
      </c>
      <c r="J928" s="73">
        <v>31653849</v>
      </c>
      <c r="K928" s="23" t="s">
        <v>4886</v>
      </c>
      <c r="L928" s="60" t="s">
        <v>3292</v>
      </c>
      <c r="M928" s="60" t="s">
        <v>3292</v>
      </c>
      <c r="N928" s="60" t="s">
        <v>3291</v>
      </c>
      <c r="O928" s="60"/>
      <c r="P928" s="60" t="s">
        <v>5492</v>
      </c>
      <c r="Q928" s="20">
        <v>4</v>
      </c>
    </row>
    <row r="929" spans="1:17" ht="48" x14ac:dyDescent="0.2">
      <c r="A929" s="71">
        <v>928</v>
      </c>
      <c r="B929" s="107" t="str">
        <f>HYPERLINK("https://www.ncbi.nlm.nih.gov/gene/7532", "7532")</f>
        <v>7532</v>
      </c>
      <c r="C929" s="109" t="str">
        <f>HYPERLINK("https://www.uniprot.org/uniprot/P61981", "P61981")</f>
        <v>P61981</v>
      </c>
      <c r="D929" s="43" t="s">
        <v>909</v>
      </c>
      <c r="E929" s="16" t="s">
        <v>909</v>
      </c>
      <c r="F929" s="5" t="s">
        <v>5057</v>
      </c>
      <c r="G929" s="28" t="s">
        <v>5057</v>
      </c>
      <c r="H929" s="6" t="s">
        <v>2807</v>
      </c>
      <c r="I929" s="49" t="s">
        <v>2847</v>
      </c>
      <c r="J929" s="73">
        <v>11577088</v>
      </c>
      <c r="K929" s="13" t="s">
        <v>3284</v>
      </c>
      <c r="L929" s="60" t="s">
        <v>3289</v>
      </c>
      <c r="M929" s="60" t="s">
        <v>3289</v>
      </c>
      <c r="N929" s="60" t="s">
        <v>3291</v>
      </c>
      <c r="O929" s="60"/>
      <c r="P929" s="60" t="s">
        <v>3323</v>
      </c>
      <c r="Q929" s="20">
        <v>1</v>
      </c>
    </row>
    <row r="930" spans="1:17" ht="48" x14ac:dyDescent="0.2">
      <c r="A930" s="71">
        <v>929</v>
      </c>
      <c r="B930" s="107" t="str">
        <f>HYPERLINK("https://www.ncbi.nlm.nih.gov/gene/7533", "7533")</f>
        <v>7533</v>
      </c>
      <c r="C930" s="109" t="str">
        <f>HYPERLINK("https://www.uniprot.org/uniprot/Q04917", "Q04917")</f>
        <v>Q04917</v>
      </c>
      <c r="D930" s="43" t="s">
        <v>910</v>
      </c>
      <c r="E930" s="34" t="s">
        <v>910</v>
      </c>
      <c r="F930" s="30" t="s">
        <v>2808</v>
      </c>
      <c r="G930" s="30" t="s">
        <v>2808</v>
      </c>
      <c r="H930" s="30" t="s">
        <v>2809</v>
      </c>
      <c r="I930" s="47" t="s">
        <v>2847</v>
      </c>
      <c r="J930" s="73">
        <v>11577088</v>
      </c>
      <c r="K930" s="23" t="s">
        <v>3284</v>
      </c>
      <c r="L930" s="60" t="s">
        <v>3289</v>
      </c>
      <c r="M930" s="60" t="s">
        <v>3289</v>
      </c>
      <c r="N930" s="60" t="s">
        <v>3291</v>
      </c>
      <c r="O930" s="60"/>
      <c r="P930" s="60" t="s">
        <v>3323</v>
      </c>
      <c r="Q930" s="20">
        <v>1</v>
      </c>
    </row>
    <row r="931" spans="1:17" ht="48" x14ac:dyDescent="0.2">
      <c r="A931" s="71">
        <v>930</v>
      </c>
      <c r="B931" s="107" t="str">
        <f>HYPERLINK("https://www.ncbi.nlm.nih.gov/gene/10971", "10971")</f>
        <v>10971</v>
      </c>
      <c r="C931" s="109" t="str">
        <f>HYPERLINK("https://www.uniprot.org/uniprot/P27348", "P27348")</f>
        <v>P27348</v>
      </c>
      <c r="D931" s="43" t="s">
        <v>911</v>
      </c>
      <c r="E931" s="16" t="s">
        <v>911</v>
      </c>
      <c r="F931" s="5" t="s">
        <v>2810</v>
      </c>
      <c r="G931" s="5" t="s">
        <v>2810</v>
      </c>
      <c r="H931" s="6" t="s">
        <v>2807</v>
      </c>
      <c r="I931" s="49" t="s">
        <v>2847</v>
      </c>
      <c r="J931" s="73">
        <v>14701673</v>
      </c>
      <c r="K931" s="16" t="s">
        <v>3830</v>
      </c>
      <c r="L931" s="60" t="s">
        <v>3291</v>
      </c>
      <c r="M931" s="60" t="s">
        <v>3289</v>
      </c>
      <c r="N931" s="60" t="s">
        <v>3322</v>
      </c>
      <c r="O931" s="60"/>
      <c r="P931" s="60" t="s">
        <v>3323</v>
      </c>
      <c r="Q931" s="20">
        <v>1</v>
      </c>
    </row>
    <row r="932" spans="1:17" ht="48" x14ac:dyDescent="0.2">
      <c r="A932" s="71">
        <v>931</v>
      </c>
      <c r="B932" s="107" t="str">
        <f>HYPERLINK("https://www.ncbi.nlm.nih.gov/gene/7534", "7534")</f>
        <v>7534</v>
      </c>
      <c r="C932" s="109" t="str">
        <f>HYPERLINK("https://www.uniprot.org/uniprot/P63104", "P63104")</f>
        <v>P63104</v>
      </c>
      <c r="D932" s="43" t="s">
        <v>912</v>
      </c>
      <c r="E932" s="34" t="s">
        <v>912</v>
      </c>
      <c r="F932" s="30" t="s">
        <v>2811</v>
      </c>
      <c r="G932" s="30" t="s">
        <v>5058</v>
      </c>
      <c r="H932" s="30" t="s">
        <v>2809</v>
      </c>
      <c r="I932" s="47" t="s">
        <v>5483</v>
      </c>
      <c r="J932" s="73">
        <v>17699796</v>
      </c>
      <c r="K932" s="23" t="s">
        <v>3285</v>
      </c>
      <c r="L932" s="60" t="s">
        <v>3289</v>
      </c>
      <c r="M932" s="60" t="s">
        <v>3289</v>
      </c>
      <c r="N932" s="60" t="s">
        <v>3289</v>
      </c>
      <c r="O932" s="60"/>
      <c r="P932" s="60" t="s">
        <v>5494</v>
      </c>
      <c r="Q932" s="20">
        <v>5</v>
      </c>
    </row>
    <row r="933" spans="1:17" ht="144" x14ac:dyDescent="0.2">
      <c r="A933" s="71">
        <v>932</v>
      </c>
      <c r="B933" s="107" t="str">
        <f>HYPERLINK("https://www.ncbi.nlm.nih.gov/gene/7528", "7528")</f>
        <v>7528</v>
      </c>
      <c r="C933" s="113" t="str">
        <f>HYPERLINK("https://www.uniprot.org/uniprot/P25490", "P25490")</f>
        <v>P25490</v>
      </c>
      <c r="D933" s="43" t="s">
        <v>913</v>
      </c>
      <c r="E933" s="35" t="s">
        <v>913</v>
      </c>
      <c r="F933" s="47" t="s">
        <v>2812</v>
      </c>
      <c r="G933" s="47" t="s">
        <v>2813</v>
      </c>
      <c r="H933" s="47" t="s">
        <v>4944</v>
      </c>
      <c r="I933" s="47" t="s">
        <v>5484</v>
      </c>
      <c r="J933" s="73" t="s">
        <v>3286</v>
      </c>
      <c r="K933" s="23" t="s">
        <v>4887</v>
      </c>
      <c r="L933" s="60" t="s">
        <v>3289</v>
      </c>
      <c r="M933" s="60" t="s">
        <v>3289</v>
      </c>
      <c r="N933" s="60" t="s">
        <v>3289</v>
      </c>
      <c r="O933" s="60"/>
      <c r="P933" s="60" t="s">
        <v>5494</v>
      </c>
      <c r="Q933" s="64">
        <v>5</v>
      </c>
    </row>
    <row r="934" spans="1:17" ht="160" x14ac:dyDescent="0.2">
      <c r="A934" s="71">
        <v>933</v>
      </c>
      <c r="B934" s="107" t="str">
        <f>HYPERLINK("https://www.ncbi.nlm.nih.gov/gene/51341", "51341")</f>
        <v>51341</v>
      </c>
      <c r="C934" s="109" t="str">
        <f>HYPERLINK("https://www.uniprot.org/uniprot/O95365", "O95365")</f>
        <v>O95365</v>
      </c>
      <c r="D934" s="43" t="s">
        <v>3500</v>
      </c>
      <c r="E934" s="35" t="s">
        <v>3500</v>
      </c>
      <c r="F934" s="30" t="s">
        <v>3502</v>
      </c>
      <c r="G934" s="30" t="s">
        <v>3501</v>
      </c>
      <c r="H934" s="30" t="s">
        <v>4945</v>
      </c>
      <c r="I934" s="47" t="s">
        <v>5485</v>
      </c>
      <c r="J934" s="73" t="s">
        <v>3503</v>
      </c>
      <c r="K934" s="23" t="s">
        <v>4888</v>
      </c>
      <c r="L934" s="60" t="s">
        <v>3290</v>
      </c>
      <c r="M934" s="60" t="s">
        <v>3290</v>
      </c>
      <c r="N934" s="60" t="s">
        <v>3291</v>
      </c>
      <c r="O934" s="60"/>
      <c r="P934" s="60" t="s">
        <v>3323</v>
      </c>
      <c r="Q934" s="20">
        <v>1</v>
      </c>
    </row>
    <row r="935" spans="1:17" ht="128" x14ac:dyDescent="0.2">
      <c r="A935" s="71">
        <v>934</v>
      </c>
      <c r="B935" s="107" t="str">
        <f>HYPERLINK("https://www.ncbi.nlm.nih.gov/gene/6935", "6935")</f>
        <v>6935</v>
      </c>
      <c r="C935" s="109" t="str">
        <f>HYPERLINK("https://www.uniprot.org/uniprot/P37275", "P37275")</f>
        <v>P37275</v>
      </c>
      <c r="D935" s="43" t="s">
        <v>914</v>
      </c>
      <c r="E935" s="35" t="s">
        <v>914</v>
      </c>
      <c r="F935" s="30" t="s">
        <v>2814</v>
      </c>
      <c r="G935" s="30" t="s">
        <v>2815</v>
      </c>
      <c r="H935" s="30" t="s">
        <v>4946</v>
      </c>
      <c r="I935" s="47" t="s">
        <v>5486</v>
      </c>
      <c r="J935" s="73" t="s">
        <v>3886</v>
      </c>
      <c r="K935" s="23" t="s">
        <v>4889</v>
      </c>
      <c r="L935" s="60" t="s">
        <v>3289</v>
      </c>
      <c r="M935" s="60" t="s">
        <v>3289</v>
      </c>
      <c r="N935" s="60" t="s">
        <v>3291</v>
      </c>
      <c r="O935" s="60"/>
      <c r="P935" s="60" t="s">
        <v>5495</v>
      </c>
      <c r="Q935" s="20">
        <v>2</v>
      </c>
    </row>
    <row r="936" spans="1:17" ht="64" x14ac:dyDescent="0.2">
      <c r="A936" s="71">
        <v>935</v>
      </c>
      <c r="B936" s="107" t="str">
        <f>HYPERLINK("https://www.ncbi.nlm.nih.gov/gene/9839", "9839")</f>
        <v>9839</v>
      </c>
      <c r="C936" s="109" t="str">
        <f>HYPERLINK("https://www.uniprot.org/uniprot/O60315", "O60315")</f>
        <v>O60315</v>
      </c>
      <c r="D936" s="43" t="s">
        <v>915</v>
      </c>
      <c r="E936" s="35" t="s">
        <v>915</v>
      </c>
      <c r="F936" s="30" t="s">
        <v>2816</v>
      </c>
      <c r="G936" s="30" t="s">
        <v>2817</v>
      </c>
      <c r="H936" s="30" t="s">
        <v>3507</v>
      </c>
      <c r="I936" s="47" t="s">
        <v>5247</v>
      </c>
      <c r="J936" s="73" t="s">
        <v>3887</v>
      </c>
      <c r="K936" s="23" t="s">
        <v>4890</v>
      </c>
      <c r="L936" s="60" t="s">
        <v>3289</v>
      </c>
      <c r="M936" s="60" t="s">
        <v>3289</v>
      </c>
      <c r="N936" s="60" t="s">
        <v>3291</v>
      </c>
      <c r="O936" s="60"/>
      <c r="P936" s="60" t="s">
        <v>3323</v>
      </c>
      <c r="Q936" s="20">
        <v>1</v>
      </c>
    </row>
    <row r="937" spans="1:17" ht="64" x14ac:dyDescent="0.2">
      <c r="A937" s="71">
        <v>936</v>
      </c>
      <c r="B937" s="107" t="str">
        <f>HYPERLINK("https://www.ncbi.nlm.nih.gov/gene/7702", "7702")</f>
        <v>7702</v>
      </c>
      <c r="C937" s="109" t="str">
        <f>HYPERLINK("https://www.uniprot.org/uniprot/P52747", "P52747")</f>
        <v>P52747</v>
      </c>
      <c r="D937" s="43" t="s">
        <v>916</v>
      </c>
      <c r="E937" s="42" t="s">
        <v>916</v>
      </c>
      <c r="F937" s="47" t="s">
        <v>2818</v>
      </c>
      <c r="G937" s="47" t="s">
        <v>2819</v>
      </c>
      <c r="H937" s="47" t="s">
        <v>2820</v>
      </c>
      <c r="I937" s="47" t="s">
        <v>5487</v>
      </c>
      <c r="J937" s="73">
        <v>17297437</v>
      </c>
      <c r="K937" s="47" t="s">
        <v>4891</v>
      </c>
      <c r="L937" s="60" t="s">
        <v>3289</v>
      </c>
      <c r="M937" s="60" t="s">
        <v>3289</v>
      </c>
      <c r="N937" s="60" t="s">
        <v>3291</v>
      </c>
      <c r="O937" s="60"/>
      <c r="P937" s="60" t="s">
        <v>3323</v>
      </c>
      <c r="Q937" s="64">
        <v>1</v>
      </c>
    </row>
    <row r="938" spans="1:17" ht="64" x14ac:dyDescent="0.2">
      <c r="A938" s="71">
        <v>937</v>
      </c>
      <c r="B938" s="107" t="str">
        <f>HYPERLINK("https://www.ncbi.nlm.nih.gov/gene/81931", "81931")</f>
        <v>81931</v>
      </c>
      <c r="C938" s="109" t="str">
        <f>HYPERLINK("https://www.uniprot.org/uniprot/P35789", "P35789")</f>
        <v>P35789</v>
      </c>
      <c r="D938" s="43" t="s">
        <v>917</v>
      </c>
      <c r="E938" s="35" t="s">
        <v>917</v>
      </c>
      <c r="F938" s="47" t="s">
        <v>2821</v>
      </c>
      <c r="G938" s="47" t="s">
        <v>5059</v>
      </c>
      <c r="H938" s="47" t="s">
        <v>4947</v>
      </c>
      <c r="I938" s="47" t="s">
        <v>5488</v>
      </c>
      <c r="J938" s="73">
        <v>19742314</v>
      </c>
      <c r="K938" s="47" t="s">
        <v>4892</v>
      </c>
      <c r="L938" s="60" t="s">
        <v>3289</v>
      </c>
      <c r="M938" s="60" t="s">
        <v>3289</v>
      </c>
      <c r="N938" s="60" t="s">
        <v>3291</v>
      </c>
      <c r="O938" s="60"/>
      <c r="P938" s="60" t="s">
        <v>3323</v>
      </c>
      <c r="Q938" s="64">
        <v>1</v>
      </c>
    </row>
    <row r="939" spans="1:17" x14ac:dyDescent="0.2">
      <c r="B939" s="8"/>
      <c r="C939" s="7"/>
      <c r="J939" s="1"/>
    </row>
  </sheetData>
  <hyperlinks>
    <hyperlink ref="J2" r:id="rId1" display="https://pubmed.ncbi.nlm.nih.gov/?term=22909821%2C%2018004398%5Buid%5D" xr:uid="{BAD53981-E9BF-40F3-B470-8F42494E1792}"/>
    <hyperlink ref="J3" r:id="rId2" display="https://pubmed.ncbi.nlm.nih.gov/?term=25891226%5Buid%5D" xr:uid="{98403CBF-79D6-4D09-AACC-7C3FC35196DE}"/>
    <hyperlink ref="J4" r:id="rId3" display="15262121, 15863151, 16026610, 10810398" xr:uid="{D58AB4AC-F95F-47DB-8E62-4FCF363C87CD}"/>
    <hyperlink ref="J5" r:id="rId4" display="https://pubmed.ncbi.nlm.nih.gov/?term=31107974%5Buid%5D" xr:uid="{489376D5-A8FD-4BDA-9DD1-7D18EEF682EE}"/>
    <hyperlink ref="J6" r:id="rId5" display="20005867, 25308861" xr:uid="{42C70B21-8DF9-448F-8B37-3E312D689DC1}"/>
    <hyperlink ref="J7" r:id="rId6" display="https://pubmed.ncbi.nlm.nih.gov/?term=15688364%2C%2016213010%2C%2017145840%2C%209230284%2C%2020204280%5Buid%5D" xr:uid="{264FBFE7-153E-4E96-BE88-73552984E34E}"/>
    <hyperlink ref="J8" r:id="rId7" display="https://pubmed.ncbi.nlm.nih.gov/?term=24176985,11223551" xr:uid="{6829C45F-05CA-468A-A02C-CFD88E726BE6}"/>
    <hyperlink ref="J9" r:id="rId8" display="https://pubmed.ncbi.nlm.nih.gov/?term=20005867%2C%2020200426%5Buid%5D" xr:uid="{4264C88F-AD36-48DE-BE3C-413CD47C7728}"/>
    <hyperlink ref="J10" r:id="rId9" display="25248111, 10728601" xr:uid="{84363D6F-53CD-4702-9F26-8750821B222C}"/>
    <hyperlink ref="J11" r:id="rId10" display="https://pubmed.ncbi.nlm.nih.gov/?term=24739237%5Buid%5D" xr:uid="{A737E7AE-6877-44FB-8C17-80918A718089}"/>
    <hyperlink ref="J12" r:id="rId11" display="https://pubmed.ncbi.nlm.nih.gov/?term=14973057%2C%2028112439%5Buid%5D" xr:uid="{BF541DAA-1D48-4DE0-B0CF-BAE491C2255C}"/>
    <hyperlink ref="J13" r:id="rId12" display="https://pubmed.ncbi.nlm.nih.gov/?term=20354527%2C%20%2022112610%2C%2023423781%2C%2015014021%5Buid%5D" xr:uid="{E2C938AF-AFE3-4AD2-BBD8-A2266BC2A29E}"/>
    <hyperlink ref="J14" r:id="rId13" display="https://pubmed.ncbi.nlm.nih.gov/?term=27323405%5Buid%5D" xr:uid="{3A14142B-4497-40A5-844D-5488DC7C0C03}"/>
    <hyperlink ref="J15" r:id="rId14" display="https://pubmed.ncbi.nlm.nih.gov/?term=23117882%2C%2010098743%2C%2023660976%5Buid%5D" xr:uid="{D9D3C758-45A2-4828-8E83-F3114A0C4FB1}"/>
    <hyperlink ref="J16" r:id="rId15" display="https://pubmed.ncbi.nlm.nih.gov/?term=22357538%2C%2028569838%5Buid%5D" xr:uid="{043C1323-B5CF-47DC-9781-915186893891}"/>
    <hyperlink ref="J17" r:id="rId16" display="https://pubmed.ncbi.nlm.nih.gov/?term=29883801%5Buid%5D" xr:uid="{49CC809B-9494-47B9-A4E3-B8C8D5A82A9D}"/>
    <hyperlink ref="J18" r:id="rId17" display="https://pubmed.ncbi.nlm.nih.gov/?term=27133165%5Buid%5D" xr:uid="{B9215780-6736-448C-9DE7-D4A8004D8019}"/>
    <hyperlink ref="J19" r:id="rId18" display="https://pubmed.ncbi.nlm.nih.gov/?term=25960282%2C%2022110952%2C%2017873890%2C%2029867145%5Buid%5D" xr:uid="{F1BDABA0-DC83-4837-9612-6360B85CC7C6}"/>
    <hyperlink ref="J20" r:id="rId19" display="https://pubmed.ncbi.nlm.nih.gov/?term=21224400%5Buid%5D" xr:uid="{7C2D9ACB-E3D2-47C1-AB21-0E7E57BEDA41}"/>
    <hyperlink ref="J21" r:id="rId20" display="https://pubmed.ncbi.nlm.nih.gov/?term=24935471%2C%2028703811%5Buid%5D" xr:uid="{4D24DD71-F384-45F4-9E10-608BA0BA69B1}"/>
    <hyperlink ref="J22" r:id="rId21" display="https://pubmed.ncbi.nlm.nih.gov/?term=29662625%2C%2029171106%5Buid%5D" xr:uid="{116E531F-FC06-4022-9038-36C905B82D2C}"/>
    <hyperlink ref="J23" r:id="rId22" display="https://pubmed.ncbi.nlm.nih.gov/?term=29247567%2C%2020672324%5Buid%5D" xr:uid="{AE9A5891-FA3E-48D6-95EB-5092130BE559}"/>
    <hyperlink ref="J24" r:id="rId23" display="https://pubmed.ncbi.nlm.nih.gov/?term=22361111%5Buid%5D" xr:uid="{65AE5C45-1C36-4FF3-AB29-B3D18CF64905}"/>
    <hyperlink ref="J25" r:id="rId24" display="https://pubmed.ncbi.nlm.nih.gov/?term=18283299%5Buid%5D" xr:uid="{99B4A3C3-F1D4-4C54-9304-12BD0E88F86D}"/>
    <hyperlink ref="J26" r:id="rId25" display="https://pubmed.ncbi.nlm.nih.gov/?term=27417252%5Buid%5D" xr:uid="{18009CCF-9C77-4A6C-B3F1-A1E12AB5F7BE}"/>
    <hyperlink ref="J27" r:id="rId26" display="https://pubmed.ncbi.nlm.nih.gov/?term=23165153%2C%2015790446%2C%2027698389%5Buid%5D" xr:uid="{E78B66D0-1DE0-45F6-8A9E-A3FFE39E7120}"/>
    <hyperlink ref="J28" r:id="rId27" display="https://pubmed.ncbi.nlm.nih.gov/?term=32678482%2C%2024527071%2C%2022534668%5Buid%5D" xr:uid="{10B2A444-D3F4-4256-B9FF-26686DEC22D7}"/>
    <hyperlink ref="J29" r:id="rId28" display="https://pubmed.ncbi.nlm.nih.gov/?term=23165153%2C%2015790446%5Buid%5D" xr:uid="{5C3E5C19-D25C-4EE0-843E-8720596909EF}"/>
    <hyperlink ref="J30" r:id="rId29" display="https://pubmed.ncbi.nlm.nih.gov/?term=20032415%2C%2027935869%2C%2028664915%5Buid%5D" xr:uid="{87826546-C673-431E-BCFE-664A15AE417D}"/>
    <hyperlink ref="J31" r:id="rId30" display="https://pubmed.ncbi.nlm.nih.gov/?term=33287446%5Buid%5D" xr:uid="{1D87F39C-FFBC-4C18-90D9-7DCA9A9425C2}"/>
    <hyperlink ref="J32" r:id="rId31" display="https://pubmed.ncbi.nlm.nih.gov/?term=12697749%2C%2012517798%5Buid%5D" xr:uid="{DEF891BC-DDF7-481D-9030-7BD24C547631}"/>
    <hyperlink ref="J33" r:id="rId32" display="27813328, 20889728, 31658996, 25916979, 22222226" xr:uid="{E15E419E-82AC-451D-898A-E01BA24D290B}"/>
    <hyperlink ref="J34" r:id="rId33" display="https://pubmed.ncbi.nlm.nih.gov/?term=28881734%5Buid%5D" xr:uid="{A969ADCB-9609-4E53-AC62-C56C0E69F870}"/>
    <hyperlink ref="J35" r:id="rId34" display="https://pubmed.ncbi.nlm.nih.gov/?term=25215901%2C%2021080034%2C%2025096996%5Buid%5D" xr:uid="{7BD4F1DE-4345-47FF-8646-1CC3D551C9D9}"/>
    <hyperlink ref="J36" r:id="rId35" display="https://pubmed.ncbi.nlm.nih.gov/?term=21285982%2C%2022826605%2C%2029415318%5Buid%5D" xr:uid="{D513D947-8E37-4BF2-9F1A-A4C038A9D1F8}"/>
    <hyperlink ref="J37" r:id="rId36" display="https://pubmed.ncbi.nlm.nih.gov/?term=26763392%2C%2028224423%5Buid%5D" xr:uid="{FB70E089-5668-4DBE-8BD5-2349EDEDDEBB}"/>
    <hyperlink ref="J38" r:id="rId37" display="https://pubmed.ncbi.nlm.nih.gov/?term=9610690%2C%2025149074%2C%2030439707%5Buid%5D" xr:uid="{59938B25-5A28-4743-BA59-5888823CD7EC}"/>
    <hyperlink ref="J39" r:id="rId38" display="https://pubmed.ncbi.nlm.nih.gov/?term=18980987%2C%2024531715%5Buid%5D" xr:uid="{44666874-BEF2-43A7-9795-F461675CCED8}"/>
    <hyperlink ref="J40" r:id="rId39" display="https://pubmed.ncbi.nlm.nih.gov/?term=28886730%2C%2028224423%5Buid%5D" xr:uid="{498CCCC8-2639-4711-B710-B738249DD555}"/>
    <hyperlink ref="J41" r:id="rId40" display="https://pubmed.ncbi.nlm.nih.gov/?term=30868675%2C%2024375474%5Buid%5D" xr:uid="{9604B478-8340-488B-96DA-8740DB2C54A8}"/>
    <hyperlink ref="J42" r:id="rId41" display="https://pubmed.ncbi.nlm.nih.gov/?term=19598262%2C%2024244679%5Buid%5D" xr:uid="{2850F497-3842-4D46-86C7-496FEDF3F037}"/>
    <hyperlink ref="J43" r:id="rId42" display="https://pubmed.ncbi.nlm.nih.gov/?term=20925046%2C%2012543167%5Buid%5D" xr:uid="{5ED7E02F-9E40-43AC-984B-A479B24ED79D}"/>
    <hyperlink ref="J44" r:id="rId43" display="https://pubmed.ncbi.nlm.nih.gov/?term=26049416%2C%2033423038%5Buid%5D" xr:uid="{7B6ED263-87CC-4D74-8045-FBF1B8931152}"/>
    <hyperlink ref="J45" r:id="rId44" display="https://pubmed.ncbi.nlm.nih.gov/?term=26164266%2C%2020087352%2C%2021357694%5Buid%5D" xr:uid="{09B51C63-AFE3-4860-B8EF-EA6D5051DFA2}"/>
    <hyperlink ref="J46" r:id="rId45" display="https://pubmed.ncbi.nlm.nih.gov/?term=27933604%2C%2024643204%5Buid%5D" xr:uid="{73CFD86D-CDBC-41B2-8DE8-0980777A4E52}"/>
    <hyperlink ref="J47" r:id="rId46" display="https://pubmed.ncbi.nlm.nih.gov/?term=28459431%5Buid%5D" xr:uid="{81158D3F-8519-4455-8A2D-F82D7073EBBC}"/>
    <hyperlink ref="J48" r:id="rId47" display="https://pubmed.ncbi.nlm.nih.gov/?term=21752536%5Buid%5D" xr:uid="{EDD734B4-2358-47AE-A6FA-3AE08A2964A2}"/>
    <hyperlink ref="J49" r:id="rId48" display="https://pubmed.ncbi.nlm.nih.gov/?term=29660381%5Buid%5D" xr:uid="{D804B3A0-F3BF-4A52-B7AF-C4E11012BFFE}"/>
    <hyperlink ref="J50" r:id="rId49" display="https://pubmed.ncbi.nlm.nih.gov/?term=25327563%2C%2019881956%2C%2030139993%5Buid%5D" xr:uid="{27C492A1-0FAF-4E0D-A7DA-91EBDDBC74AF}"/>
    <hyperlink ref="J51" r:id="rId50" display="https://pubmed.ncbi.nlm.nih.gov/?term=30844312%2C%2028930681%2C%2025624349%5Buid%5D" xr:uid="{02AB6A4E-9103-4A8C-A8BE-FDC782FEA890}"/>
    <hyperlink ref="J52" r:id="rId51" display="https://pubmed.ncbi.nlm.nih.gov/?term=25476899%2C%2025925371%5Buid%5D" xr:uid="{18D9568B-7B8D-42C5-A921-FC35D1859DA3}"/>
    <hyperlink ref="J53" r:id="rId52" display="https://pubmed.ncbi.nlm.nih.gov/?term=26967059%2C%2010928066%2C%2023907215%5Buid%5D" xr:uid="{2FE1001E-CFD8-4785-8797-17F3D166FCFF}"/>
    <hyperlink ref="J54" r:id="rId53" display="https://pubmed.ncbi.nlm.nih.gov/?term=19533750%2C%2026982031%2C%2027765932%5Buid%5D" xr:uid="{3787A81B-42D3-49E0-BF67-27B67E13386F}"/>
    <hyperlink ref="J55" r:id="rId54" display="https://pubmed.ncbi.nlm.nih.gov/?term=28120035%2C%2025359574%5Buid%5D" xr:uid="{E7F35247-808D-4E11-8785-259416BA484E}"/>
    <hyperlink ref="J56" r:id="rId55" display="https://pubmed.ncbi.nlm.nih.gov/?term=%2026241884%2C%2020651982%2C%2024554706%5Buid%5D" xr:uid="{C0291E94-5864-4B22-9938-F21649023FFC}"/>
    <hyperlink ref="J57" r:id="rId56" display="https://pubmed.ncbi.nlm.nih.gov/?term=14695168%2C%2017297441%2C%2022338651%5Buid%5D" xr:uid="{66BD139B-8712-4210-95E1-4554FEBDCCBA}"/>
    <hyperlink ref="J58" r:id="rId57" display="https://pubmed.ncbi.nlm.nih.gov/?term=32080166%2C%2031029032%5Buid%5D" xr:uid="{54700184-A85B-4661-A4AD-7A899D021DB2}"/>
    <hyperlink ref="J59" r:id="rId58" display="https://pubmed.ncbi.nlm.nih.gov/28553083,24817946" xr:uid="{D97F0C26-D806-415F-9C09-9A099313C556}"/>
    <hyperlink ref="J60" r:id="rId59" display="25650716, 31885310" xr:uid="{339D5408-6CF6-47F7-AFA2-5A8958D5EE76}"/>
    <hyperlink ref="J61" r:id="rId60" display="https://pubmed.ncbi.nlm.nih.gov/?term=29512762%5Buid%5D" xr:uid="{9E4FB092-3119-4E21-B4C6-BB2FDDE5BF2E}"/>
    <hyperlink ref="J62" r:id="rId61" display="https://pubmed.ncbi.nlm.nih.gov/?term=31160576%2C%2028553083%5Buid%5D" xr:uid="{B83DBC4C-74FB-44A2-AB06-525B49C54A12}"/>
    <hyperlink ref="J63" r:id="rId62" display="https://pubmed.ncbi.nlm.nih.gov/?term=26674120%2C%2022312557%5Buid%5D" xr:uid="{D3FD8241-8AEA-4573-8D7B-1029F5B83E05}"/>
    <hyperlink ref="J64" r:id="rId63" display="https://pubmed.ncbi.nlm.nih.gov/?term=30464262%5Buid%5D" xr:uid="{8C9E65FA-4FCA-4816-814A-0619EBB9250B}"/>
    <hyperlink ref="J65" r:id="rId64" display="https://pubmed.ncbi.nlm.nih.gov/?term=23585472%5Buid%5D" xr:uid="{6B71E6F3-B654-463C-B5A7-2764CC6A72C4}"/>
    <hyperlink ref="J67" r:id="rId65" display="https://pubmed.ncbi.nlm.nih.gov/19322565,10487609" xr:uid="{38D0BF3E-C210-42FD-B27C-E6A7CA788F60}"/>
    <hyperlink ref="J68" r:id="rId66" display="https://pubmed.ncbi.nlm.nih.gov/?term=11519050%2C%2015547183%5Buid%5D" xr:uid="{478F606A-0A4D-4975-B065-E7877654BE22}"/>
    <hyperlink ref="J69" r:id="rId67" display="https://pubmed.ncbi.nlm.nih.gov/?term=11519050%2C%2015547183%5Buid%5D" xr:uid="{2738FC0C-3DBD-4940-97AB-64F7DE15828C}"/>
    <hyperlink ref="J70" r:id="rId68" display="https://pubmed.ncbi.nlm.nih.gov/?term=11519050%2C%2015547183%2C%2028592880%5Buid%5D" xr:uid="{2024982F-EA38-4025-8E4F-94A6C58BA11A}"/>
    <hyperlink ref="J71" r:id="rId69" display="https://pubmed.ncbi.nlm.nih.gov/?term=11519050%2C%2015547183%5Buid%5D" xr:uid="{DD862553-6AB2-449F-9A81-92F05BF03172}"/>
    <hyperlink ref="J72" r:id="rId70" display="https://pubmed.ncbi.nlm.nih.gov/?term=11519050%2C%2015547183%5Buid%5D" xr:uid="{4AAEFB6E-3CAF-4C75-B48B-A62AD23ADC3C}"/>
    <hyperlink ref="J73" r:id="rId71" display="https://pubmed.ncbi.nlm.nih.gov/?term=11519050%2C%2015547183%5Buid%5D" xr:uid="{DE396587-2902-464F-A13D-447687ED35B4}"/>
    <hyperlink ref="J74" r:id="rId72" display="https://pubmed.ncbi.nlm.nih.gov/?term=18610736%2C%2014676106%2C%2015269138%5Buid%5D" xr:uid="{C9355DB3-94B9-4086-8C6E-E15B274D4036}"/>
    <hyperlink ref="J75" r:id="rId73" display="https://pubmed.ncbi.nlm.nih.gov/?term=12216079%2C%2018610736%2C%2015790435%5Buid%5D" xr:uid="{FCD4826F-D838-44E7-9276-0E2C057AAD5E}"/>
    <hyperlink ref="J76" r:id="rId74" display="https://pubmed.ncbi.nlm.nih.gov/?term=25560806%5Buid%5D" xr:uid="{2AA03360-F577-46B2-A8C1-7A069559D82F}"/>
    <hyperlink ref="J77" r:id="rId75" display="https://pubmed.ncbi.nlm.nih.gov/?term=25560806%2C%2023723247%5Buid%5D" xr:uid="{DBDDF789-A0AF-40CC-B454-92B5BFDD913F}"/>
    <hyperlink ref="J78" r:id="rId76" display="28417568, 27209210" xr:uid="{8545E87F-8EE3-4630-9EFB-CE3625716F64}"/>
    <hyperlink ref="J79" r:id="rId77" display="https://pubmed.ncbi.nlm.nih.gov/?term=23117882%5Buid%5D" xr:uid="{06CC5A50-DD60-47F4-9BB0-95A5BA27F135}"/>
    <hyperlink ref="J80" r:id="rId78" display="https://pubmed.ncbi.nlm.nih.gov/21849418,22397496" xr:uid="{5EFF0310-0B4C-484D-9E7B-7D93521C63EB}"/>
    <hyperlink ref="J81" r:id="rId79" display="https://pubmed.ncbi.nlm.nih.gov/?term=24992675%2C%2028628188%5Buid%5D" xr:uid="{35280BD1-20C8-4870-B33D-9F54AB563101}"/>
    <hyperlink ref="J82" r:id="rId80" display="https://pubmed.ncbi.nlm.nih.gov/?term=21823019%2C%2026406239%5Buid%5D" xr:uid="{6E2EC01D-C03C-47A4-9C2B-E50BD1BE5B3E}"/>
    <hyperlink ref="J83" r:id="rId81" display="https://pubmed.ncbi.nlm.nih.gov/?term=30395583%2C%2033547197%5Buid%5D" xr:uid="{CC8DF8D5-1AA6-457F-B52C-139F89624A26}"/>
    <hyperlink ref="J84" r:id="rId82" display="https://pubmed.ncbi.nlm.nih.gov/?term=23147994%2C%2021693656%2C%2018089818%20%5Buid%5D" xr:uid="{56CF4AB8-D9A0-4C34-930F-C909D8DE7536}"/>
    <hyperlink ref="J85" r:id="rId83" display="11720475, 31966904" xr:uid="{A88640F6-3BF9-4705-8CEA-2183A5267422}"/>
    <hyperlink ref="J86" r:id="rId84" display="https://pubmed.ncbi.nlm.nih.gov/?term=21863213%2C%2033034274%5Buid%5D" xr:uid="{F46F1EBA-CACC-408B-9622-83780B7D5B41}"/>
    <hyperlink ref="J87" r:id="rId85" display="https://pubmed.ncbi.nlm.nih.gov/?term=27246112%5Buid%5D" xr:uid="{2DE168A3-D921-4045-AA30-51682A75B25D}"/>
    <hyperlink ref="J88" r:id="rId86" display="19240170, 16009487" xr:uid="{3BC2B1AD-E62A-4611-ABE6-C0DA562199C6}"/>
    <hyperlink ref="J89" r:id="rId87" display="https://pubmed.ncbi.nlm.nih.gov/?term=31003775%2C%2024277158%5Buid%5D" xr:uid="{2EB87075-9F38-4296-9E01-AC1F82DF4432}"/>
    <hyperlink ref="J90" r:id="rId88" display="26401016, 17275076, 31262032" xr:uid="{6CECAF63-E58F-427F-A98C-2E59EAA0CB64}"/>
    <hyperlink ref="J91" r:id="rId89" display="https://pubmed.ncbi.nlm.nih.gov/?term=21561860%2C%2022924699%5Buid%5D" xr:uid="{5583CD0B-55B8-45E5-9CEC-5796D0FDD94E}"/>
    <hyperlink ref="J92" r:id="rId90" display="https://pubmed.ncbi.nlm.nih.gov/?term=30019389%5Buid%5D" xr:uid="{064B05DD-4231-44B9-AC6F-C72BB8F9113C}"/>
    <hyperlink ref="J93" r:id="rId91" display="https://pubmed.ncbi.nlm.nih.gov/?term=29512762%2C%2029399172%2C%2026458502%5Buid%5D" xr:uid="{F5C76A2F-2629-4A08-8BD8-DDCC0CA17483}"/>
    <hyperlink ref="J94" r:id="rId92" display="https://pubmed.ncbi.nlm.nih.gov/?term=28083995%5Buid%5D" xr:uid="{0B3159D4-4AF5-44EF-AAF6-46BDD87456CC}"/>
    <hyperlink ref="J95" r:id="rId93" display="https://pubmed.ncbi.nlm.nih.gov/?term=25876658%2C%2023423709%5Buid%5D" xr:uid="{D2F033D0-5886-401C-9A95-E0295CA0BE4C}"/>
    <hyperlink ref="J96" r:id="rId94" display="https://pubmed.ncbi.nlm.nih.gov/29182622,32024383" xr:uid="{A04D70B5-8E17-4B0D-B6E7-56019A2DD06F}"/>
    <hyperlink ref="J97" r:id="rId95" display="https://pubmed.ncbi.nlm.nih.gov/?term=30176890%5Buid%5D" xr:uid="{4B59BF03-9F9B-453A-AF91-4C09F73BF563}"/>
    <hyperlink ref="J98" r:id="rId96" display="https://pubmed.ncbi.nlm.nih.gov/?term=21447800%2C%2030733337%2C%2022778941%5Buid%5D" xr:uid="{7EEBE5E6-9021-4CEE-8B49-42759D1E8B5A}"/>
    <hyperlink ref="J99" r:id="rId97" display="https://pubmed.ncbi.nlm.nih.gov/?term=29769618%2C%2011145600%2C%2022669575%2C%2028804784%5Buid%5D" xr:uid="{669D77F4-1946-414A-90B9-151A48D4E29F}"/>
    <hyperlink ref="J100" r:id="rId98" display="29769618, 30487125" xr:uid="{35118E30-4732-4151-B259-9955CAB9A729}"/>
    <hyperlink ref="J101" r:id="rId99" display="https://pubmed.ncbi.nlm.nih.gov/?term=23229441%2C%2020514400%2C%2027384994%2C%2023358177%2C%2011241318%5Buid%5D" xr:uid="{F88CDBA1-9F08-4A1C-9247-7D246DB9DB63}"/>
    <hyperlink ref="J102" r:id="rId100" display="https://pubmed.ncbi.nlm.nih.gov/?term=23188704%5Buid%5D" xr:uid="{26F9CE71-FD15-4D04-B39C-7B15714128D8}"/>
    <hyperlink ref="J103" r:id="rId101" display="https://pubmed.ncbi.nlm.nih.gov/?term=29452344%5Buid%5D" xr:uid="{FFBC7DE2-D7D5-46A7-81B6-0906A93C8E33}"/>
    <hyperlink ref="J104" r:id="rId102" display="https://pubmed.ncbi.nlm.nih.gov/?term=29685168%2C%2026294655%2C%2021445297%5Buid%5D" xr:uid="{95BD3DB6-0610-4352-81B7-E6B1D1F63741}"/>
    <hyperlink ref="J105" r:id="rId103" display="https://pubmed.ncbi.nlm.nih.gov/?term=22535375%2C%2021674241%5Buid%5D" xr:uid="{66F55B41-C22C-410F-8CD6-21875CA23BDE}"/>
    <hyperlink ref="J106" r:id="rId104" display="https://pubmed.ncbi.nlm.nih.gov/?term=26235139%5Buid%5D" xr:uid="{56F9D0B6-D027-4079-8A9F-B0127691BEBE}"/>
    <hyperlink ref="J107" r:id="rId105" display="https://pubmed.ncbi.nlm.nih.gov/?term=26201611%2C%2033202209%2C%2032412667%5Buid%5D" xr:uid="{301C1D15-8EDE-41BC-B6AA-59FAC8955F2A}"/>
    <hyperlink ref="J108" r:id="rId106" display="https://pubmed.ncbi.nlm.nih.gov/?term=29985192%5Buid%5D" xr:uid="{500B43DB-1CFD-4E55-90F0-CEF50DA92F91}"/>
    <hyperlink ref="J109" r:id="rId107" display="https://pubmed.ncbi.nlm.nih.gov/?term=15547178%2C%2017956347%2C%2018413725%2C%2020940403%2C%2022253870%2C%2024168967%5Buid%5D" xr:uid="{F5A02786-1640-4010-B525-64B068C95820}"/>
    <hyperlink ref="J110" r:id="rId108" display="https://pubmed.ncbi.nlm.nih.gov/?term=18264087%2C%2022711857%2C%2020877358%2C%2029066501%5Buid%5D" xr:uid="{0976F601-4F9D-483A-AAC9-93F8914FA97A}"/>
    <hyperlink ref="J111" r:id="rId109" display="https://pubmed.ncbi.nlm.nih.gov/?term=28714904%2C%2032457312%5Buid%5D" xr:uid="{542F7804-9B98-45DC-9DC6-CC8F07FD005D}"/>
    <hyperlink ref="J112" r:id="rId110" display="https://pubmed.ncbi.nlm.nih.gov/?term=26680099%5Buid%5D" xr:uid="{48C02F0E-19D3-4612-93A3-781158FDC587}"/>
    <hyperlink ref="J113" r:id="rId111" display="https://pubmed.ncbi.nlm.nih.gov/?term=28056551%2C%2017671123%2C%2028703811%5Buid%5D" xr:uid="{B985444E-1F0C-4EF1-83D8-B029E16276E9}"/>
    <hyperlink ref="J114" r:id="rId112" display="https://pubmed.ncbi.nlm.nih.gov/?term=22771308%2C%2016544101%2C%2023692256%5Buid%5D" xr:uid="{2B168BFD-DB64-4986-93C7-6E9872815039}"/>
    <hyperlink ref="J115" r:id="rId113" display="https://pubmed.ncbi.nlm.nih.gov/?term=30038717%5Buid%5D" xr:uid="{622B74A7-A857-42F1-AAD0-67BCD821B12F}"/>
    <hyperlink ref="J116" r:id="rId114" display="https://pubmed.ncbi.nlm.nih.gov/?term=30127991%5Buid%5D" xr:uid="{0E2F9836-35E6-4643-802E-D5299F2244A3}"/>
    <hyperlink ref="J117" r:id="rId115" display="https://pubmed.ncbi.nlm.nih.gov/?term=28089626%5Buid%5D" xr:uid="{4CAC9109-2B7B-4EDA-9538-46176D187750}"/>
    <hyperlink ref="J118" r:id="rId116" display="https://pubmed.ncbi.nlm.nih.gov/?term=18214855%2C%2028089626%2C%2030448882%2C%2027994509%5Buid%5D" xr:uid="{A37D8ADE-A2C8-4BB1-AD56-EA143D40DCF3}"/>
    <hyperlink ref="J119" r:id="rId117" display="https://pubmed.ncbi.nlm.nih.gov/?term=24833094%5Buid%5D" xr:uid="{44328BDC-9255-4023-967D-E9EDAA5C8128}"/>
    <hyperlink ref="J120" r:id="rId118" display="https://pubmed.ncbi.nlm.nih.gov/?term=15901768%5Buid%5D" xr:uid="{52931947-E15C-4138-A526-8B7849E17348}"/>
    <hyperlink ref="J121" r:id="rId119" display="https://pubmed.ncbi.nlm.nih.gov/?term=21567094%5Buid%5D" xr:uid="{2E732033-43D6-42EE-9354-8A7639CF0E6F}"/>
    <hyperlink ref="J122" r:id="rId120" display="https://pubmed.ncbi.nlm.nih.gov/?term=11703590%2C%2030816202%2C%209787143%5Buid%5D" xr:uid="{E3363F5D-E5D5-4D19-BE3A-717988AA6861}"/>
    <hyperlink ref="J123" r:id="rId121" display="https://pubmed.ncbi.nlm.nih.gov/?term=11703590%2C%2027384994%2C%209787143%5Buid%5D" xr:uid="{6C03CA80-CE8D-4299-8062-CEF79558FDA1}"/>
    <hyperlink ref="J124" r:id="rId122" display="https://pubmed.ncbi.nlm.nih.gov/?term=18842681%2C%2016357177%5Buid%5D" xr:uid="{350AAAC6-2201-4202-B8CF-126E66798C1A}"/>
    <hyperlink ref="J125" r:id="rId123" display="https://pubmed.ncbi.nlm.nih.gov/?term=18064040%5Buid%5D" xr:uid="{A1619696-6B71-481C-948C-0340C2427C47}"/>
    <hyperlink ref="J126" r:id="rId124" display="https://pubmed.ncbi.nlm.nih.gov/?term=18064040%2C%2022986525%5Buid%5D" xr:uid="{8279BC86-9740-40DD-97C1-43F9FF7D7123}"/>
    <hyperlink ref="J127" r:id="rId125" display="https://pubmed.ncbi.nlm.nih.gov/?term=21487429%2C%2014695141%5Buid%5D" xr:uid="{28C1D80B-BF4D-494F-8297-827057276F30}"/>
    <hyperlink ref="J128" r:id="rId126" display="https://pubmed.ncbi.nlm.nih.gov/?term=12543167%2C%2010680594%2C%2027935869%5Buid%5D" xr:uid="{57D54FAE-CD12-4D24-A9EB-11F5E6D75AC8}"/>
    <hyperlink ref="J129" r:id="rId127" display="https://pubmed.ncbi.nlm.nih.gov/?term=26503358%5Buid%5D" xr:uid="{FA638277-4708-4E9E-B209-4EA31BE26EFC}"/>
    <hyperlink ref="J130" r:id="rId128" display="https://pubmed.ncbi.nlm.nih.gov/?term=32945503%5Buid%5D" xr:uid="{7BB55286-3DE4-4C11-BAAD-858F231B9D47}"/>
    <hyperlink ref="J131" r:id="rId129" display="https://pubmed.ncbi.nlm.nih.gov/?term=30458366%2C%2024236104%5Buid%5D" xr:uid="{CEE997F7-207D-4A13-815C-F3287E80CCA3}"/>
    <hyperlink ref="J132" r:id="rId130" display="https://pubmed.ncbi.nlm.nih.gov/?term=29254192%2C%2030651135%5Buid%5D" xr:uid="{7DE0F69F-8EDD-462A-855C-B22E0DEC64EE}"/>
    <hyperlink ref="J133" r:id="rId131" display="https://pubmed.ncbi.nlm.nih.gov/?term=24816187%2C%2026629063%5Buid%5D" xr:uid="{FAE57646-2D5D-4523-B86A-BC19F72F17D2}"/>
    <hyperlink ref="J134" r:id="rId132" display="https://pubmed.ncbi.nlm.nih.gov/?term=20565782%2C%2025296976%5Buid%5D" xr:uid="{7E54A2E3-C241-4316-AF8C-499B4BBE32E2}"/>
    <hyperlink ref="J135" r:id="rId133" display="https://pubmed.ncbi.nlm.nih.gov/?term=26983899%5Buid%5D" xr:uid="{ED74E547-E89E-4F2A-9EBD-4E5C2D53F43D}"/>
    <hyperlink ref="J136" r:id="rId134" display="https://pubmed.ncbi.nlm.nih.gov/?term=18800188%2C%2011751417%5Buid%5D" xr:uid="{5578589E-3E58-46D0-AC86-43D3960FD503}"/>
    <hyperlink ref="J137" r:id="rId135" display="https://pubmed.ncbi.nlm.nih.gov/?term=24637722%5Buid%5D" xr:uid="{E148D716-F03D-49D0-B52E-D4EEA893A932}"/>
    <hyperlink ref="J138" r:id="rId136" display="https://pubmed.ncbi.nlm.nih.gov/?term=29207607%2C%2019583808%5Buid%5D" xr:uid="{D1BDFD25-BD5B-4470-8804-1703D0D92377}"/>
    <hyperlink ref="J139" r:id="rId137" display="https://pubmed.ncbi.nlm.nih.gov/?term=20395447%5Buid%5D" xr:uid="{6EE37140-BCF0-4CE3-8AFB-57E7E457B10D}"/>
    <hyperlink ref="J140" r:id="rId138" display="https://pubmed.ncbi.nlm.nih.gov/?term=21103391%2C%2016572426%5Buid%5D" xr:uid="{E87E8478-781C-46E9-8F37-E7C8CE494E63}"/>
    <hyperlink ref="J141" r:id="rId139" display="https://pubmed.ncbi.nlm.nih.gov/?term=26698249%5Buid%5D" xr:uid="{3AF90857-A729-4025-A07B-0CB15748F0B6}"/>
    <hyperlink ref="J142" r:id="rId140" display="https://pubmed.ncbi.nlm.nih.gov/?term=20565782%2C%2021637913%5Buid%5D" xr:uid="{AED63963-D741-4B00-B6D1-C26A747A2968}"/>
    <hyperlink ref="J143" r:id="rId141" display="https://pubmed.ncbi.nlm.nih.gov/?term=28440503%2C%2027276062%5Buid%5D" xr:uid="{E862BE9F-1C73-4893-9797-2B18C036570D}"/>
    <hyperlink ref="J144" r:id="rId142" display="https://pubmed.ncbi.nlm.nih.gov/?term=32024543%2C%2025597412%2C%2030808674%5Buid%5D" xr:uid="{7ECDCE43-48DE-4006-BB8F-1EC1547FF109}"/>
    <hyperlink ref="J145" r:id="rId143" display="https://pubmed.ncbi.nlm.nih.gov/?term=27044825%2C%2022010829%2C%2024885116%5Buid%5D" xr:uid="{9204DCEE-F931-4526-9768-2094CCE54C8F}"/>
    <hyperlink ref="J146" r:id="rId144" display="https://pubmed.ncbi.nlm.nih.gov/?term=27044825%2C%2022010829%2C%2024885116%5Buid%5D" xr:uid="{69115E3F-7019-443F-AC06-3A1D998562D8}"/>
    <hyperlink ref="J147" r:id="rId145" display="22498306, 29385995" xr:uid="{C854E001-A512-467E-BA12-B814F37F5F6B}"/>
    <hyperlink ref="J148" r:id="rId146" display="https://pubmed.ncbi.nlm.nih.gov/?term=28838952%5Buid%5D" xr:uid="{C84F0119-5DE2-431C-B303-3F7007CB153B}"/>
    <hyperlink ref="J149" r:id="rId147" display="https://pubmed.ncbi.nlm.nih.gov/?term=27133165%5Buid%5D" xr:uid="{B119F086-0D5A-4D22-B597-0931B71DE4F7}"/>
    <hyperlink ref="J150" r:id="rId148" display="https://pubmed.ncbi.nlm.nih.gov/?term=27133165%5Buid%5D" xr:uid="{E3D7A6A8-9CD8-46EE-897D-33159DD1D893}"/>
    <hyperlink ref="J151" r:id="rId149" display="https://pubmed.ncbi.nlm.nih.gov/?term=18931700%2C%2029331417%20%5Buid%5D" xr:uid="{E38FA319-D366-45AE-A757-1B0B88FC890A}"/>
    <hyperlink ref="J152" r:id="rId150" display="https://pubmed.ncbi.nlm.nih.gov/?term=25432132%2C%2020930109%5Buid%5D" xr:uid="{4587AE2D-F0D3-44A4-B7D7-BDBD0BA69663}"/>
    <hyperlink ref="J153" r:id="rId151" display="https://pubmed.ncbi.nlm.nih.gov/?term=30293817%2C%2026966728%2C%2025255219%2C%2029713760%5Buid%5D" xr:uid="{5E81144E-1F68-48A9-AA33-A19386EA6EF8}"/>
    <hyperlink ref="J154" r:id="rId152" display="https://pubmed.ncbi.nlm.nih.gov/?term=25893298%5Buid%5D" xr:uid="{09D340B2-DC82-4B10-BDC1-958FA0ACD27C}"/>
    <hyperlink ref="J155" r:id="rId153" display="https://pubmed.ncbi.nlm.nih.gov/?term=29581579%2C%2030653577%2C%2015102685%5Buid%5D" xr:uid="{929E475A-E58B-40A7-94F7-2A19F9BB4900}"/>
    <hyperlink ref="J156" r:id="rId154" display="https://pubmed.ncbi.nlm.nih.gov/?term=21618587%2C%2019190132%2C%2029731893%5Buid%5D" xr:uid="{9E6ADC77-0E42-469D-A825-D0C66539C7DF}"/>
    <hyperlink ref="J157" r:id="rId155" display="https://pubmed.ncbi.nlm.nih.gov/?term=24554720%5Buid%5D" xr:uid="{5F224063-6449-46E8-80F2-90EAD0B8CDA0}"/>
    <hyperlink ref="J158" r:id="rId156" display="https://pubmed.ncbi.nlm.nih.gov/?term=25557169%2C%2011585414%20%5Buid%5D" xr:uid="{6D42B59C-F1AE-45D2-8DC8-A9C17EBD65AE}"/>
    <hyperlink ref="J159" r:id="rId157" display="https://pubmed.ncbi.nlm.nih.gov/?term=29666673%2C%2021477379%5Buid%5D" xr:uid="{CAD39E55-4306-4AEF-9A8F-F6105DE62A44}"/>
    <hyperlink ref="J160" r:id="rId158" display="https://pubmed.ncbi.nlm.nih.gov/?term=26698249%2C%2030621723%5Buid%5D" xr:uid="{C629DAD6-B46A-4732-B702-DE0352837779}"/>
    <hyperlink ref="J161" r:id="rId159" display="https://pubmed.ncbi.nlm.nih.gov/?term=25411854%2C%2028455421%5Buid%5D" xr:uid="{AF576DF2-71A5-4FDE-8BA5-3A16E6902C2B}"/>
    <hyperlink ref="J162" r:id="rId160" display="https://pubmed.ncbi.nlm.nih.gov/?term=21933447%2C%2020811155%2C%2011078909%5Buid%5D" xr:uid="{B6123182-D192-4314-804D-9DDACA69CE16}"/>
    <hyperlink ref="J163" r:id="rId161" display="https://pubmed.ncbi.nlm.nih.gov/?term=27314502%2C%2011585414%20%5Buid%5D" xr:uid="{B772D9B8-136E-4EE8-A46A-B70B73C8E252}"/>
    <hyperlink ref="J164" r:id="rId162" display="https://pubmed.ncbi.nlm.nih.gov/?term=22289679%2C%2019239430%5Buid%5D" xr:uid="{D5A53998-BE3F-4535-BEDE-21EA56BAF30C}"/>
    <hyperlink ref="J165" r:id="rId163" display="https://pubmed.ncbi.nlm.nih.gov/?term=25263447%2C%209036870%2C%2018196872%2C%2025663864%2C%2017611411%5Buid%5D" xr:uid="{A66BAE55-FE38-40E1-8CF7-D282729BDA4C}"/>
    <hyperlink ref="J166" r:id="rId164" display="https://pubmed.ncbi.nlm.nih.gov/?term=21494915%5Buid%5D" xr:uid="{9662AD3F-8C90-4279-88FA-8E4AB7C7DFBB}"/>
    <hyperlink ref="J167" r:id="rId165" display="https://pubmed.ncbi.nlm.nih.gov/?term=26087191%2C%2029748013%5Buid%5D" xr:uid="{4D19EB9C-5EC1-4419-A250-4F536581A200}"/>
    <hyperlink ref="J168" r:id="rId166" display="https://pubmed.ncbi.nlm.nih.gov/?term=23313194%2C%2023167276%5Buid%5D" xr:uid="{7116995A-F33E-48A4-805D-0D2A5BB2676D}"/>
    <hyperlink ref="J169" r:id="rId167" display="https://pubmed.ncbi.nlm.nih.gov/?term=25737278%2C%2027443740%5Buid%5D" xr:uid="{1C090050-619E-424A-9CC7-010A437E053B}"/>
    <hyperlink ref="J170" r:id="rId168" display="https://pubmed.ncbi.nlm.nih.gov/?term=22537224%2C%2030771522%5Buid%5D" xr:uid="{7F124A35-4573-40F7-BC1A-BA43754B127B}"/>
    <hyperlink ref="J171" r:id="rId169" display="https://pubmed.ncbi.nlm.nih.gov/?term=24657486%2C%2018162465%2C%2022312557%2C%2017940507%5Buid%5D" xr:uid="{BF6171B7-9891-4FC0-8141-02767E876D06}"/>
    <hyperlink ref="J172" r:id="rId170" display="https://pubmed.ncbi.nlm.nih.gov/?term=27322682%5Buid%5D" xr:uid="{A9E7EC9B-33A7-4729-9086-5EB6F7D88320}"/>
    <hyperlink ref="J173" r:id="rId171" display="https://pubmed.ncbi.nlm.nih.gov/?term=18560356%2C%2029950928%2C%2017785555%5Buid%5D" xr:uid="{734B5EE1-FEA6-4235-A2BB-6CE881C62095}"/>
    <hyperlink ref="J174" r:id="rId172" display="https://pubmed.ncbi.nlm.nih.gov/?term=30106121%2C%2029103022%2C%2030410608%2C%2026629248%5Buid%5D" xr:uid="{F45A8429-DCC0-4026-8537-BBE9C3FF1095}"/>
    <hyperlink ref="J175" r:id="rId173" display="https://pubmed.ncbi.nlm.nih.gov/?term=28614291%2C%2032754286%5Buid%5D" xr:uid="{140E45CB-AD37-4454-A616-3CC1396559DB}"/>
    <hyperlink ref="J176" r:id="rId174" display="https://pubmed.ncbi.nlm.nih.gov/?term=23053666%2C%2024482188%2C%2017647191%5Buid%5D" xr:uid="{5F2CB629-6323-4709-AC1C-64C1342A71FD}"/>
    <hyperlink ref="J177" r:id="rId175" display="https://pubmed.ncbi.nlm.nih.gov/?term=23053666%2C%2023599806%2C%2021508375%5Buid%5D" xr:uid="{598854FB-8ABA-4788-B1B5-9857F4DBFCC6}"/>
    <hyperlink ref="J178" r:id="rId176" display="https://pubmed.ncbi.nlm.nih.gov/?term=21134740%5Buid%5D" xr:uid="{BAE6FE2D-D255-4D56-A808-886EF7658923}"/>
    <hyperlink ref="J179" r:id="rId177" display="https://pubmed.ncbi.nlm.nih.gov/?term=27825122%2C%2029805518%5Buid%5D" xr:uid="{A6DBCEE1-89C8-4C09-AF33-C729F0A842A3}"/>
    <hyperlink ref="J180" r:id="rId178" display="https://pubmed.ncbi.nlm.nih.gov/?term=26299671%5Buid%5D" xr:uid="{78C79107-DC91-4620-B230-B56A024B8D39}"/>
    <hyperlink ref="J181" r:id="rId179" display="https://pubmed.ncbi.nlm.nih.gov/?term=17297441%2C%2025485508%20%5Buid%5D" xr:uid="{822CEF8D-E3DD-49DF-870E-504D6E74E5E5}"/>
    <hyperlink ref="J182" r:id="rId180" display="https://pubmed.ncbi.nlm.nih.gov/?term=22675468%5Buid%5D" xr:uid="{E21F228C-4A83-4CB4-AC2A-0819AD214A6F}"/>
    <hyperlink ref="J183" r:id="rId181" display="https://pubmed.ncbi.nlm.nih.gov/?term=24943969%2C%2020497247%2C%2033160989%5Buid%5D" xr:uid="{75D893C2-54FC-4DA1-A0F9-D29F1DF09267}"/>
    <hyperlink ref="J184" r:id="rId182" display="https://pubmed.ncbi.nlm.nih.gov/?term=28815582%2C%2029769618%2C%2026087191%2C%2032312965%5Buid%5D" xr:uid="{F05D7294-0DFF-481D-8812-1E42DB5EF940}"/>
    <hyperlink ref="J185" r:id="rId183" display="https://pubmed.ncbi.nlm.nih.gov/?term=27853186%2C%2033287446%2C%2029906404%5Buid%5D" xr:uid="{24BD928A-FCA6-4297-8D6C-ED04FABC19DC}"/>
    <hyperlink ref="J186" r:id="rId184" display="https://pubmed.ncbi.nlm.nih.gov/?term=27390605%2C%2029050298%5Buid%5D" xr:uid="{1240F7DC-58F7-408E-B423-00C4AC493E1C}"/>
    <hyperlink ref="J187" r:id="rId185" display="https://pubmed.ncbi.nlm.nih.gov/?term=12726863%5Buid%5D" xr:uid="{F2BE7C7A-D8A2-487A-BFC2-4C392095298E}"/>
    <hyperlink ref="J188" r:id="rId186" display="https://pubmed.ncbi.nlm.nih.gov/?term=24473407%5Buid%5D" xr:uid="{2517F5B0-A380-40EA-91C9-89A1CF2E73B6}"/>
    <hyperlink ref="J189" r:id="rId187" display="https://pubmed.ncbi.nlm.nih.gov/?term=23592244%5Buid%5D" xr:uid="{88EE74C3-3B18-45C1-A41D-B5486A7BB15F}"/>
    <hyperlink ref="J190" r:id="rId188" display="https://pubmed.ncbi.nlm.nih.gov/?term=29872321%2C%2022951905%5Buid%5D" xr:uid="{A2CACAB9-301F-4CEF-9ACF-4DEB6F097882}"/>
    <hyperlink ref="J191" r:id="rId189" display="https://pubmed.ncbi.nlm.nih.gov/?term=30093630%2C%2030069985%2C%2025825983%5Buid%5D" xr:uid="{918ABE85-0FF8-49E3-A260-FE77F679ECB6}"/>
    <hyperlink ref="J192" r:id="rId190" display="https://pubmed.ncbi.nlm.nih.gov/?term=27194715%2C%2025337251%5Buid%5D" xr:uid="{144B63A6-BA57-401A-93C0-031D76C14EDF}"/>
    <hyperlink ref="J193" r:id="rId191" display="https://pubmed.ncbi.nlm.nih.gov/?term=29372560%2C%2022005523%5Buid%5D" xr:uid="{E6AA915F-C4DB-4993-95C7-40B1BCE22EB4}"/>
    <hyperlink ref="J194" r:id="rId192" display="https://pubmed.ncbi.nlm.nih.gov/?term=29372560%2C%2022005523%5Buid%5D" xr:uid="{062491AD-02D6-41EE-BCBD-63AC2CAEF535}"/>
    <hyperlink ref="J195" r:id="rId193" display="https://pubmed.ncbi.nlm.nih.gov/?term=24973089%2C%208205352%2C%2027229528%5Buid%5D" xr:uid="{2353B9EA-E6D6-4C05-AA2E-B8B2B1439950}"/>
    <hyperlink ref="J196" r:id="rId194" display="https://pubmed.ncbi.nlm.nih.gov/?term=27384994%2C%2026860078%2C%2025214561%20%5Buid%5D" xr:uid="{E0FBFA01-3CA3-4C2F-AB5F-07CD99BDCB20}"/>
    <hyperlink ref="J197" r:id="rId195" display="https://pubmed.ncbi.nlm.nih.gov/?term=31205536%5Buid%5D" xr:uid="{A590116D-CF2C-45A0-92D5-B939D3CC7EA3}"/>
    <hyperlink ref="J198" r:id="rId196" display="https://pubmed.ncbi.nlm.nih.gov/?term=23939375%2C%2031548347%5Buid%5D" xr:uid="{AA7F59A8-75C3-4129-9030-78AE64D06A34}"/>
    <hyperlink ref="J199" r:id="rId197" display="https://pubmed.ncbi.nlm.nih.gov/?term=28095394%2C%2030562757%5Buid%5D" xr:uid="{2F666F72-E586-437D-A43C-EC8361C60714}"/>
    <hyperlink ref="J200" r:id="rId198" display="https://pubmed.ncbi.nlm.nih.gov/?term=16862170%5Buid%5D" xr:uid="{2E3023F4-00A3-4067-A848-8827A248FDEE}"/>
    <hyperlink ref="J201" r:id="rId199" display="https://pubmed.ncbi.nlm.nih.gov/?term=26336986%5Buid%5D" xr:uid="{F2F18985-7EC7-4D2D-BE8D-7ED6FFD094FC}"/>
    <hyperlink ref="J202" r:id="rId200" display="https://pubmed.ncbi.nlm.nih.gov/?term=28721072%5Buid%5D" xr:uid="{52E74283-D4D8-4C1B-BBCE-01E010034210}"/>
    <hyperlink ref="J203" r:id="rId201" display="26267317, 28870904, 15087251 " xr:uid="{78EDB6BB-B33B-4BF6-BF42-F1DCC578A62D}"/>
    <hyperlink ref="J204" r:id="rId202" display="https://pubmed.ncbi.nlm.nih.gov/?term=27922681%5Buid%5D" xr:uid="{45AE7147-4155-4AD1-A2DF-8E93F54CA5ED}"/>
    <hyperlink ref="J205" r:id="rId203" display="https://pubmed.ncbi.nlm.nih.gov/?term=27922681%2C%2024408020%5Buid%5D" xr:uid="{040E3C09-F9A8-470A-A90D-0DE47AA1874C}"/>
    <hyperlink ref="J206" r:id="rId204" display="https://pubmed.ncbi.nlm.nih.gov/?term=16251482%2C%2012675844%2C%2015239125%5Buid%5D" xr:uid="{65F2F871-5FE9-463C-BF9A-05D6FF896600}"/>
    <hyperlink ref="J207" r:id="rId205" display="https://pubmed.ncbi.nlm.nih.gov/?term=28839145%5Buid%5D" xr:uid="{4F27A5DA-05DC-4B74-8102-00C7D31A0A63}"/>
    <hyperlink ref="J208" r:id="rId206" display="https://pubmed.ncbi.nlm.nih.gov/?term=20048748%5Buid%5D" xr:uid="{E7151AD9-8351-45A1-B0AF-2F401C672B82}"/>
    <hyperlink ref="J209" r:id="rId207" display="https://pubmed.ncbi.nlm.nih.gov/?term=21775533%5Buid%5D" xr:uid="{C0326004-A3F1-4E70-9104-713C6CA00D60}"/>
    <hyperlink ref="J210" r:id="rId208" display="https://pubmed.ncbi.nlm.nih.gov/?term=29906705%5Buid%5D" xr:uid="{D1DBD331-0662-48FB-9B7F-27A50C7D99E6}"/>
    <hyperlink ref="J211" r:id="rId209" display="https://pubmed.ncbi.nlm.nih.gov/?term=29048400%2C%2015572677%5Buid%5D" xr:uid="{6AACF74E-6945-46DE-86FE-C444B4BFA4C5}"/>
    <hyperlink ref="J212" r:id="rId210" display="https://pubmed.ncbi.nlm.nih.gov/?term=28430596%5Buid%5D" xr:uid="{D07CD375-EBE8-47B2-9354-25EF5AF9ECD1}"/>
    <hyperlink ref="J213" r:id="rId211" display="https://pubmed.ncbi.nlm.nih.gov/?term=21785230%5Buid%5D" xr:uid="{3B44ABC8-E7D3-4C87-8AFB-653E9B2550A2}"/>
    <hyperlink ref="J214" r:id="rId212" display="https://pubmed.ncbi.nlm.nih.gov/?term=24249678%5Buid%5D" xr:uid="{3C77040D-8A2F-4063-AB7A-E55DB3FAD481}"/>
    <hyperlink ref="J215" r:id="rId213" display="https://pubmed.ncbi.nlm.nih.gov/?term=20013802%2C%2024574518%5Buid%5D" xr:uid="{ABA2C6E6-C526-4A52-B435-DEF3B60C97BF}"/>
    <hyperlink ref="J216" r:id="rId214" display="https://pubmed.ncbi.nlm.nih.gov/?term=26493727%5Buid%5D" xr:uid="{FAE1B4E8-CDB2-42BA-BE26-4EBC79BFBAB6}"/>
    <hyperlink ref="J217" r:id="rId215" display="https://pubmed.ncbi.nlm.nih.gov/?term=29702190%5Buid%5D" xr:uid="{A236F42A-5874-4CC1-B3B4-9EB62A7C453C}"/>
    <hyperlink ref="J218" r:id="rId216" display="https://pubmed.ncbi.nlm.nih.gov/?term=28743276%5Buid%5D" xr:uid="{99DA4BF2-3DCA-4C48-863C-616F7AD0FFA3}"/>
    <hyperlink ref="J219" r:id="rId217" display="https://pubmed.ncbi.nlm.nih.gov/?term=28178653%5Buid%5D" xr:uid="{C4987D92-1FBA-433D-83D5-FEBEEC1BA1D5}"/>
    <hyperlink ref="J220" r:id="rId218" display="https://pubmed.ncbi.nlm.nih.gov/?term=19446547%2C%2023903781%2C%2026887775%5Buid%5D" xr:uid="{F640F534-B69B-4323-8577-A93814D60C99}"/>
    <hyperlink ref="J221" r:id="rId219" display="https://pubmed.ncbi.nlm.nih.gov/?term=26898799%2C%2029856124%5Buid%5D" xr:uid="{A51981DD-9227-4187-B068-B30573948FC2}"/>
    <hyperlink ref="J222" r:id="rId220" display="https://pubmed.ncbi.nlm.nih.gov/?term=30221734%2C%2015723655%2C%2019092150%5Buid%5D" xr:uid="{54C71042-A6B1-4A19-9CCD-0C4E0FB54607}"/>
    <hyperlink ref="J223" r:id="rId221" display="https://pubmed.ncbi.nlm.nih.gov/?term=26247722%5Buid%5D" xr:uid="{1B0D17D7-7E59-4416-8BFD-5F7E35699BB2}"/>
    <hyperlink ref="J224" r:id="rId222" display="https://pubmed.ncbi.nlm.nih.gov/?term=26353782%2C%2019303159%5Buid%5D" xr:uid="{F12BC987-9D7B-48FC-A385-95AB11F2D7C9}"/>
    <hyperlink ref="J225" r:id="rId223" display="https://pubmed.ncbi.nlm.nih.gov/?term=26093488%5Buid%5D" xr:uid="{53254FDE-FBF1-4881-AE90-E512CA425066}"/>
    <hyperlink ref="J226" r:id="rId224" display="28222434, 26351843, 23318422, 28791708, 27071379, 33222246, 21458988" xr:uid="{13E9860A-F5AA-4519-BEF9-F645A528A06D}"/>
    <hyperlink ref="J227" r:id="rId225" display="https://pubmed.ncbi.nlm.nih.gov/?term=23684582%5Buid%5D" xr:uid="{942D1DF9-FE7B-43F1-B847-7E0A34E1BDE5}"/>
    <hyperlink ref="J228" r:id="rId226" display="https://pubmed.ncbi.nlm.nih.gov/?term=28545442%2C%2026146406%2C%2017397945%5Buid%5D" xr:uid="{7DE4DF43-2B6C-44CD-8D50-65F372473D0F}"/>
    <hyperlink ref="J229" r:id="rId227" display="https://pubmed.ncbi.nlm.nih.gov/?term=22333708%5Buid%5D" xr:uid="{1B645BB1-290B-4C70-9F31-F2902CFEC38B}"/>
    <hyperlink ref="J230" r:id="rId228" display="https://pubmed.ncbi.nlm.nih.gov/?term=30166592%2C%2029704517%5Buid%5D" xr:uid="{9B898400-0234-4F36-957F-F20FB0758B7F}"/>
    <hyperlink ref="J231" r:id="rId229" display="https://pubmed.ncbi.nlm.nih.gov/?term=18089824%2C%2026581245%5Buid%5D" xr:uid="{0585EDE2-71F1-4E5F-8B67-2C56A30E4DC2}"/>
    <hyperlink ref="J232" r:id="rId230" display="https://pubmed.ncbi.nlm.nih.gov/?term=18632752%5Buid%5D" xr:uid="{D5727BFC-1036-49D9-92BB-2C2A996A3CDF}"/>
    <hyperlink ref="J233" r:id="rId231" display="https://pubmed.ncbi.nlm.nih.gov/?term=27432651%5Buid%5D" xr:uid="{FBDD137F-F52C-4C27-9F2C-1BA8573156AB}"/>
    <hyperlink ref="J234" r:id="rId232" display="https://pubmed.ncbi.nlm.nih.gov/?term=18225596%2C%2020572159%5Buid%5D" xr:uid="{357E3EAB-240A-4861-86DA-3703B9020AD8}"/>
    <hyperlink ref="J235" r:id="rId233" display="https://pubmed.ncbi.nlm.nih.gov/?term=30464262%2C%2030559443%5Buid%5D" xr:uid="{942A9772-1813-448B-8F3B-238BE104766B}"/>
    <hyperlink ref="J236" r:id="rId234" display="https://pubmed.ncbi.nlm.nih.gov/?term=25712377%5Buid%5D" xr:uid="{77E53E0C-CDE9-4C53-BADA-E09D080D8277}"/>
    <hyperlink ref="J237" r:id="rId235" display="https://pubmed.ncbi.nlm.nih.gov/?term=17200349%2C%2025139024%5Buid%5D" xr:uid="{1D0C6BEB-807D-4800-BA3B-61D4AB92EC21}"/>
    <hyperlink ref="J238" r:id="rId236" display="https://pubmed.ncbi.nlm.nih.gov/?term=17200349%2C%2026458859%5Buid%5D" xr:uid="{3879621E-D384-4E6C-AE47-D061FB39282A}"/>
    <hyperlink ref="J239" r:id="rId237" display="https://pubmed.ncbi.nlm.nih.gov/?term=17200349%2C%2015611646%5Buid%5D" xr:uid="{11D4DCDE-9C7D-4490-B973-681D42B7FC2F}"/>
    <hyperlink ref="J240" r:id="rId238" display="https://pubmed.ncbi.nlm.nih.gov/?term=17200349%2C%2030032296%5Buid%5D" xr:uid="{F26008DD-075D-44F4-9963-8C884189A163}"/>
    <hyperlink ref="J241" r:id="rId239" display="https://pubmed.ncbi.nlm.nih.gov/?term=23192269%2C%2014519635%5Buid%5D" xr:uid="{DEBB7FF0-2C0A-4C9C-AAA8-D8F75998AB2C}"/>
    <hyperlink ref="J242" r:id="rId240" display="https://pubmed.ncbi.nlm.nih.gov/?term=11391854%5Buid%5D" xr:uid="{DBBB601C-A0EC-4C15-A9B6-9D5978D8632D}"/>
    <hyperlink ref="J243" r:id="rId241" display="https://pubmed.ncbi.nlm.nih.gov/?term=26351843%2C%2027384994%2C%2011597399%5Buid%5D" xr:uid="{473B9CE1-4BF5-4AA4-B6BE-84325B6C1BCF}"/>
    <hyperlink ref="J244" r:id="rId242" display="https://pubmed.ncbi.nlm.nih.gov/?term=31285371%5Buid%5D" xr:uid="{6C7E969D-0EAD-41EC-B084-6BA0639DF3B9}"/>
    <hyperlink ref="J245" r:id="rId243" display="https://pubmed.ncbi.nlm.nih.gov/?term=31375625%5Buid%5D" xr:uid="{B5AFE09A-013D-4FD2-836F-287A5C7F3388}"/>
    <hyperlink ref="J246" r:id="rId244" display="https://pubmed.ncbi.nlm.nih.gov/?term=25650716%5Buid%5D" xr:uid="{02073448-A794-4F25-85D4-DD76CB356601}"/>
    <hyperlink ref="J247" r:id="rId245" display="https://pubmed.ncbi.nlm.nih.gov/?term=27411790%5Buid%5D" xr:uid="{120D0F5D-9DE7-4D81-BAAB-FCDEF3F644C3}"/>
    <hyperlink ref="J248" r:id="rId246" display="https://pubmed.ncbi.nlm.nih.gov/?term=29039478%2C%2028499449%20%5Buid%5D" xr:uid="{574AFD37-FB32-47CF-968C-6A3A7D77D272}"/>
    <hyperlink ref="J249" r:id="rId247" display="https://pubmed.ncbi.nlm.nih.gov/?term=23570372%5Buid%5D" xr:uid="{5D508AB5-4F92-40FB-B14D-0059F7FC9467}"/>
    <hyperlink ref="J250" r:id="rId248" display="https://pubmed.ncbi.nlm.nih.gov/?term=21625209%2C%2026213845%2C%2021610145%5Buid%5D" xr:uid="{5D399812-F4F0-4391-AA26-72A8CD294F6D}"/>
    <hyperlink ref="J251" r:id="rId249" display="https://pubmed.ncbi.nlm.nih.gov/?term=24080033%2C%2026935993%5Buid%5D" xr:uid="{527C7024-6482-45C6-91E5-0D65299B0890}"/>
    <hyperlink ref="J252" r:id="rId250" display="https://pubmed.ncbi.nlm.nih.gov/?term=18327707%2C%2027588477%2C%2028417568%2C%2031512056%5Buid%5D" xr:uid="{88A0D96F-202F-400B-9E67-77C13853F53A}"/>
    <hyperlink ref="J253" r:id="rId251" display="https://pubmed.ncbi.nlm.nih.gov/?term=25976336%2C%2027196780%2C%2025658620%5Buid%5D" xr:uid="{E61435AE-DB85-4797-93B5-9922BD4AA82B}"/>
    <hyperlink ref="J254" r:id="rId252" display="https://pubmed.ncbi.nlm.nih.gov/?term=28117895%2C%209819442%2C%2022555068%2C%2011175261%5Buid%5D" xr:uid="{59812855-9973-4D5F-9878-BAF6E2F618BA}"/>
    <hyperlink ref="J255" r:id="rId253" display="https://pubmed.ncbi.nlm.nih.gov/?term=26573761%2C%2026679694%2C%2019267403%5Buid%5D" xr:uid="{ADDDFA74-6BFD-474A-B11D-22AD1CCB31AE}"/>
    <hyperlink ref="J256" r:id="rId254" display="https://pubmed.ncbi.nlm.nih.gov/?term=29707144%5Buid%5D" xr:uid="{E360BE54-6F09-4944-83AC-24AE19006C8B}"/>
    <hyperlink ref="J257" r:id="rId255" display="https://pubmed.ncbi.nlm.nih.gov/?term=26132438%5Buid%5D" xr:uid="{A034BB89-8283-428F-8979-DF8B00DF5E3C}"/>
    <hyperlink ref="J258" r:id="rId256" display="https://pubmed.ncbi.nlm.nih.gov/?term=23147994%2C%2028944897%5Buid%5D" xr:uid="{061E9320-E1B2-4AE1-85A0-3CD070F69124}"/>
    <hyperlink ref="J259" r:id="rId257" display="25951350, 30301274" xr:uid="{89A68FB3-41D4-4EB9-9F35-F134B24BBDF7}"/>
    <hyperlink ref="J260" r:id="rId258" display="https://pubmed.ncbi.nlm.nih.gov/?term=20100569%2C%2011593532%5Buid%5D" xr:uid="{DD7E8541-9032-46B2-BB1D-EE0E3602A403}"/>
    <hyperlink ref="J261" r:id="rId259" display="https://pubmed.ncbi.nlm.nih.gov/?term=28341962%2C%2020210796%2C%2021310163%5Buid%5D" xr:uid="{042E8714-690D-4465-A4E4-667AA4317A45}"/>
    <hyperlink ref="J262" r:id="rId260" display="https://pubmed.ncbi.nlm.nih.gov/?term=20301390%2C%2021618587%2C%2028574829%5Buid%5D" xr:uid="{E1CD05E3-DF92-475A-A64C-2AAC1FC6C658}"/>
    <hyperlink ref="J263" r:id="rId261" display="https://pubmed.ncbi.nlm.nih.gov/?term=32417448%2C%2032115889%2C%2027653549%5Buid%5D" xr:uid="{090CAEDE-D6A8-4DB1-86E1-E0E11E1030D3}"/>
    <hyperlink ref="J264" r:id="rId262" display="https://pubmed.ncbi.nlm.nih.gov/?term=16112085%2C%2023274876%2C%2014679128%2C%2028989055%2C%2019575783%2C%2018337622%5Buid%5D" xr:uid="{8C9A683A-AA8A-46AA-90A4-1B315E8D4DD1}"/>
    <hyperlink ref="J265" r:id="rId263" display="https://pubmed.ncbi.nlm.nih.gov/?term=18803287%2C%2022841590%2C%2030621788%5Buid%5D" xr:uid="{EB9F6AE6-7B2E-437F-A67A-1A9443340F05}"/>
    <hyperlink ref="J266" r:id="rId264" display="https://pubmed.ncbi.nlm.nih.gov/?term=28178720%2C%2011280782%5Buid%5D" xr:uid="{87412AC1-3E02-403E-84B1-3CC0FA4CE0CC}"/>
    <hyperlink ref="J267" r:id="rId265" display="https://pubmed.ncbi.nlm.nih.gov/?term=20944091%2C%2012915808%2C%2025941922%5Buid%5D" xr:uid="{3BAD159B-B838-4000-818F-59DB63CB1162}"/>
    <hyperlink ref="J268" r:id="rId266" display="https://pubmed.ncbi.nlm.nih.gov/?term=25634215%2C%20%2027449101%2C%2025096233%5Buid%5D" xr:uid="{6DEB1FA6-6D70-4233-8F0F-C978C97B3F5C}"/>
    <hyperlink ref="J269" r:id="rId267" display="https://pubmed.ncbi.nlm.nih.gov/?term=25634215%2C%2011516928%2C%2015882455%2C%2025069034%5Buid%5D" xr:uid="{452A2801-F594-4D24-8AC2-0F01B198CBDE}"/>
    <hyperlink ref="J270" r:id="rId268" display="https://pubmed.ncbi.nlm.nih.gov/?term=25634215%2C%2020418188%2C%2029247747%2C%2021737503%5Buid%5D" xr:uid="{B3272C47-55CE-4F97-AE35-103363F7D327}"/>
    <hyperlink ref="J271" r:id="rId269" display="https://pubmed.ncbi.nlm.nih.gov/?term=25634215%2C%2026338418%2C%2033469680%5Buid%5D" xr:uid="{0115DA23-1F97-4482-BDD2-F45AC5CC884E}"/>
    <hyperlink ref="J272" r:id="rId270" display="https://pubmed.ncbi.nlm.nih.gov/?term=25634215%2C%2025634215%5Buid%5D" xr:uid="{17E5115D-33E1-43C4-BF7A-7BFE4D360EB5}"/>
    <hyperlink ref="J273" r:id="rId271" display="https://pubmed.ncbi.nlm.nih.gov/?term=29247747%2C%2030417012%2C%2012208738%5Buid%5D" xr:uid="{B0273A45-E750-4070-A5C7-AB6824E63F89}"/>
    <hyperlink ref="J274" r:id="rId272" display="https://pubmed.ncbi.nlm.nih.gov/?term=27322083%2C%2030248920%5Buid%5D" xr:uid="{4F3E05A4-F4E5-46E2-8C8B-ACFB51E9A9B5}"/>
    <hyperlink ref="J275" r:id="rId273" display="https://pubmed.ncbi.nlm.nih.gov/?term=15252143%2C%2029950928%2C%20%2029974077%2C%2011066046%5Buid%5D" xr:uid="{4FB9CCDF-E95F-4195-8730-96E75FB421D0}"/>
    <hyperlink ref="J276" r:id="rId274" display="https://pubmed.ncbi.nlm.nih.gov/?term=24824601%2C%2024147022%5Buid%5D" xr:uid="{E43D6E96-9403-4A6D-ACA0-553B83428828}"/>
    <hyperlink ref="J277" r:id="rId275" display="https://pubmed.ncbi.nlm.nih.gov/?term=20686362%2C%2027610467%2C%2016330673%2C%2030166592%2C%2029630768%5Buid%5D" xr:uid="{9D76D20C-DE38-4379-8583-07298E19B1B8}"/>
    <hyperlink ref="J278" r:id="rId276" display="https://pubmed.ncbi.nlm.nih.gov/?term=29391894%5Buid%5D" xr:uid="{5789B352-6B76-48E4-8B5E-93F5D5BD72E6}"/>
    <hyperlink ref="J279" r:id="rId277" display="https://pubmed.ncbi.nlm.nih.gov/?term=17396147%5Buid%5D" xr:uid="{C87EA1F3-7C77-4EDD-BC77-76F304237520}"/>
    <hyperlink ref="J280" r:id="rId278" display="https://pubmed.ncbi.nlm.nih.gov/?term=23333308%5Buid%5D" xr:uid="{72618E3C-0055-43C1-BC17-11EBF15D1D94}"/>
    <hyperlink ref="J281" r:id="rId279" display="https://pubmed.ncbi.nlm.nih.gov/?term=10397248%2C%2017975136%2C%2016109772%0a%5Buid%5D" xr:uid="{F102CB91-D152-4BB0-B643-FF5D81C6404E}"/>
    <hyperlink ref="J282" r:id="rId280" display="https://pubmed.ncbi.nlm.nih.gov/?term=28454268%2C%2028859669%5Buid%5D" xr:uid="{776D787E-FD54-4915-9079-FDCF94A92077}"/>
    <hyperlink ref="J283" r:id="rId281" display="https://pubmed.ncbi.nlm.nih.gov/?term=33423038%5Buid%5D" xr:uid="{FAA8560D-2E83-4251-9F9F-499E6EC072C7}"/>
    <hyperlink ref="J284" r:id="rId282" display="https://pubmed.ncbi.nlm.nih.gov/?term=21115814%2C%2027026368%2C%2020603016%5Buid%5D" xr:uid="{2644617D-68C9-45FB-89EB-F806C0DFB713}"/>
    <hyperlink ref="J285" r:id="rId283" display="https://pubmed.ncbi.nlm.nih.gov/?term=28864460%2C%2024486548%5Buid%5D" xr:uid="{96548E12-AE0E-4EED-9D07-71090B4B978A}"/>
    <hyperlink ref="J286" r:id="rId284" display="https://pubmed.ncbi.nlm.nih.gov/?term=27626685%5Buid%5D" xr:uid="{B3B66FA9-E8B1-4202-8467-AADCFFBFF064}"/>
    <hyperlink ref="J287" r:id="rId285" display="https://pubmed.ncbi.nlm.nih.gov/?term=23838005%5Buid%5D" xr:uid="{8BE00351-CD43-4A13-BCA1-3DD4FD7335C9}"/>
    <hyperlink ref="J288" r:id="rId286" display="https://pubmed.ncbi.nlm.nih.gov/?term=26385482%2C%2016648566%2C%2022253870%5Buid%5D" xr:uid="{949D3C57-D4E9-48AB-B3CC-6F2D8206C56E}"/>
    <hyperlink ref="J289" r:id="rId287" display="https://pubmed.ncbi.nlm.nih.gov/?term=24451376%5Buid%5D" xr:uid="{549E8C84-2D74-49D1-94FC-9B55A9921CCB}"/>
    <hyperlink ref="J290" r:id="rId288" display="https://pubmed.ncbi.nlm.nih.gov/?term=26385482%2C%2012692539%5Buid%5D" xr:uid="{F36B5DE3-10E3-4B1B-9D03-AA4C6DBE0395}"/>
    <hyperlink ref="J291" r:id="rId289" display="https://pubmed.ncbi.nlm.nih.gov/?term=12861027%5Buid%5D" xr:uid="{8786CFC3-9368-4C58-A0BA-EB93CAEB88AC}"/>
    <hyperlink ref="J292" r:id="rId290" display="https://pubmed.ncbi.nlm.nih.gov/?term=29452344%5Buid%5D" xr:uid="{5644F89F-B8BA-4562-B21C-FB82260D97A8}"/>
    <hyperlink ref="J293" r:id="rId291" display="https://pubmed.ncbi.nlm.nih.gov/?term=26385482%2C%2017106252%5Buid%5D" xr:uid="{5EA91C0A-AF61-4A68-8787-730F76E0E89A}"/>
    <hyperlink ref="J294" r:id="rId292" display="https://pubmed.ncbi.nlm.nih.gov/?term=24708616%5Buid%5D" xr:uid="{ECCC3A72-21F0-46A6-87CB-0E2300848303}"/>
    <hyperlink ref="J295" r:id="rId293" display="https://pubmed.ncbi.nlm.nih.gov/?term=25331442%5Buid%5D" xr:uid="{7FAA2130-E7F5-45F5-A0B9-43B6D6236AD2}"/>
    <hyperlink ref="J296" r:id="rId294" display="https://pubmed.ncbi.nlm.nih.gov/?term=17308072%2C%2016091761%2C%2016821621%2C%2032628088%5Buid%5D" xr:uid="{0060B4B5-08E0-4DF1-8AC2-983271B43FC3}"/>
    <hyperlink ref="J297" r:id="rId295" display="https://pubmed.ncbi.nlm.nih.gov/?term=31225740%2C%2012815464%2C%2031978067%2C%2032628088%5Buid%5D" xr:uid="{B01BDF49-D1F0-4C50-B785-243496D2E088}"/>
    <hyperlink ref="J298" r:id="rId296" display="https://pubmed.ncbi.nlm.nih.gov/?term=20508725%5Buid%5D" xr:uid="{B9777EC7-D14D-4F8A-9AD5-DA3E9B7154C8}"/>
    <hyperlink ref="J299" r:id="rId297" display="https://pubmed.ncbi.nlm.nih.gov/?term=31783581%5Buid%5D" xr:uid="{7CC514A8-3E08-497C-8AD4-1E3B614639B2}"/>
    <hyperlink ref="J300" r:id="rId298" display="https://pubmed.ncbi.nlm.nih.gov/?term=19830698%2C%2019671159%5Buid%5D" xr:uid="{8283E2C0-84FA-4EAB-9551-42F06695999B}"/>
    <hyperlink ref="J301" r:id="rId299" display="https://pubmed.ncbi.nlm.nih.gov/?term=20065949%5Buid%5D" xr:uid="{5FBB818F-A4F7-4885-8AB6-DEBD02014FEA}"/>
    <hyperlink ref="J302" r:id="rId300" display="https://pubmed.ncbi.nlm.nih.gov/?term=26718738%2C%2024880630%5Buid%5D" xr:uid="{6F5723BE-66A8-4FF9-B542-2B0985DAF47C}"/>
    <hyperlink ref="J303" r:id="rId301" display="https://pubmed.ncbi.nlm.nih.gov/?term=22990650%5Buid%5D" xr:uid="{B7BEA35B-96D5-4198-B1D4-1D5D5C4F5348}"/>
    <hyperlink ref="J304" r:id="rId302" display="https://pubmed.ncbi.nlm.nih.gov/?term=21625473%5Buid%5D" xr:uid="{1EEA6E58-FFC9-439F-B188-3675AD9665A8}"/>
    <hyperlink ref="J305" r:id="rId303" display="https://pubmed.ncbi.nlm.nih.gov/?term=23027129%5Buid%5D" xr:uid="{93AF3B04-7F35-4FA0-9494-17C3457EF45D}"/>
    <hyperlink ref="J306" r:id="rId304" display="https://pubmed.ncbi.nlm.nih.gov/?term=16098467%2C%2017418408%2C%2019470762%2C%2022534668%2C%2030013182%2C%2031138787%5Buid%5D" xr:uid="{148647B8-579D-4F94-BCC0-177048758CD3}"/>
    <hyperlink ref="J307" r:id="rId305" display="https://pubmed.ncbi.nlm.nih.gov/?term=22051193%5Buid%5D" xr:uid="{49353DE5-13C0-4EC2-B495-618AD889110B}"/>
    <hyperlink ref="J308" r:id="rId306" display="https://pubmed.ncbi.nlm.nih.gov/?term=24862760%2C%2026148594%2C%2027699040%5Buid%5D" xr:uid="{83F8D4A2-D553-4CDF-91D4-88A3D958960B}"/>
    <hyperlink ref="J309" r:id="rId307" display="27465871, 31904865, 27207836" xr:uid="{486737C0-13C6-4553-AA55-68E266895690}"/>
    <hyperlink ref="J310" r:id="rId308" display="https://pubmed.ncbi.nlm.nih.gov/?term=29433550%5Buid%5D" xr:uid="{C0405164-992A-49E0-95E3-41AECD01B203}"/>
    <hyperlink ref="J311" r:id="rId309" display="https://pubmed.ncbi.nlm.nih.gov/?term=21571862%5Buid%5D" xr:uid="{E3219803-4175-4FAD-A603-3C3A101A9682}"/>
    <hyperlink ref="J312" r:id="rId310" display="https://pubmed.ncbi.nlm.nih.gov/?term=11916245%2C%2018854825%2C%202113532%2C%201660142%2C%2010644041%5Buid%5D" xr:uid="{B675FFCE-E205-44C3-833C-9F72E1AFA62D}"/>
    <hyperlink ref="J313" r:id="rId311" display="https://pubmed.ncbi.nlm.nih.gov/?term=27633497%2C%2014734480%5Buid%5D" xr:uid="{193ADB96-4E36-4AC1-A0EB-5089EA90A04B}"/>
    <hyperlink ref="J314" r:id="rId312" display="https://pubmed.ncbi.nlm.nih.gov/?term=16061661%2C%2028220783%5Buid%5D" xr:uid="{DA191CBC-72A6-4330-8D90-6CAFBF4E98B1}"/>
    <hyperlink ref="J315" r:id="rId313" display="https://pubmed.ncbi.nlm.nih.gov/?term=27336949%5Buid%5D" xr:uid="{5BE63B24-6817-4FB0-B402-3329C42A30BC}"/>
    <hyperlink ref="J316" r:id="rId314" display="https://pubmed.ncbi.nlm.nih.gov/?term=24824601%5Buid%5D" xr:uid="{FB8FE8FF-40B3-4F55-9918-7A1EDE646289}"/>
    <hyperlink ref="J317" r:id="rId315" display="https://pubmed.ncbi.nlm.nih.gov/?term=24576622%2C%2024202965%2C%2028664915%5Buid%5D" xr:uid="{FE8E4B50-78FF-4D77-A793-D69D34CF5539}"/>
    <hyperlink ref="J318" r:id="rId316" display="https://pubmed.ncbi.nlm.nih.gov/?term=24814195%2C%2029716743%2C%2020210796%2C%2019160093%2C%2028664915%2C%2026857210%5Buid%5D" xr:uid="{2C5800CF-9C4A-41CF-99D6-A7781AE3E3CC}"/>
    <hyperlink ref="J319" r:id="rId317" display="https://pubmed.ncbi.nlm.nih.gov/?term=25502083%2C%2025895457%2C%2026654944%5Buid%5D" xr:uid="{4E1DD851-6E01-4FBE-B4CB-6CE651C2C199}"/>
    <hyperlink ref="J320" r:id="rId318" display="https://pubmed.ncbi.nlm.nih.gov/?term=28883005%5Buid%5D" xr:uid="{EA83EF70-BE63-4F6B-A5C7-1F538E7AC462}"/>
    <hyperlink ref="J321" r:id="rId319" display="https://pubmed.ncbi.nlm.nih.gov/?term=29113212%5Buid%5D" xr:uid="{9432B8FB-B290-4BAD-A4E8-46A8CE87B762}"/>
    <hyperlink ref="J322" r:id="rId320" display="https://pubmed.ncbi.nlm.nih.gov/?term=23445611%2C%2028368389%5Buid%5D" xr:uid="{8007AFB9-7B5A-4438-B10E-1BF81A0AA1BF}"/>
    <hyperlink ref="J323" r:id="rId321" display="26337086, 29845423" xr:uid="{E7D7A3D3-3CDA-40D1-9638-D7F8B006BDA2}"/>
    <hyperlink ref="J324" r:id="rId322" display="https://pubmed.ncbi.nlm.nih.gov/?term=31802036%5Buid%5D" xr:uid="{DA8353C6-8983-49ED-AACB-3C03C4FC8309}"/>
    <hyperlink ref="J325" r:id="rId323" display="https://pubmed.ncbi.nlm.nih.gov/?term=8950993%2C%2015837757%5Buid%5D" xr:uid="{79442A22-40CC-44B7-8220-3CA421E8114E}"/>
    <hyperlink ref="J326" r:id="rId324" display="https://pubmed.ncbi.nlm.nih.gov/?term=28599472%5Buid%5D" xr:uid="{04BFA204-E369-466F-961C-65D6313BD1B0}"/>
    <hyperlink ref="J327" r:id="rId325" display="https://pubmed.ncbi.nlm.nih.gov/?term=27876874%5Buid%5D" xr:uid="{4E461571-4AD1-4093-8DCE-940113A47759}"/>
    <hyperlink ref="J328" r:id="rId326" display="https://pubmed.ncbi.nlm.nih.gov/?term=7488097%2C%2029474642%2C%2027133165%5Buid%5D" xr:uid="{1833E34C-7DF5-45FD-8DE5-358AC0B29E02}"/>
    <hyperlink ref="J329" r:id="rId327" display="https://pubmed.ncbi.nlm.nih.gov/?term=14532974%2C%2026356271%2C%2016012725%5Buid%5D" xr:uid="{51E901DF-C5AA-4814-A627-6152DC23381A}"/>
    <hyperlink ref="J330" r:id="rId328" display="https://pubmed.ncbi.nlm.nih.gov/?term=29580231%2C%2025490861%2C%2026018318%5Buid%5D" xr:uid="{081FC71B-8FA4-494A-9899-5AA0324D46DB}"/>
    <hyperlink ref="J331" r:id="rId329" display="https://pubmed.ncbi.nlm.nih.gov/?term=27754745%2C%2025575823%2C%2030040982%20%5Buid%5D" xr:uid="{B333296A-4CE3-494C-991B-66386EE60FE4}"/>
    <hyperlink ref="J332" r:id="rId330" display="https://pubmed.ncbi.nlm.nih.gov/?term=24842157%5Buid%5D" xr:uid="{9CD8FDE3-416A-419A-B2C3-671C1D5AB1A4}"/>
    <hyperlink ref="J333" r:id="rId331" display="https://pubmed.ncbi.nlm.nih.gov/?term=12123741%2C%2024664430%5Buid%5D" xr:uid="{0BA9F816-B618-4AE1-9535-A26C21B11C33}"/>
    <hyperlink ref="J334" r:id="rId332" display="https://pubmed.ncbi.nlm.nih.gov/?term=17072341%2C%2030279363%2C%2019056535%2C%2029495625%5Buid%5D" xr:uid="{D4FC009E-51B3-4E6B-8A85-002C33B31BB4}"/>
    <hyperlink ref="J335" r:id="rId333" display="https://pubmed.ncbi.nlm.nih.gov/?term=24366538%2C%2029552194%2C%2023423781%5Buid%5D" xr:uid="{8D3E1E5D-14C9-4EF5-9287-D81FAB535541}"/>
    <hyperlink ref="J336" r:id="rId334" display="https://pubmed.ncbi.nlm.nih.gov/?term=31697978%2C%2022142828%5Buid%5D" xr:uid="{A709A83B-314B-47D7-B116-AD62F3644E65}"/>
    <hyperlink ref="J337" r:id="rId335" display="https://pubmed.ncbi.nlm.nih.gov/?term=27191653%2C%2029633308%5Buid%5D" xr:uid="{3CC90C0C-806E-45DE-AC25-D6C32D95C618}"/>
    <hyperlink ref="J338" r:id="rId336" display="https://pubmed.ncbi.nlm.nih.gov/?term=27191653%2C%2029633308%5Buid%5D" xr:uid="{235C6F8B-CAF2-4450-946F-5FDFCCA5557E}"/>
    <hyperlink ref="J339" r:id="rId337" display="https://pubmed.ncbi.nlm.nih.gov/?term=20005867%5Buid%5D" xr:uid="{4110FCFF-BC56-4D7A-AFF4-854B706EDA13}"/>
    <hyperlink ref="J340" r:id="rId338" display="https://pubmed.ncbi.nlm.nih.gov/?term=30015866%2C%2024458516%5Buid%5D" xr:uid="{516AA82B-DAE7-4266-B97F-62B20D8AC76E}"/>
    <hyperlink ref="J341" r:id="rId339" display="https://pubmed.ncbi.nlm.nih.gov/?term=28978336%5Buid%5D" xr:uid="{4905475A-605C-4E7F-A358-B1FFB0C9103A}"/>
    <hyperlink ref="J342" r:id="rId340" display="https://pubmed.ncbi.nlm.nih.gov/?term=29669295%5Buid%5D" xr:uid="{9A8DA9E9-4032-4568-90BC-A873A34221CF}"/>
    <hyperlink ref="J343" r:id="rId341" display="https://pubmed.ncbi.nlm.nih.gov/?term=32115889%5Buid%5D" xr:uid="{2154FCBE-3C64-4682-AAF7-8BA64590A7A0}"/>
    <hyperlink ref="J344" r:id="rId342" display="https://pubmed.ncbi.nlm.nih.gov/?term=22017790%2C%2027918237%5Buid%5D" xr:uid="{3ED8E767-8B41-4A3E-AD66-59BFE22F9F9A}"/>
    <hyperlink ref="J345" r:id="rId343" display="https://pubmed.ncbi.nlm.nih.gov/?term=31556117%5Buid%5D" xr:uid="{1A71872C-9B27-43E0-B19B-3DDC1DB279F8}"/>
    <hyperlink ref="J346" r:id="rId344" display="https://pubmed.ncbi.nlm.nih.gov/?term=30056367%2C%2033192515%5Buid%5D" xr:uid="{5D98291B-B758-4E9B-BF7D-80B0C9870894}"/>
    <hyperlink ref="J347" r:id="rId345" display="https://pubmed.ncbi.nlm.nih.gov/?term=17003113%2C%2029968778%5Buid%5D" xr:uid="{0180F30C-35A4-4DB8-A8D3-C18B5C94B46C}"/>
    <hyperlink ref="J348" r:id="rId346" display="https://pubmed.ncbi.nlm.nih.gov/?term=17671694%5Buid%5D" xr:uid="{44375B1B-B1EB-49D0-BAD7-A4ECD225FB0C}"/>
    <hyperlink ref="J349" r:id="rId347" display="https://pubmed.ncbi.nlm.nih.gov/?term=25246592%5Buid%5D" xr:uid="{EA87A3E6-C18C-42CF-8889-AFB8015956A3}"/>
    <hyperlink ref="J350" r:id="rId348" display="https://pubmed.ncbi.nlm.nih.gov/?term=22792399%2C%2030364292%5Buid%5D" xr:uid="{5522DA15-FD1D-47A4-9FAC-09710152B85B}"/>
    <hyperlink ref="J351" r:id="rId349" display="https://pubmed.ncbi.nlm.nih.gov/?term=31783581%2C%2028219206%5Buid%5D" xr:uid="{9B3F4BCF-C8EE-4755-8E1E-0F5F114963AF}"/>
    <hyperlink ref="J352" r:id="rId350" display="21150160, 12516103, 2898306 " xr:uid="{5664B537-6E5E-4BA2-8F18-9ABFEC3C6BBC}"/>
    <hyperlink ref="J353" r:id="rId351" display="https://pubmed.ncbi.nlm.nih.gov/?term=23330092%2C%2029845423%5Buid%5D" xr:uid="{19A3B45E-A46A-46E8-AD09-412387621BD2}"/>
    <hyperlink ref="J354" r:id="rId352" display="https://pubmed.ncbi.nlm.nih.gov/?term=29285301%2C%202898306%2C%2022085405%5Buid%5D" xr:uid="{46C0A50B-A3F5-41E4-B0DA-B2FE1D69A8B1}"/>
    <hyperlink ref="J355" r:id="rId353" display="https://pubmed.ncbi.nlm.nih.gov/?term=20200426%5Buid%5D" xr:uid="{56A93638-88DC-4BBE-904F-02ABFEE04595}"/>
    <hyperlink ref="J356" r:id="rId354" display="https://pubmed.ncbi.nlm.nih.gov/?term=9850649%2C%202898306%2C%2014678959%5Buid%5D" xr:uid="{96F17931-C206-42FC-B12E-128F4AE220F7}"/>
    <hyperlink ref="J357" r:id="rId355" display="https://pubmed.ncbi.nlm.nih.gov/?term=25648141%2C%202898306%2C%2020200426%5Buid%5D" xr:uid="{3269AA5C-734F-4AB8-AD68-8C9D6371933D}"/>
    <hyperlink ref="J358" r:id="rId356" display="https://pubmed.ncbi.nlm.nih.gov/?term=26138778%5Buid%5D" xr:uid="{20E033B4-0BC6-477C-A2DC-194F14080BBC}"/>
    <hyperlink ref="J359" r:id="rId357" display="https://pubmed.ncbi.nlm.nih.gov/?term=26337086%5Buid%5D" xr:uid="{BFF46E0E-3EC0-48D9-8886-0905243FB71D}"/>
    <hyperlink ref="J360" r:id="rId358" display="https://pubmed.ncbi.nlm.nih.gov/?term=22609777%2C%2025115341%2C%2030285805%5Buid%5D" xr:uid="{9A1DB46C-2C7F-472B-ACE2-58B1471A1290}"/>
    <hyperlink ref="J361" r:id="rId359" display="https://pubmed.ncbi.nlm.nih.gov/?term=28039608%5Buid%5D" xr:uid="{B4D1E91F-E0E0-4F65-968F-BADF12FA032C}"/>
    <hyperlink ref="J362" r:id="rId360" display="https://pubmed.ncbi.nlm.nih.gov/?term=24475290%2C%2029456726%2C%2029561664%2C%2030071534%5Buid%5D" xr:uid="{CD80154E-A7E4-4197-A497-1C787563570E}"/>
    <hyperlink ref="J363" r:id="rId361" display="https://pubmed.ncbi.nlm.nih.gov/?term=32024543%5Buid%5D" xr:uid="{CDCF6C5A-54F8-4F73-80F4-97E73CD01FD1}"/>
    <hyperlink ref="J364" r:id="rId362" display="https://pubmed.ncbi.nlm.nih.gov/?term=21571862%5Buid%5D" xr:uid="{DDD8D457-7D69-4BC8-B294-2F0890A060CD}"/>
    <hyperlink ref="J365" r:id="rId363" display="https://pubmed.ncbi.nlm.nih.gov/?term=28989055%5Buid%5D" xr:uid="{3B116729-48F0-40C5-8FBA-55747B35E2D1}"/>
    <hyperlink ref="J366" r:id="rId364" display="https://pubmed.ncbi.nlm.nih.gov/?term=29572031%5Buid%5D" xr:uid="{2A6D978D-1810-43B5-8B6A-39ABD6F74AFF}"/>
    <hyperlink ref="J367" r:id="rId365" display="https://pubmed.ncbi.nlm.nih.gov/?term=29146722%5Buid%5D" xr:uid="{A070EFB3-4A41-480A-BD6D-4436FA5460CD}"/>
    <hyperlink ref="J368" r:id="rId366" display="https://pubmed.ncbi.nlm.nih.gov/?term=14996735%2C%2025351134%5Buid%5D" xr:uid="{F0F218A6-441C-4491-ABBF-9CCB84BAEDA4}"/>
    <hyperlink ref="J369" r:id="rId367" display="https://pubmed.ncbi.nlm.nih.gov/?term=15149548%5Buid%5D" xr:uid="{447A0FCC-537C-4EE8-973D-03E963FFFBFF}"/>
    <hyperlink ref="J370" r:id="rId368" display="11927290, 11410504, 21737664, 32939054" xr:uid="{493568C4-F6DE-4733-BDF4-F7898D3F6DB9}"/>
    <hyperlink ref="J371" r:id="rId369" display="https://pubmed.ncbi.nlm.nih.gov/?term=18395248%2C%2024846322%5Buid%5D" xr:uid="{8E3DD139-BE5B-4CB9-97C0-59C2C6130F13}"/>
    <hyperlink ref="J372" r:id="rId370" display="29247711, 19770592" xr:uid="{6686BADF-2960-438E-97E8-C18474E1EEAB}"/>
    <hyperlink ref="J373" r:id="rId371" display="https://pubmed.ncbi.nlm.nih.gov/?term=26397184%2C%2029844838%20%5Buid%5D" xr:uid="{B63C562C-62AE-4DB4-99B2-28B9A671FBE2}"/>
    <hyperlink ref="J374" r:id="rId372" display="https://pubmed.ncbi.nlm.nih.gov/?term=25327479%2C%2020851854%5Buid%5D" xr:uid="{DC1CCA06-789F-453E-AC7B-0BE5F2CD959F}"/>
    <hyperlink ref="J375" r:id="rId373" display="https://pubmed.ncbi.nlm.nih.gov/?term=29466876%5Buid%5D" xr:uid="{4B1292A6-AC9E-46BE-8E92-0BD235CFFCB2}"/>
    <hyperlink ref="J376" r:id="rId374" display="https://pubmed.ncbi.nlm.nih.gov/?term=16678019%2C%2028808929%5Buid%5D" xr:uid="{3DC4FA30-F9D0-4893-A270-42B44B08133F}"/>
    <hyperlink ref="J377" r:id="rId375" display="https://pubmed.ncbi.nlm.nih.gov/?term=24968817%2C%2025952785%5Buid%5D" xr:uid="{44AE690C-B647-4540-91C3-BBD08C0BA071}"/>
    <hyperlink ref="J378" r:id="rId376" display="https://pubmed.ncbi.nlm.nih.gov/?term=29757528%5Buid%5D" xr:uid="{44D2E040-F58D-4D18-9DC8-9DBDE7E1E4A3}"/>
    <hyperlink ref="J379" r:id="rId377" display="https://pubmed.ncbi.nlm.nih.gov/?term=29402501%2C%2030501603%5Buid%5D" xr:uid="{8CF1AAE6-9F40-48A9-B424-B8F4FF19CD02}"/>
    <hyperlink ref="J380" r:id="rId378" display="https://pubmed.ncbi.nlm.nih.gov/?term=31037158%5Buid%5D" xr:uid="{252BCCC3-0C30-4A45-8F50-3F364798B8AB}"/>
    <hyperlink ref="J381" r:id="rId379" display="https://pubmed.ncbi.nlm.nih.gov/?term=29402501%2C%2027186281%5Buid%5D" xr:uid="{87EDD774-1C01-45FA-ABD3-0EECA97CC33D}"/>
    <hyperlink ref="J382" r:id="rId380" display="https://pubmed.ncbi.nlm.nih.gov/?term=29660518%5Buid%5D" xr:uid="{763ACA38-66DD-401A-BA75-FADCEFDDF34F}"/>
    <hyperlink ref="J383" r:id="rId381" display="https://pubmed.ncbi.nlm.nih.gov/?term=31568655%5Buid%5D" xr:uid="{DAB241F0-8019-4BFF-A6C8-5F1E92B18864}"/>
    <hyperlink ref="J384" r:id="rId382" display="https://pubmed.ncbi.nlm.nih.gov/?term=30194340%5Buid%5D" xr:uid="{0A2CB9C2-9DF6-4172-9F0A-DF1B3BB31334}"/>
    <hyperlink ref="J385" r:id="rId383" display="https://pubmed.ncbi.nlm.nih.gov/?term=32528060%2C%2031467087%5Buid%5D" xr:uid="{53DFD975-B993-4676-A4F8-7FB4D7BD92AA}"/>
    <hyperlink ref="J386" r:id="rId384" display="https://pubmed.ncbi.nlm.nih.gov/?term=27194715%2C%2030131848%5Buid%5D" xr:uid="{C705DE89-9F7C-4356-A69F-9DF0BE02FF41}"/>
    <hyperlink ref="J387" r:id="rId385" display="23135731, 33331136" xr:uid="{BAAE8353-4368-4842-B573-856CDF36633E}"/>
    <hyperlink ref="J388" r:id="rId386" display="27258564, 31449053" xr:uid="{9FCF9043-2E21-4737-83AC-CFA1022590CB}"/>
    <hyperlink ref="J389" r:id="rId387" display="28237487, 28466152, 30066840, 22281241 " xr:uid="{DB8F861D-DF12-4E16-81E9-74CE92EAB15E}"/>
    <hyperlink ref="J391" r:id="rId388" display="https://pubmed.ncbi.nlm.nih.gov/?term=24756776%2C%2029650944%5Buid%5D" xr:uid="{83096064-309E-4464-B0FE-055F7E9160FB}"/>
    <hyperlink ref="J392" r:id="rId389" display="https://pubmed.ncbi.nlm.nih.gov/?term=21888831%2C%2029017331%2C%2032848724%2C%2016080521%2C%2011403922%2C%2026872057%5Buid%5D" xr:uid="{A41C7728-4F01-43BB-8123-92B5F01CE53C}"/>
    <hyperlink ref="J393" r:id="rId390" display="https://pubmed.ncbi.nlm.nih.gov/?term=21559731%2C%208100743%2C%2018372523%2C%2032124395%2C%2021340800%5Buid%5D" xr:uid="{2B448385-4002-46C5-BCC9-A3C0EB459A29}"/>
    <hyperlink ref="J394" r:id="rId391" display="https://pubmed.ncbi.nlm.nih.gov/?term=29168038%5Buid%5D" xr:uid="{FFF97B37-0626-46CC-BA72-E1CFCC2C95BF}"/>
    <hyperlink ref="J395" r:id="rId392" display="https://pubmed.ncbi.nlm.nih.gov/?term=23832872%2C%2018271937%5Buid%5D" xr:uid="{708EDB89-13C5-4784-90D1-27B648AAB8BF}"/>
    <hyperlink ref="J396" r:id="rId393" display="https://pubmed.ncbi.nlm.nih.gov/?term=32080166%5Buid%5D" xr:uid="{07EDD1CB-C320-44B5-B30D-FDFBB3E0DE85}"/>
    <hyperlink ref="J397" r:id="rId394" display="https://pubmed.ncbi.nlm.nih.gov/?term=27133165%2C%207768637%2C%2010735496%2C%2026695443%5Buid%5D" xr:uid="{4A9749F0-8151-4AF8-955E-02F6976487A0}"/>
    <hyperlink ref="J398" r:id="rId395" display="https://pubmed.ncbi.nlm.nih.gov/?term=19318572%2C%2024727326%5Buid%5D" xr:uid="{835B1861-0039-4930-8594-5FA865EA6554}"/>
    <hyperlink ref="J399" r:id="rId396" display="https://pubmed.ncbi.nlm.nih.gov/?term=28545426%5Buid%5D" xr:uid="{E8350F25-F9C0-4B79-9D0F-16150C2B929D}"/>
    <hyperlink ref="J400" r:id="rId397" display="https://pubmed.ncbi.nlm.nih.gov/?term=33061807%2C%2020443017%5Buid%5D" xr:uid="{CB6B7CBE-6C7F-4064-8B66-8706EB9CEB1B}"/>
    <hyperlink ref="J401" r:id="rId398" display="https://pubmed.ncbi.nlm.nih.gov/?term=28685895%2C%2029660014%5Buid%5D" xr:uid="{6A4469E2-DB0F-4826-802A-B76794516B49}"/>
    <hyperlink ref="J402" r:id="rId399" display="https://pubmed.ncbi.nlm.nih.gov/?term=26158423%5Buid%5D" xr:uid="{1C92FDB3-015E-47FF-88B1-ED2C56A3B4D7}"/>
    <hyperlink ref="J403" r:id="rId400" display="https://pubmed.ncbi.nlm.nih.gov/?term=25402559%5Buid%5D" xr:uid="{8F539ED1-3CCB-4CB7-9BE3-CA7F13F1BA03}"/>
    <hyperlink ref="J404" r:id="rId401" display="https://pubmed.ncbi.nlm.nih.gov/?term=24854552%2C%2032020377%5Buid%5D" xr:uid="{6C46BF0A-2138-4421-9C64-E5043C5084D9}"/>
    <hyperlink ref="J405" r:id="rId402" display="https://pubmed.ncbi.nlm.nih.gov/?term=19497997%5Buid%5D" xr:uid="{88F15D7F-523E-4D37-A5B8-988A121FD784}"/>
    <hyperlink ref="J406" r:id="rId403" display="https://pubmed.ncbi.nlm.nih.gov/?term=29662190%5Buid%5D" xr:uid="{D8F9DFEA-6B4E-4BFB-9281-0F7025A8C6B9}"/>
    <hyperlink ref="J407" r:id="rId404" display="https://pubmed.ncbi.nlm.nih.gov/?term=30655852%5Buid%5D" xr:uid="{18C095FE-C800-48DF-851A-6BD5E82BB5A4}"/>
    <hyperlink ref="J408" r:id="rId405" display="https://pubmed.ncbi.nlm.nih.gov/?term=8938138%2C%2017096856%5Buid%5D" xr:uid="{37241FFF-F8C3-44BD-98C1-8F7715E94374}"/>
    <hyperlink ref="J409" r:id="rId406" display="https://pubmed.ncbi.nlm.nih.gov/?term=30641908%5Buid%5D" xr:uid="{D2324AB3-4140-4E06-BF6D-BEF2115EC228}"/>
    <hyperlink ref="J410" r:id="rId407" display="https://pubmed.ncbi.nlm.nih.gov/?term=32010312%5Buid%5D" xr:uid="{D6D6B416-B4D0-495B-A824-DDE6F2BF2A0C}"/>
    <hyperlink ref="J411" r:id="rId408" display="https://pubmed.ncbi.nlm.nih.gov/?term=28942243%2C%2029048638%5Buid%5D" xr:uid="{FF7EB165-A922-4EC5-8F30-7837C2F0F9F7}"/>
    <hyperlink ref="J412" r:id="rId409" display="https://pubmed.ncbi.nlm.nih.gov/?term=31044552%5Buid%5D" xr:uid="{F63CF5F7-4DF7-4A52-BC2B-4648164D14BB}"/>
    <hyperlink ref="J413" r:id="rId410" display="27340780, 29731768, 23637926, 25449309, 20236757, 27108527, 26313152" xr:uid="{8BC625B1-1C56-4325-AE13-0C2891D788A6}"/>
    <hyperlink ref="J414" r:id="rId411" display="https://pubmed.ncbi.nlm.nih.gov/?term=28388577%5Buid%5D" xr:uid="{87526E39-8F9C-4C09-AC39-32802AA1AF3C}"/>
    <hyperlink ref="J415" r:id="rId412" display="https://pubmed.ncbi.nlm.nih.gov/?term=22415136%2C%2031599032%5Buid%5D" xr:uid="{2A5AAF21-1B20-4274-8206-4F310AE05693}"/>
    <hyperlink ref="J416" r:id="rId413" display="https://pubmed.ncbi.nlm.nih.gov/?term=25760437%5Buid%5D" xr:uid="{B88FDC97-C8AC-4CB8-AB25-F8FF87753EBD}"/>
    <hyperlink ref="J417" r:id="rId414" display="https://pubmed.ncbi.nlm.nih.gov/?term=23079474%2C%20%2024995581%2C%2031078735%5Buid%5D" xr:uid="{F80E9FFC-953E-4F5D-B715-7BD2C6C35C6C}"/>
    <hyperlink ref="J418" r:id="rId415" display="31911861, 28328815, 32534716" xr:uid="{FE10B405-966B-4B02-8B84-7FC0FC7D5C53}"/>
    <hyperlink ref="J419" r:id="rId416" display="https://pubmed.ncbi.nlm.nih.gov/?term=28328815%2C%2030930993%5Buid%5D" xr:uid="{C21717F8-4752-47D5-945D-00D6E94C5BEC}"/>
    <hyperlink ref="J420" r:id="rId417" display="https://pubmed.ncbi.nlm.nih.gov/?term=27589736%2C%2019158362%5Buid%5D" xr:uid="{3D19A915-BB36-4448-9466-035CA37829C2}"/>
    <hyperlink ref="J421" r:id="rId418" display="https://pubmed.ncbi.nlm.nih.gov/?term=27294003%2C%2029100351%5Buid%5D" xr:uid="{0F5FE435-2873-456C-B45E-9E75408CE0E9}"/>
    <hyperlink ref="J422" r:id="rId419" display="https://pubmed.ncbi.nlm.nih.gov/?term=30808674,32534716" xr:uid="{4D6211EF-CE41-4957-B5B9-7EBE0FACB17F}"/>
    <hyperlink ref="J423" r:id="rId420" display="https://pubmed.ncbi.nlm.nih.gov/?term=29436681%5Buid%5D" xr:uid="{8E4ADB65-92CF-4EC3-90DA-838ACD55BCBC}"/>
    <hyperlink ref="J424" r:id="rId421" display="https://pubmed.ncbi.nlm.nih.gov/?term=26691219%5Buid%5D" xr:uid="{7C33B9D5-F78C-4E39-A88D-A4E58CAEECB1}"/>
    <hyperlink ref="J425" r:id="rId422" display="https://pubmed.ncbi.nlm.nih.gov/?term=15608674%5Buid%5D" xr:uid="{43512EF9-FC9A-4F43-AF60-BF5D90A6F7D9}"/>
    <hyperlink ref="J426" r:id="rId423" display="https://pubmed.ncbi.nlm.nih.gov/?term=24659709%5Buid%5D" xr:uid="{1811E0FB-167D-4744-A6B3-A9F6E7643F62}"/>
    <hyperlink ref="J427" r:id="rId424" display="https://pubmed.ncbi.nlm.nih.gov/?term=28721072%2C%2024782986%2C%2024764577%5Buid%5D" xr:uid="{23E8DA90-6C40-4D68-9782-6C29AAFA0B9F}"/>
    <hyperlink ref="J428" r:id="rId425" display="11916245, 30439707, 31949859" xr:uid="{6CC70CD2-C65D-4FCF-986B-664AF942CD6D}"/>
    <hyperlink ref="J429" r:id="rId426" display="https://pubmed.ncbi.nlm.nih.gov/?term=11916245%2C%2028358415%5Buid%5D" xr:uid="{C3CBE24D-D079-4EF9-A213-3E19D8475536}"/>
    <hyperlink ref="J430" r:id="rId427" display="https://pubmed.ncbi.nlm.nih.gov/?term=23942796%5Buid%5D" xr:uid="{19902A44-CAC1-45C2-AA0E-71E2153334F7}"/>
    <hyperlink ref="J431" r:id="rId428" display="https://pubmed.ncbi.nlm.nih.gov/?term=20530585%2C%2020491776%5Buid%5D" xr:uid="{6EC79B9D-4BBF-4827-8F71-EBB65093A65F}"/>
    <hyperlink ref="J432" r:id="rId429" display="https://pubmed.ncbi.nlm.nih.gov/?term=28634400%2C%2026915295%2C%2018458078%5Buid%5D" xr:uid="{D034520D-FBDE-47EF-A3D4-9A113B8B7261}"/>
    <hyperlink ref="J433" r:id="rId430" display="https://pubmed.ncbi.nlm.nih.gov/?term=29298824%5Buid%5D" xr:uid="{EC724760-40AD-4FE0-9FCB-FFEA93BE5CB2}"/>
    <hyperlink ref="J434" r:id="rId431" display="https://pubmed.ncbi.nlm.nih.gov/?term=26386726%5Buid%5D" xr:uid="{5A388907-EAEF-43B7-9B33-75B5C7F51FEB}"/>
    <hyperlink ref="J435" r:id="rId432" display="https://pubmed.ncbi.nlm.nih.gov/?term=27694900%5Buid%5D" xr:uid="{918EFB45-796C-4526-A6B1-FDE22BE9558C}"/>
    <hyperlink ref="J436" r:id="rId433" display="https://pubmed.ncbi.nlm.nih.gov/?term=20371346%5Buid%5D" xr:uid="{CFAA6B4B-2617-444A-A2AB-755AC7F8A7A8}"/>
    <hyperlink ref="J437" r:id="rId434" display="https://pubmed.ncbi.nlm.nih.gov/?term=28383032%2C%2016697074%5Buid%5D" xr:uid="{66333A89-3460-4560-AEFB-C2C9A4BB7713}"/>
    <hyperlink ref="J438" r:id="rId435" display="23045278, 27601007" xr:uid="{AFABE386-89C7-4BFD-8F7F-D5E453251B10}"/>
    <hyperlink ref="J439" r:id="rId436" display="https://pubmed.ncbi.nlm.nih.gov/?term=30254487%5Buid%5D" xr:uid="{6DDB7F7C-8FBF-4941-8664-C28AE887A8FA}"/>
    <hyperlink ref="J440" r:id="rId437" display="https://pubmed.ncbi.nlm.nih.gov/?term=21383688%5Buid%5D" xr:uid="{62B1BE38-8BC4-4BED-993C-188DA028AAE7}"/>
    <hyperlink ref="J441" r:id="rId438" display="https://pubmed.ncbi.nlm.nih.gov/?term=21787767%5Buid%5D" xr:uid="{05E9A397-35D3-4DA2-9ECB-2EE251D82BFD}"/>
    <hyperlink ref="J442" r:id="rId439" display="https://pubmed.ncbi.nlm.nih.gov/?term=27296948%2C%2028108288%5Buid%5D" xr:uid="{34D8EF6D-4CF1-4CBF-B207-460227CC700B}"/>
    <hyperlink ref="J443" r:id="rId440" display="https://pubmed.ncbi.nlm.nih.gov/?term=23869764%2C%2030900384%5Buid%5D" xr:uid="{7C79C638-5F5D-4595-9FB5-6B25D6C4B1E1}"/>
    <hyperlink ref="J444" r:id="rId441" display="https://pubmed.ncbi.nlm.nih.gov/?term=27443740%5Buid%5D" xr:uid="{16D3DF49-84BD-4B80-AB97-BCA8D58CAFC3}"/>
    <hyperlink ref="J445" r:id="rId442" display="https://pubmed.ncbi.nlm.nih.gov/?term=30665945%2C%2030108106%5Buid%5D" xr:uid="{38229693-E7BB-403D-BFCD-4F5DBD7DDB2F}"/>
    <hyperlink ref="J446" r:id="rId443" display="https://pubmed.ncbi.nlm.nih.gov/?term=22139083%5Buid%5D" xr:uid="{6903604F-6610-4C36-A39B-0C6CB3E5DBB9}"/>
    <hyperlink ref="J447" r:id="rId444" display="https://pubmed.ncbi.nlm.nih.gov/?term=22348822%5Buid%5D" xr:uid="{5417B1CA-C137-4391-8AE7-03FE8672F4E2}"/>
    <hyperlink ref="J448" r:id="rId445" display="https://pubmed.ncbi.nlm.nih.gov/?term=24434152%2C%2026125866%5Buid%5D" xr:uid="{E891275A-9FD7-4AD0-9877-F05EF0C40A5D}"/>
    <hyperlink ref="J449" r:id="rId446" display="https://pubmed.ncbi.nlm.nih.gov/?term=23449973%2C%20%2022699783%5Buid%5D" xr:uid="{DB7A3815-F033-4168-8384-E08F0CF03BFC}"/>
    <hyperlink ref="J450" r:id="rId447" display="https://pubmed.ncbi.nlm.nih.gov/?term=26495758%2C%2028147318%5Buid%5D" xr:uid="{B4986560-28A3-4FB5-AD49-06A4692DE5CA}"/>
    <hyperlink ref="J451" r:id="rId448" display="https://pubmed.ncbi.nlm.nih.gov/?term=23449973%2C%2029100303%5Buid%5D" xr:uid="{C4473CA0-AAE1-487F-900C-66B1A4E03FD5}"/>
    <hyperlink ref="J452" r:id="rId449" display="https://pubmed.ncbi.nlm.nih.gov/?term=27876874%2C%2029152102%2C%2021097529%2C%2022088438%5Buid%5D" xr:uid="{EAF0F29A-69A1-48F7-A4F0-CF35C5BBAA39}"/>
    <hyperlink ref="J453" r:id="rId450" display="https://pubmed.ncbi.nlm.nih.gov/?term=28056551%5Buid%5D" xr:uid="{48340A9E-DB97-46AE-86B4-DA38AFC5C319}"/>
    <hyperlink ref="J454" r:id="rId451" display="https://pubmed.ncbi.nlm.nih.gov/?term=29168038%2C%2022909338%5Buid%5D" xr:uid="{18457EB8-B54C-4041-8509-98DE38566616}"/>
    <hyperlink ref="J455" r:id="rId452" display="https://pubmed.ncbi.nlm.nih.gov/?term=28838952%5Buid%5D" xr:uid="{5F338728-A3B3-45CA-9396-76FF4CDC3CC7}"/>
    <hyperlink ref="J456" r:id="rId453" display="https://pubmed.ncbi.nlm.nih.gov/?term=31815680%2C%2032543783%5Buid%5D" xr:uid="{BB1ACABC-BCC3-4012-ACC9-1444FD02B625}"/>
    <hyperlink ref="J457" r:id="rId454" display="https://pubmed.ncbi.nlm.nih.gov/?term=27626163%5Buid%5D" xr:uid="{70C71424-AE83-4F56-93EB-9BB160EA49EA}"/>
    <hyperlink ref="J458" r:id="rId455" display="https://pubmed.ncbi.nlm.nih.gov/?term=24533712%2C%2017643379%2C%2019053130%5Buid%5D" xr:uid="{EC17B488-0F11-41F3-8B05-6E241ED720BD}"/>
    <hyperlink ref="J459" r:id="rId456" display="https://pubmed.ncbi.nlm.nih.gov/?term=20487264%2C%2024722796%2C%2026134445%5Buid%5D" xr:uid="{5F4565BA-BA09-44B2-A832-33C1ADDD188D}"/>
    <hyperlink ref="J460" r:id="rId457" display="https://pubmed.ncbi.nlm.nih.gov/?term=25318762%5Buid%5D" xr:uid="{A8C761BD-804D-4895-85BE-21316095AB7A}"/>
    <hyperlink ref="J461" r:id="rId458" display="https://pubmed.ncbi.nlm.nih.gov/?term=26158423%5Buid%5D" xr:uid="{6B78D080-A103-48D9-A535-09D5EF5C4DCD}"/>
    <hyperlink ref="J462" r:id="rId459" display="https://pubmed.ncbi.nlm.nih.gov/?term=25501662%5Buid%5D" xr:uid="{D94FC7F4-A63E-4F86-A9D4-F8A032182FA3}"/>
    <hyperlink ref="J463" r:id="rId460" display="https://pubmed.ncbi.nlm.nih.gov/?term=15491750%5Buid%5D" xr:uid="{56AC374E-70AC-4011-8CFE-DD9917FA8AC8}"/>
    <hyperlink ref="J464" r:id="rId461" display="https://pubmed.ncbi.nlm.nih.gov/?term=30089260%5Buid%5D" xr:uid="{7B9B78AA-3EA5-4F57-BA53-30975F178A9F}"/>
    <hyperlink ref="J465" r:id="rId462" display="https://pubmed.ncbi.nlm.nih.gov/?term=26530471%2C%2030015914%5Buid%5D" xr:uid="{7A7C81AA-8B88-4FD1-A7FE-8F31FD2714CF}"/>
    <hyperlink ref="J466" r:id="rId463" display="https://pubmed.ncbi.nlm.nih.gov/?term=26530471%5Buid%5D" xr:uid="{10241CB9-A353-408D-9FCA-2955048AF144}"/>
    <hyperlink ref="J467" r:id="rId464" display="https://pubmed.ncbi.nlm.nih.gov/?term=22571463%5Buid%5D" xr:uid="{96EFC126-5BFA-4693-AC10-B85BC171F276}"/>
    <hyperlink ref="J468" r:id="rId465" display="https://pubmed.ncbi.nlm.nih.gov/?term=26597704%2C%2029898809%5Buid%5D" xr:uid="{9B12A4CD-CEB6-4D1D-A651-3246668AE612}"/>
    <hyperlink ref="J469" r:id="rId466" display="https://pubmed.ncbi.nlm.nih.gov/?term=10631324%2C%2012565863%5Buid%5D" xr:uid="{91B3A99C-E9E7-45A9-B41D-B90B457EF4B3}"/>
    <hyperlink ref="J470" r:id="rId467" display="https://pubmed.ncbi.nlm.nih.gov/?term=26681060%2C%2030515418%5Buid%5D" xr:uid="{6B1C69AB-4A97-4063-A549-EF443211EA5D}"/>
    <hyperlink ref="J471" r:id="rId468" display="https://pubmed.ncbi.nlm.nih.gov/?term=24597627%5Buid%5D" xr:uid="{03F9F579-570E-487B-9F43-EC7B82C1D3E1}"/>
    <hyperlink ref="J472" r:id="rId469" display="https://pubmed.ncbi.nlm.nih.gov/?term=29158814%5Buid%5D" xr:uid="{BC960F05-F019-4031-A0CC-9914BCCF642C}"/>
    <hyperlink ref="J473" r:id="rId470" display="https://pubmed.ncbi.nlm.nih.gov/?term=15897565%2C%2028545541%5Buid%5D" xr:uid="{754035B3-9849-4983-A48D-BBA6CA67E91A}"/>
    <hyperlink ref="J474" r:id="rId471" display="https://pubmed.ncbi.nlm.nih.gov/?term=23358872%5Buid%5D" xr:uid="{E556013D-C731-4BB3-B912-D8CB0AEC91B4}"/>
    <hyperlink ref="J475" r:id="rId472" display="https://pubmed.ncbi.nlm.nih.gov/?term=28382796%5Buid%5D" xr:uid="{5338780C-B05C-40E0-92C0-8B7343022D44}"/>
    <hyperlink ref="J476" r:id="rId473" display="28382796, 27655288, 25427136" xr:uid="{4D8D06C4-B1C7-4353-B436-94C4325A6156}"/>
    <hyperlink ref="J477" r:id="rId474" display="https://pubmed.ncbi.nlm.nih.gov/?term=25408231%5Buid%5D" xr:uid="{90665755-7B13-4CE8-BAA1-195FD8180375}"/>
    <hyperlink ref="J478" r:id="rId475" display="https://pubmed.ncbi.nlm.nih.gov/?term=9926932%2C%2017406030%5Buid%5D" xr:uid="{4D6D9E29-0AC4-47CE-B521-7245C0D8FE99}"/>
    <hyperlink ref="J479" r:id="rId476" display="https://pubmed.ncbi.nlm.nih.gov/?term=9926932%2C%2028446401%5Buid%5D" xr:uid="{83D20F56-E7B8-46E3-9235-1D248C1BA718}"/>
    <hyperlink ref="J480" r:id="rId477" display="https://pubmed.ncbi.nlm.nih.gov/?term=23678002%5Buid%5D" xr:uid="{5CA056C6-A9A6-4D98-8716-7D366CE5E36C}"/>
    <hyperlink ref="J481" r:id="rId478" display="https://pubmed.ncbi.nlm.nih.gov/?term=9926932%5Buid%5D" xr:uid="{872A713C-B2C1-46A9-A4AF-E851FC0CE561}"/>
    <hyperlink ref="J482" r:id="rId479" display="https://pubmed.ncbi.nlm.nih.gov/?term=25277189%5Buid%5D" xr:uid="{30C7197B-8337-478E-BE98-4C9BB31882A5}"/>
    <hyperlink ref="J483" r:id="rId480" display="https://pubmed.ncbi.nlm.nih.gov/?term=21996734%2C%2022584435%2C%2020651982%5Buid%5D" xr:uid="{6F6AB819-F974-4518-9CD6-929CFAE59E5D}"/>
    <hyperlink ref="J484" r:id="rId481" display="https://pubmed.ncbi.nlm.nih.gov/?term=12637505%2C%2017406030%2C%2015386344%5Buid%5D" xr:uid="{26048EF2-89C1-4877-AAD0-14B1318941CE}"/>
    <hyperlink ref="J485" r:id="rId482" display="https://pubmed.ncbi.nlm.nih.gov/?term=12637505%2C%2019620494%2C%2015386344%5Buid%5D" xr:uid="{2C0998F8-2F65-4788-BC1E-BC596CDCE193}"/>
    <hyperlink ref="J486" r:id="rId483" display="https://pubmed.ncbi.nlm.nih.gov/?term=12637505%2C%2015386344%5Buid%5D" xr:uid="{66081D67-1FFA-4738-AF2C-D0222AF07E40}"/>
    <hyperlink ref="J487" r:id="rId484" display="https://pubmed.ncbi.nlm.nih.gov/?term=12637505%2C%2029956791%2C%2015386344%5Buid%5D" xr:uid="{B1DACDDD-8739-4926-B574-0CCE75DD0005}"/>
    <hyperlink ref="J488" r:id="rId485" display="https://pubmed.ncbi.nlm.nih.gov/?term=21996734%2C%2020651982%5Buid%5D" xr:uid="{A6FA946D-8CD3-4E42-9718-294498D496E1}"/>
    <hyperlink ref="J489" r:id="rId486" display="https://pubmed.ncbi.nlm.nih.gov/?term=24865582%2C%2016105650%2C%2029423673%2C%2020651982%2C%2015386344%5Buid%5D" xr:uid="{B8F338D5-F0EC-4CF7-ABA6-2730633544FD}"/>
    <hyperlink ref="J490" r:id="rId487" display="https://pubmed.ncbi.nlm.nih.gov/?term=23678002%2C%2023365645%2C%2015386344%20%5Buid%5D" xr:uid="{0F669E63-CD16-4814-882D-40EF6661C675}"/>
    <hyperlink ref="J491" r:id="rId488" display="https://pubmed.ncbi.nlm.nih.gov/?term=30033091%5Buid%5D" xr:uid="{0ACA3138-4EA2-4E40-9755-3BB1FD7CA4CE}"/>
    <hyperlink ref="J492" r:id="rId489" display="https://pubmed.ncbi.nlm.nih.gov/?term=31791583%5Buid%5D" xr:uid="{730140D3-2FD6-49BE-88D1-BA9A44F9F92A}"/>
    <hyperlink ref="J493" r:id="rId490" display="https://pubmed.ncbi.nlm.nih.gov/?term=19634140%2C%2012036450%2C%2016361547%5Buid%5D" xr:uid="{FD375E03-8664-4B57-B027-052AE67550AF}"/>
    <hyperlink ref="J494" r:id="rId491" display="https://pubmed.ncbi.nlm.nih.gov/?term=30648820%2C%2023401855.%2026215093%5Buid%5D" xr:uid="{242D833C-8E68-443C-BF8A-9F7827D99457}"/>
    <hyperlink ref="J496" r:id="rId492" display="https://pubmed.ncbi.nlm.nih.gov/?term=27646943%2C%2026876197%2C%2015790436%5Buid%5D" xr:uid="{D3575F56-2316-47B8-BF2C-D576EEAF4297}"/>
    <hyperlink ref="J497" r:id="rId493" display="https://pubmed.ncbi.nlm.nih.gov/?term=27646943%2C%2026876197%2C%2022937789%5Buid%5D" xr:uid="{7BA19D69-CFB2-4F25-BF00-DDB380F48B2C}"/>
    <hyperlink ref="J498" r:id="rId494" display="https://pubmed.ncbi.nlm.nih.gov/?term=19830698%2C%2019671159%2C%2028214016%5Buid%5D" xr:uid="{E15422A2-D979-49A3-A41E-9C9CFF1DB558}"/>
    <hyperlink ref="J499" r:id="rId495" display="https://pubmed.ncbi.nlm.nih.gov/?term=21127195%5Buid%5D" xr:uid="{F82A940C-93F5-4EF7-A54F-156C176A0365}"/>
    <hyperlink ref="J500" r:id="rId496" display="https://pubmed.ncbi.nlm.nih.gov/?term=27384994%2C%209215689%2C%2022820099%5Buid%5D" xr:uid="{5A8BD7F7-D96C-4313-B57B-5A93A13C2E66}"/>
    <hyperlink ref="J501" r:id="rId497" display="https://pubmed.ncbi.nlm.nih.gov/?term=21775533%5Buid%5D" xr:uid="{41CC0A86-33C9-4570-B9DA-7B6A52D27658}"/>
    <hyperlink ref="J502" r:id="rId498" display="https://pubmed.ncbi.nlm.nih.gov/?term=20005867%5Buid%5D" xr:uid="{D56A0E19-EBB8-45BA-9555-9ECA0DC0A653}"/>
    <hyperlink ref="J503" r:id="rId499" display="https://pubmed.ncbi.nlm.nih.gov/?term=20005867%5Buid%5D" xr:uid="{60E53EB3-24BD-4569-AC9F-2DD9C3396F54}"/>
    <hyperlink ref="J504" r:id="rId500" display="https://pubmed.ncbi.nlm.nih.gov/?term=25693518%5Buid%5D" xr:uid="{D364AB95-C3AF-467B-95DA-501FB6620E5E}"/>
    <hyperlink ref="J505" r:id="rId501" display="https://pubmed.ncbi.nlm.nih.gov/?term=28530221%5Buid%5D" xr:uid="{E0B7AEE8-091C-4EC9-8E4B-BE025D1632C7}"/>
    <hyperlink ref="J506" r:id="rId502" display="https://pubmed.ncbi.nlm.nih.gov/?term=23880825%2C%2024997554%5Buid%5D" xr:uid="{10D9AE8C-C667-4C66-A621-432F5D310DF6}"/>
    <hyperlink ref="J507" r:id="rId503" display="https://pubmed.ncbi.nlm.nih.gov/?term=19784067%2C%2023921446%5Buid%5D" xr:uid="{C27CB98D-20D4-4236-A9A3-BEF40FEF91D8}"/>
    <hyperlink ref="J508" r:id="rId504" display="https://pubmed.ncbi.nlm.nih.gov/?term=9233776%2C%2030594176%2C%2032922493%2C%2015240532%5Buid%5D" xr:uid="{1808800E-28B1-4CCC-BC7B-A8B83CB615F8}"/>
    <hyperlink ref="J509" r:id="rId505" display="https://pubmed.ncbi.nlm.nih.gov/?term=29048400%5Buid%5D" xr:uid="{E8601530-D138-409F-8993-FD603A5ED5BF}"/>
    <hyperlink ref="J510" r:id="rId506" display="https://pubmed.ncbi.nlm.nih.gov/?term=27072580%5Buid%5D" xr:uid="{1F2091C3-67F9-44DD-B42B-49822969027D}"/>
    <hyperlink ref="J511" r:id="rId507" display="https://pubmed.ncbi.nlm.nih.gov/?term=31406154%5Buid%5D" xr:uid="{10A03A99-D3C6-4EB0-B9F4-A64999A61C41}"/>
    <hyperlink ref="J512" r:id="rId508" display="https://pubmed.ncbi.nlm.nih.gov/?term=19874802%2C%2027384994%2C%2031157304%5Buid%5D" xr:uid="{C6AC7A63-0636-4E56-A52D-675D73CDED44}"/>
    <hyperlink ref="J513" r:id="rId509" display="https://pubmed.ncbi.nlm.nih.gov/?term=31406154%5Buid%5D" xr:uid="{115C823F-7958-46A7-AD09-40F1F75AF75E}"/>
    <hyperlink ref="J514" r:id="rId510" display="https://pubmed.ncbi.nlm.nih.gov/?term=33396213%5Buid%5D" xr:uid="{A27D553E-9742-4BAD-B2A6-72845027BF5E}"/>
    <hyperlink ref="J515" r:id="rId511" display="https://pubmed.ncbi.nlm.nih.gov/?term=23056490%2C%2018211683%2C%2023340649%2C%2024408020%5Buid%5D" xr:uid="{FD3C6A3D-BB11-4A7E-BCB4-5280CDDB9777}"/>
    <hyperlink ref="J516" r:id="rId512" display="https://pubmed.ncbi.nlm.nih.gov/?term=30477538%2C%2010673506%2C%2033272245%5Buid%5D" xr:uid="{3E01A644-A47C-46D4-9DB0-C23AC20E7868}"/>
    <hyperlink ref="J517" r:id="rId513" display="https://pubmed.ncbi.nlm.nih.gov/?term=27721409%5Buid%5D" xr:uid="{95D572F2-8C77-422F-91EE-13B0B9621C56}"/>
    <hyperlink ref="J518" r:id="rId514" display="https://pubmed.ncbi.nlm.nih.gov/?term=27798884%2C%2024215868%5Buid%5D" xr:uid="{1D569893-33D4-44A1-A84B-CDB16FF3BD7B}"/>
    <hyperlink ref="J519" r:id="rId515" display="https://pubmed.ncbi.nlm.nih.gov/?term=21696631%2C%2015947132%2C%2026519826%5Buid%5D" xr:uid="{5B2CE118-9059-4217-BCE3-FE9127675E79}"/>
    <hyperlink ref="J520" r:id="rId516" display="https://pubmed.ncbi.nlm.nih.gov/?term=27578576%2C%2025966119%2C%2030038702%2C%2010470370%2C%2021285347%20%5Buid%5D" xr:uid="{CFDF1C43-0500-48BC-A8AF-1B5447C33F2B}"/>
    <hyperlink ref="J521" r:id="rId517" display="https://pubmed.ncbi.nlm.nih.gov/?term=22401567%5Buid%5D" xr:uid="{F2F123D8-7350-4571-ABE1-CC2B007B32F7}"/>
    <hyperlink ref="J522" r:id="rId518" display="https://pubmed.ncbi.nlm.nih.gov/?term=19286655%2C%2026519826%2C%2029063235%5Buid%5D" xr:uid="{997A7828-730B-477C-8312-9CC3CE3C6480}"/>
    <hyperlink ref="J523" r:id="rId519" display="https://pubmed.ncbi.nlm.nih.gov/?term=24465798%5Buid%5D" xr:uid="{222DF4EF-0EFC-41C4-8DFF-9E38ECA46DB2}"/>
    <hyperlink ref="J524" r:id="rId520" display="https://pubmed.ncbi.nlm.nih.gov/?term=26763252%5Buid%5D" xr:uid="{5CD9590D-4EAA-4846-9F3C-09AE0E949231}"/>
    <hyperlink ref="J525" r:id="rId521" display="https://pubmed.ncbi.nlm.nih.gov/?term=3175622%2C%209216861%2C%2029854276%2C%2024924344%5Buid%5D" xr:uid="{1E82CEA4-58D3-497D-8DE9-BB6765C304D8}"/>
    <hyperlink ref="J526" r:id="rId522" display="https://pubmed.ncbi.nlm.nih.gov/?term=3175622%2C%209216861%2C%2029854276%2C%2033122816%5Buid%5D" xr:uid="{F046B05C-68B7-42E9-BE2F-BE7A9DC386B2}"/>
    <hyperlink ref="J527" r:id="rId523" display="https://pubmed.ncbi.nlm.nih.gov/?term=16061661%2C%2027623342%2C%2029808689%2C%2033750814%20%5Buid%5D" xr:uid="{8A188445-A199-4819-8E7B-DA551AB01A69}"/>
    <hyperlink ref="J528" r:id="rId524" display="https://pubmed.ncbi.nlm.nih.gov/?term=31534516%5Buid%5D" xr:uid="{87B7D78F-54F6-4A1E-9323-DD70C4E8E356}"/>
    <hyperlink ref="J529" r:id="rId525" display="https://pubmed.ncbi.nlm.nih.gov/?term=22372608%2C%2025684730%5Buid%5D" xr:uid="{8CC1D499-B7B1-42D5-9FA2-BBDDEFADD933}"/>
    <hyperlink ref="J530" r:id="rId526" display="https://pubmed.ncbi.nlm.nih.gov/?term=29061642%2C%2028422725%2C%2024818169%2C%2019690197%2C%2027196780%2C%2031785230%2C%20%5Buid%5D" xr:uid="{E87AA98D-8CA4-44DE-AFDB-5DFAFF4CE06D}"/>
    <hyperlink ref="J531" r:id="rId527" display="https://pubmed.ncbi.nlm.nih.gov/?term=26550452%5Buid%5D" xr:uid="{E76B2D49-8368-4C23-94E9-7EA6B35D855E}"/>
    <hyperlink ref="J532" r:id="rId528" display="https://pubmed.ncbi.nlm.nih.gov/?term=14998492%2C%2012578901%5Buid%5D" xr:uid="{343FB629-8ED0-4206-86A8-0DF6FAC2448F}"/>
    <hyperlink ref="J533" r:id="rId529" display="https://pubmed.ncbi.nlm.nih.gov/?term=19747716%2C%2029552305%5Buid%5D" xr:uid="{D71CD9BF-8014-42A4-9CD0-5BA017D62FCE}"/>
    <hyperlink ref="J534" r:id="rId530" display="https://pubmed.ncbi.nlm.nih.gov/?term=26984395%2C%20%2021136676%2C%2025733373%5Buid%5D" xr:uid="{9612DBF9-6DF6-4708-AC1F-178E38CAF5EB}"/>
    <hyperlink ref="J535" r:id="rId531" display="https://pubmed.ncbi.nlm.nih.gov/?term=27255997%2C%2028291626%5Buid%5D" xr:uid="{C12F009F-B1F3-48C9-8B60-347618406CA8}"/>
    <hyperlink ref="J536" r:id="rId532" display="https://pubmed.ncbi.nlm.nih.gov/?term=26336131%2C%2023677513%2C%2031578574%20%5Buid%5D" xr:uid="{5F95277E-B1B8-41CA-85FE-534592977B28}"/>
    <hyperlink ref="J537" r:id="rId533" display="9535882, 27756418, 19900859, 7585126, 23525731" xr:uid="{BC172CC4-3C08-45CF-A5F2-6C124B8DB1BA}"/>
    <hyperlink ref="J538" r:id="rId534" display="https://pubmed.ncbi.nlm.nih.gov/?term=20459793%2C%2026227489%2C%202113532%2C%2030166592%2C%2032319562%2C%2024583641%5Buid%5D" xr:uid="{5CEF86DA-4573-4411-8864-0BD6AB4063BD}"/>
    <hyperlink ref="J539" r:id="rId535" display="https://pubmed.ncbi.nlm.nih.gov/?term=18176604%2C%2024977712%2C%2025308861%5Buid%5D" xr:uid="{66C2956A-2F36-4062-A959-69F75682834C}"/>
    <hyperlink ref="J540" r:id="rId536" display="https://pubmed.ncbi.nlm.nih.gov/?term=16426580%5Buid%5D" xr:uid="{9AEA3EE1-812B-4D04-B687-7A078EB7DD84}"/>
    <hyperlink ref="J541" r:id="rId537" display="https://pubmed.ncbi.nlm.nih.gov/?term=19305429%2C%2021743489%2C%2017130457%5Buid%5D" xr:uid="{E764466A-DCAA-40E0-8065-ECC4A2EF6CED}"/>
    <hyperlink ref="J542" r:id="rId538" display="https://pubmed.ncbi.nlm.nih.gov/?term=21342274%2C%2027884977%2C%2027105520%2C%2032710593%5Buid%5D" xr:uid="{CB6E961D-894F-4C55-8957-5F1279184657}"/>
    <hyperlink ref="J543" r:id="rId539" display="https://pubmed.ncbi.nlm.nih.gov/?term=32701410%5Buid%5D" xr:uid="{BF13B129-646D-4985-B957-F419E9578F62}"/>
    <hyperlink ref="J544" r:id="rId540" display="https://pubmed.ncbi.nlm.nih.gov/?term=20361941%5Buid%5D" xr:uid="{E9DE127F-DCAA-4383-861F-B390D912A6B5}"/>
    <hyperlink ref="J545" r:id="rId541" display="https://pubmed.ncbi.nlm.nih.gov/?term=25579119%5Buid%5D" xr:uid="{23D37C69-2685-40A1-84AA-6AEC299E19F0}"/>
    <hyperlink ref="J546" r:id="rId542" display="https://pubmed.ncbi.nlm.nih.gov/?term=30638177%5Buid%5D" xr:uid="{3B87021A-5A56-459F-B468-5F5892810331}"/>
    <hyperlink ref="J547" r:id="rId543" display="https://pubmed.ncbi.nlm.nih.gov/?term=23652306%5Buid%5D" xr:uid="{E07AB93C-8597-4E70-B8FE-60D9B3FB3F90}"/>
    <hyperlink ref="J548" r:id="rId544" display="https://pubmed.ncbi.nlm.nih.gov/?term=30032449%5Buid%5D" xr:uid="{E2DDACE4-3884-4F4F-9E04-636A4D21909B}"/>
    <hyperlink ref="J549" r:id="rId545" display="https://pubmed.ncbi.nlm.nih.gov/?term=28379054%5Buid%5D" xr:uid="{AD11013E-A41B-49AA-B610-CB49517845E1}"/>
    <hyperlink ref="J550" r:id="rId546" display="https://pubmed.ncbi.nlm.nih.gov/?term=26130719%2C%2021909941%5Buid%5D" xr:uid="{B0FC99B7-AD32-4B47-88CD-B1F13737C64A}"/>
    <hyperlink ref="J551" r:id="rId547" display="https://pubmed.ncbi.nlm.nih.gov/?term=23633453%2C%2028569775%5Buid%5D" xr:uid="{30040B02-87B5-4AEA-A73C-F93EE96283AE}"/>
    <hyperlink ref="J552" r:id="rId548" display="https://pubmed.ncbi.nlm.nih.gov/?term=32626527%5Buid%5D" xr:uid="{DD633010-F211-44B1-BD20-69800C53513A}"/>
    <hyperlink ref="J553" r:id="rId549" display="https://pubmed.ncbi.nlm.nih.gov/?term=24969318%2C%2026501353%5Buid%5D" xr:uid="{FF5150F9-60A6-43A3-A8A9-ADCA89D288AF}"/>
    <hyperlink ref="J554" r:id="rId550" display="https://pubmed.ncbi.nlm.nih.gov/?term=22296500%5Buid%5D" xr:uid="{883EE123-894C-450C-82EB-81CD8669D5FC}"/>
    <hyperlink ref="J555" r:id="rId551" display="https://pubmed.ncbi.nlm.nih.gov/?term=29203787%2C%2030543142%5Buid%5D" xr:uid="{34824982-3106-4196-9FB4-9888162BAE8D}"/>
    <hyperlink ref="J556" r:id="rId552" display="https://pubmed.ncbi.nlm.nih.gov/?term=27378628%5Buid%5D" xr:uid="{ABC2240B-0505-4C5B-8FDA-5C6C90F7BE9C}"/>
    <hyperlink ref="J557" r:id="rId553" display="https://pubmed.ncbi.nlm.nih.gov/?term=28112439%2C%2024837013%5Buid%5D" xr:uid="{6E53E907-28E5-4934-A086-B37AD1E8D6E3}"/>
    <hyperlink ref="J558" r:id="rId554" display="https://pubmed.ncbi.nlm.nih.gov/?term=18667446%2C%2029813121%5Buid%5D" xr:uid="{7E361FE5-D937-4BD6-A478-2129728BC2BF}"/>
    <hyperlink ref="J559" r:id="rId555" display="https://pubmed.ncbi.nlm.nih.gov/?term=24554706%2C%2016260623%5Buid%5D" xr:uid="{70B23F5C-4325-446B-BE02-939003A6365F}"/>
    <hyperlink ref="J560" r:id="rId556" display="https://pubmed.ncbi.nlm.nih.gov/?term=28416770%5Buid%5D" xr:uid="{38D8BB17-8C27-4819-9BF1-89B7766BBFB4}"/>
    <hyperlink ref="J561" r:id="rId557" display="https://pubmed.ncbi.nlm.nih.gov/?term=31047858%5Buid%5D" xr:uid="{18B03E18-F2FF-4765-9DF2-9DA981422993}"/>
    <hyperlink ref="J562" r:id="rId558" display="https://pubmed.ncbi.nlm.nih.gov/?term=18506185%2C%2030675218%2C%2029517684%2C%2031153640%5Buid%5D" xr:uid="{D2E1F483-74C6-4E8A-93FA-A749E24A7F91}"/>
    <hyperlink ref="J563" r:id="rId559" display="https://pubmed.ncbi.nlm.nih.gov/?term=18506185%5Buid%5D" xr:uid="{0007DA40-9448-42CA-B1C1-F6A879DA42B8}"/>
    <hyperlink ref="J564" r:id="rId560" display="https://pubmed.ncbi.nlm.nih.gov/?term=18506185%2C%2029512753%5Buid%5D" xr:uid="{416D2095-1EA3-459B-B02D-8B13DEC46355}"/>
    <hyperlink ref="J565" r:id="rId561" display="https://pubmed.ncbi.nlm.nih.gov/?term=25179844%2C%2027626163%20%5Buid%5D" xr:uid="{4104D1FC-793A-4771-A546-EFC18EC5B7C8}"/>
    <hyperlink ref="J566" r:id="rId562" display="https://pubmed.ncbi.nlm.nih.gov/?term=28416766%5Buid%5D" xr:uid="{0289963D-2995-46EE-B1AD-7718D4567C90}"/>
    <hyperlink ref="J567" r:id="rId563" display="https://pubmed.ncbi.nlm.nih.gov/?term=30225719%2C%2031423287%5Buid%5D" xr:uid="{27D049F1-E03A-4D77-95C3-60D29D350178}"/>
    <hyperlink ref="J568" r:id="rId564" display="https://pubmed.ncbi.nlm.nih.gov/?term=24515769%5Buid%5D" xr:uid="{5041B493-3D88-4730-9FFF-8A4396A4B315}"/>
    <hyperlink ref="J569" r:id="rId565" display="https://pubmed.ncbi.nlm.nih.gov/?term=29865885%2C%2023831944%2C%2024533712%20%5Buid%5D" xr:uid="{EA80DA5B-D3E6-4C3E-A87F-132C73C0A52C}"/>
    <hyperlink ref="J570" r:id="rId566" display="https://pubmed.ncbi.nlm.nih.gov/?term=27572875%5Buid%5D" xr:uid="{4BF0E106-FBA7-4982-8DC2-F9CAAC7B8D33}"/>
    <hyperlink ref="J571" r:id="rId567" display="https://pubmed.ncbi.nlm.nih.gov/?term=23720056%5Buid%5D" xr:uid="{F2B4FEFC-77EE-4F93-94A3-271DB27AD0D6}"/>
    <hyperlink ref="J572" r:id="rId568" display="https://pubmed.ncbi.nlm.nih.gov/?term=10604725%2C%2029495918%2C%202113532%5Buid%5D" xr:uid="{77ACFFD7-E51A-46EA-8EBB-59599E452BD3}"/>
    <hyperlink ref="J573" r:id="rId569" display="https://pubmed.ncbi.nlm.nih.gov/?term=31235595%2C%2032038994%5Buid%5D" xr:uid="{5E8E0DDF-18CC-4ED3-A2D3-1B9996194F3C}"/>
    <hyperlink ref="J574" r:id="rId570" display="https://pubmed.ncbi.nlm.nih.gov/?term=26629888%5Buid%5D" xr:uid="{9AAAEA8D-6954-4F25-BDCA-3253C79A23FD}"/>
    <hyperlink ref="J575" r:id="rId571" display="https://pubmed.ncbi.nlm.nih.gov/?term=18307537%2C%2032125823%5Buid%5D" xr:uid="{DA300B32-0B96-4494-96A0-72184E3959A9}"/>
    <hyperlink ref="J576" r:id="rId572" display="https://pubmed.ncbi.nlm.nih.gov/?term=28746220%5Buid%5D" xr:uid="{05AAEA7E-355D-49E2-8D40-CA7C21B944A2}"/>
    <hyperlink ref="J577" r:id="rId573" display="https://pubmed.ncbi.nlm.nih.gov/?term=28790113%5Buid%5D" xr:uid="{05F27AB1-2864-4617-A518-0721545ECEA1}"/>
    <hyperlink ref="J578" r:id="rId574" display="https://pubmed.ncbi.nlm.nih.gov/?term=28790113%5Buid%5D" xr:uid="{B2D2EEF1-C1F5-4AE2-95CB-62831146A5B8}"/>
    <hyperlink ref="J579" r:id="rId575" display="https://pubmed.ncbi.nlm.nih.gov/?term=22074739%5Buid%5D" xr:uid="{1E7BB0B5-68D3-4655-BB7B-2004B11E55B6}"/>
    <hyperlink ref="J580" r:id="rId576" display="https://pubmed.ncbi.nlm.nih.gov/?term=21364678%2C%2025015419%5Buid%5D" xr:uid="{561105C0-6DE6-43AF-8C33-6F07EB4FBE48}"/>
    <hyperlink ref="J581" r:id="rId577" display="https://pubmed.ncbi.nlm.nih.gov/?term=26364260%2C%2029207176%5Buid%5D" xr:uid="{91FE8843-DBD0-4C04-9D18-5B886FE70665}"/>
    <hyperlink ref="J582" r:id="rId578" display="https://pubmed.ncbi.nlm.nih.gov/?term=27713506%2C%2028535002%2C%2010531298%5Buid%5D" xr:uid="{D4ED60BE-8A3B-4009-9498-50E81AACF2B9}"/>
    <hyperlink ref="J583" r:id="rId579" display="https://pubmed.ncbi.nlm.nih.gov/?term=25560489%2C%2023877225%2C%2029391894%5Buid%5D" xr:uid="{4ADC182A-E11E-4A2A-97BD-A6EDEC2637B2}"/>
    <hyperlink ref="J584" r:id="rId580" display="https://pubmed.ncbi.nlm.nih.gov/?term=30472259%2C%2029872499%5Buid%5D" xr:uid="{0E37E906-1183-4DF9-93C7-34B24972F841}"/>
    <hyperlink ref="J585" r:id="rId581" display="https://pubmed.ncbi.nlm.nih.gov/?term=27641360%5Buid%5D" xr:uid="{B2EFF2C3-0A67-4610-ACFF-AB0684866E2E}"/>
    <hyperlink ref="J586" r:id="rId582" display="https://pubmed.ncbi.nlm.nih.gov/?term=28790117%5Buid%5D" xr:uid="{AB61BB67-16AE-4435-9BD3-E3A94087A547}"/>
    <hyperlink ref="J587" r:id="rId583" display="https://pubmed.ncbi.nlm.nih.gov/?term=28473198%5Buid%5D" xr:uid="{A2005860-F013-4B9C-8206-FE1545F396CC}"/>
    <hyperlink ref="J588" r:id="rId584" display="https://pubmed.ncbi.nlm.nih.gov/?term=22785358%5Buid%5D" xr:uid="{32FE25CA-E814-48ED-8AE0-A23979DDC1DE}"/>
    <hyperlink ref="J589" r:id="rId585" display="https://pubmed.ncbi.nlm.nih.gov/?term=27170529%2C%2022526154%2C%2021747690%20%5Buid%5D" xr:uid="{1821C0D5-9189-4B45-A6DD-7CFE491F7686}"/>
    <hyperlink ref="J590" r:id="rId586" display="https://pubmed.ncbi.nlm.nih.gov/?term=28281524%2C%2028650468%20%5Buid%5D" xr:uid="{133F6F40-C9A7-49F0-9E62-16142A84A707}"/>
    <hyperlink ref="J591" r:id="rId587" display="https://pubmed.ncbi.nlm.nih.gov/?term=20798217%5Buid%5D" xr:uid="{A9FE6E79-C185-4EFA-B5F7-4EFAF9FA1255}"/>
    <hyperlink ref="J592" r:id="rId588" display="https://pubmed.ncbi.nlm.nih.gov/?term=16609680%2C%2018439754%5Buid%5D" xr:uid="{B9A17195-B5E0-4A93-9DF5-D4CB84EC9B98}"/>
    <hyperlink ref="J593" r:id="rId589" display="https://pubmed.ncbi.nlm.nih.gov/?term=27443740%5Buid%5D" xr:uid="{08B684C6-F744-4545-8B12-2B6748CD9F19}"/>
    <hyperlink ref="J594" r:id="rId590" display="https://pubmed.ncbi.nlm.nih.gov/?term=27590741%5Buid%5D" xr:uid="{4C22FB96-4BE1-4149-B690-15C955045AEF}"/>
    <hyperlink ref="J595" r:id="rId591" display="https://pubmed.ncbi.nlm.nih.gov/?term=28039608%5Buid%5D" xr:uid="{EB0B77FA-C3CF-4553-852D-CF7DCD96C94B}"/>
    <hyperlink ref="J596" r:id="rId592" display="https://pubmed.ncbi.nlm.nih.gov/?term=30129654%5Buid%5D" xr:uid="{54AF0F7B-DBF6-452D-9932-6148F9D1A7EF}"/>
    <hyperlink ref="J597" r:id="rId593" display="https://pubmed.ncbi.nlm.nih.gov/?term=25253786%2C%2024474685%2C%2029721165%2C%209790789%5Buid%5D" xr:uid="{41C0DB08-E427-4E40-BEED-69352E06E4E5}"/>
    <hyperlink ref="J598" r:id="rId594" display="https://pubmed.ncbi.nlm.nih.gov/?term=20735432%5Buid%5D" xr:uid="{071A67FC-AB89-4872-A57A-3E0634DF5339}"/>
    <hyperlink ref="J599" r:id="rId595" display="https://pubmed.ncbi.nlm.nih.gov/?term=29240605%5Buid%5D" xr:uid="{48C99D0E-B714-4E92-8481-CCA32406EB41}"/>
    <hyperlink ref="J600" r:id="rId596" display="https://pubmed.ncbi.nlm.nih.gov/?term=22266184%5Buid%5D" xr:uid="{8AA5722E-6F00-4FE5-9E3D-C8B722D166BA}"/>
    <hyperlink ref="J601" r:id="rId597" display="https://pubmed.ncbi.nlm.nih.gov/?term=16575905%2C%2029857117%2C%2024277456%5Buid%5D" xr:uid="{3DB8003B-EB76-49A1-BC3A-D67C5FBAF13B}"/>
    <hyperlink ref="J602" r:id="rId598" display="https://pubmed.ncbi.nlm.nih.gov/?term=29207176%2C%2026364260%2C%2024478030%5Buid%5D" xr:uid="{04895626-D139-4736-92FD-15B3314EF887}"/>
    <hyperlink ref="J603" r:id="rId599" display="https://pubmed.ncbi.nlm.nih.gov/?term=30229902%5Buid%5D" xr:uid="{B208F9FF-98E6-4A63-8459-511C48C849A0}"/>
    <hyperlink ref="J604" r:id="rId600" display="https://pubmed.ncbi.nlm.nih.gov/?term=29907593%2C%2033221963%5Buid%5D" xr:uid="{DC145C85-9D96-4635-B44A-9793EDA385AB}"/>
    <hyperlink ref="J605" r:id="rId601" display="https://pubmed.ncbi.nlm.nih.gov/?term=26087191%2C%2029064423%5Buid%5D" xr:uid="{24E8BF38-5CB2-4FEA-9DA2-8ECBE8820997}"/>
    <hyperlink ref="J606" r:id="rId602" display="https://pubmed.ncbi.nlm.nih.gov/?term=22854025%2C%2023287530%5Buid%5D" xr:uid="{F841B0FA-8407-4371-BB91-41EB0D6872EF}"/>
    <hyperlink ref="J607" r:id="rId603" display="https://pubmed.ncbi.nlm.nih.gov/?term=22854025%2C%2023287530%5Buid%5D" xr:uid="{91B6ED45-C2EF-4E62-95F5-5578E06B1478}"/>
    <hyperlink ref="J608" r:id="rId604" display="https://pubmed.ncbi.nlm.nih.gov/?term=27322682%5Buid%5D" xr:uid="{97F0A4F1-9AE2-46C2-A661-500D60DBDADD}"/>
    <hyperlink ref="J609" r:id="rId605" display="https://pubmed.ncbi.nlm.nih.gov/?term=32102425%2C%2030569123%2C%2023481023%5Buid%5D" xr:uid="{C51BE713-E2CB-48E5-9D1A-6AC56A51E677}"/>
    <hyperlink ref="J610" r:id="rId606" display="https://pubmed.ncbi.nlm.nih.gov/?term=33244267%5Buid%5D" xr:uid="{984AD41E-1572-4A75-94E7-F0E97A1B2294}"/>
    <hyperlink ref="J611" r:id="rId607" display="https://pubmed.ncbi.nlm.nih.gov/?term=29410405%2C%2030226266%5Buid%5D" xr:uid="{9FCF9897-8026-4FA6-8059-B6BC7ED6F246}"/>
    <hyperlink ref="J612" r:id="rId608" display="https://pubmed.ncbi.nlm.nih.gov/?term=28713273%5Buid%5D" xr:uid="{94062348-5D76-499C-9EEF-46CA86D0BDD5}"/>
    <hyperlink ref="J613" r:id="rId609" display="30925862, 23060548" xr:uid="{93DB0026-C5D8-440C-BAD5-131C0FE8A20C}"/>
    <hyperlink ref="J614" r:id="rId610" display="https://pubmed.ncbi.nlm.nih.gov/?term=19797399%2C%2028197632%5Buid%5D" xr:uid="{B61714E1-86A7-4B28-8B9C-A8BA21E5F203}"/>
    <hyperlink ref="J615" r:id="rId611" display="https://pubmed.ncbi.nlm.nih.gov/?term=20957754%2C%2018183577%2C%2028562344%2C%2025112877%5Buid%5D" xr:uid="{5CDC3FBB-8D79-4C28-8982-6750143E68E1}"/>
    <hyperlink ref="J616" r:id="rId612" display="https://pubmed.ncbi.nlm.nih.gov/?term=32581546%2C%2032386122%2C%2025719555%2C%2033284994%5Buid%5D" xr:uid="{48942736-10F1-4367-978B-78D9280B66DA}"/>
    <hyperlink ref="J617" r:id="rId613" display="https://pubmed.ncbi.nlm.nih.gov/?term=15790433%2C%2016275998%2C%2019701705%2C%2023266353%2C%2027489350%5Buid%5D" xr:uid="{0142076E-43C6-4204-8AB9-AFBD8254D59F}"/>
    <hyperlink ref="J618" r:id="rId614" display="https://pubmed.ncbi.nlm.nih.gov/?term=25884497%5Buid%5D" xr:uid="{345844A6-9F0E-45FA-8104-D75AF0D8DECE}"/>
    <hyperlink ref="J619" r:id="rId615" display="https://pubmed.ncbi.nlm.nih.gov/?term=21652733%5Buid%5D" xr:uid="{1CCA6F96-185F-410A-BC62-DCDCCCEF7A12}"/>
    <hyperlink ref="J620" r:id="rId616" display="https://pubmed.ncbi.nlm.nih.gov/?term=29327155%2C%2021571862%5Buid%5D" xr:uid="{992F0874-1C0A-4050-8292-0FA3CEA9E9E0}"/>
    <hyperlink ref="J621" r:id="rId617" display="https://pubmed.ncbi.nlm.nih.gov/?term=29327155%5Buid%5D" xr:uid="{7382D579-9200-4659-8B4A-41BDB6A6184F}"/>
    <hyperlink ref="J622" r:id="rId618" display="https://pubmed.ncbi.nlm.nih.gov/?term=25342548%2C%2030349298%20%5Buid%5D" xr:uid="{AC3DE3D0-9AF6-4163-A166-0A8EB43C09DB}"/>
    <hyperlink ref="J623" r:id="rId619" display="https://pubmed.ncbi.nlm.nih.gov/?term=25099161%5Buid%5D" xr:uid="{F541643E-495F-48C0-B135-410152C80162}"/>
    <hyperlink ref="J624" r:id="rId620" display="https://pubmed.ncbi.nlm.nih.gov/?term=30385753%2C%2028259921%20%5Buid%5D" xr:uid="{552DB36A-E572-448C-9429-1086B81A8EE3}"/>
    <hyperlink ref="J625" r:id="rId621" display="https://pubmed.ncbi.nlm.nih.gov/?term=21310163%2C%2022110608%5Buid%5D" xr:uid="{967C7B5E-8926-439F-BD3E-DB1A2C231248}"/>
    <hyperlink ref="J626" r:id="rId622" display="https://pubmed.ncbi.nlm.nih.gov/?term=27492148%2C%2030443191%2C%2033456577%5Buid%5D" xr:uid="{3E8636ED-C42D-4D93-89FF-34D901D54DA9}"/>
    <hyperlink ref="J627" r:id="rId623" display="https://pubmed.ncbi.nlm.nih.gov/?term=19258036%2C%2019276398%5Buid%5D" xr:uid="{C5A0BAE0-E292-457D-8E04-082EF21F92DA}"/>
    <hyperlink ref="J628" r:id="rId624" display="https://pubmed.ncbi.nlm.nih.gov/?term=27748936%2C%2029663364%2C%2030876762%2C%2030488440%5Buid%5D" xr:uid="{FE97BDC8-98C8-4EF6-B9D3-14995855FCD7}"/>
    <hyperlink ref="J629" r:id="rId625" display="https://pubmed.ncbi.nlm.nih.gov/?term=22289679%2C%2032349184%2C%2021402713%5Buid%5D" xr:uid="{F2909A0A-B0FC-4CA3-ACE2-146714206C02}"/>
    <hyperlink ref="J630" r:id="rId626" display="https://pubmed.ncbi.nlm.nih.gov/?term=25143433%2C%2023302226%2C%2022509021%5Buid%5D" xr:uid="{69BEA003-FA13-4157-BFDD-9C2BA6EA842E}"/>
    <hyperlink ref="J631" r:id="rId627" display="https://pubmed.ncbi.nlm.nih.gov/?term=23921446%2C%2026066081%5Buid%5D" xr:uid="{3375E102-8581-4F82-ADD8-F71A48AE1EF0}"/>
    <hyperlink ref="J632" r:id="rId628" display="https://pubmed.ncbi.nlm.nih.gov/?term=9398618%2C%2028744813%2C%2030244973%5Buid%5D" xr:uid="{5321D827-543A-413B-90F1-3F5C503216B1}"/>
    <hyperlink ref="J633" r:id="rId629" display="https://pubmed.ncbi.nlm.nih.gov/?term=26423401%2C%2021528244%2C%2012601175%5Buid%5D" xr:uid="{32298AB5-F661-4CA4-B76A-C1548F2E504A}"/>
    <hyperlink ref="J634" r:id="rId630" display="https://pubmed.ncbi.nlm.nih.gov/?term=26336131%2C%2019364127%5Buid%5D" xr:uid="{EE1042CB-3E78-4A3D-8711-7FA1B70E9872}"/>
    <hyperlink ref="J635" r:id="rId631" display="https://pubmed.ncbi.nlm.nih.gov/?term=25915207%5Buid%5D" xr:uid="{88AF707F-4125-4B9C-B54C-53E1626BAA77}"/>
    <hyperlink ref="J636" r:id="rId632" display="https://pubmed.ncbi.nlm.nih.gov/?term=28074003%2C%2021357694%2C%2025561897%5Buid%5D" xr:uid="{126FF068-2AD5-4777-B02D-055EC7DA83E2}"/>
    <hyperlink ref="J637" r:id="rId633" display="https://pubmed.ncbi.nlm.nih.gov/?term=30214636%2C%2030344713%2C%2030388038%20%5Buid%5D" xr:uid="{482529DD-0A0F-4B72-9A00-92D18767D093}"/>
    <hyperlink ref="J638" r:id="rId634" display="https://pubmed.ncbi.nlm.nih.gov/?term=30038717%2C%2024449906%5Buid%5D" xr:uid="{8068D927-52BA-404A-B1CC-5FC94519756D}"/>
    <hyperlink ref="J639" r:id="rId635" display="https://pubmed.ncbi.nlm.nih.gov/?term=25190177%2C%2027806724%5Buid%5D" xr:uid="{B3F50B60-8F27-4ABC-9598-7E7EDA068F42}"/>
    <hyperlink ref="J640" r:id="rId636" display="https://pubmed.ncbi.nlm.nih.gov/?term=29618620%2C%2018302766%5Buid%5D" xr:uid="{361E28F1-1949-4CFF-914C-AB823772D159}"/>
    <hyperlink ref="J641" r:id="rId637" display="https://pubmed.ncbi.nlm.nih.gov/?term=25831546%2C%2022529383%2C%2031064846%2C%2016267001%5Buid%5D" xr:uid="{8625B9FB-CEE3-4F7A-9C09-57AC72BD3405}"/>
    <hyperlink ref="J642" r:id="rId638" display="https://pubmed.ncbi.nlm.nih.gov/?term=28391554%2C%2029715472%5Buid%5D" xr:uid="{23C447CC-E0EA-4292-B756-59B1BFCB83E2}"/>
    <hyperlink ref="J643" r:id="rId639" display="https://pubmed.ncbi.nlm.nih.gov/?term=12578393%5Buid%5D" xr:uid="{95483B25-8151-4866-BAAD-A09003985A53}"/>
    <hyperlink ref="J644" r:id="rId640" display="https://pubmed.ncbi.nlm.nih.gov/?term=19908865%2C%2016787914%2C%2019995904%5Buid%5D" xr:uid="{11E4C03C-4E57-4714-9768-1483E566F23F}"/>
    <hyperlink ref="J645" r:id="rId641" display="https://pubmed.ncbi.nlm.nih.gov/?term=27533083%5Buid%5D" xr:uid="{A71ADE5E-2290-422B-835E-38EA824DDAE7}"/>
    <hyperlink ref="J646" r:id="rId642" display="https://pubmed.ncbi.nlm.nih.gov/?term=26716408%5Buid%5D" xr:uid="{2D3113C7-8715-4694-B334-B85458763ABA}"/>
    <hyperlink ref="J647" r:id="rId643" display="https://pubmed.ncbi.nlm.nih.gov/?term=24954502%2C%2023340171%2C%2020683952%2C%2021342274%5Buid%5D" xr:uid="{66E0D7C4-CAB4-4E55-8E74-15E87809A6F9}"/>
    <hyperlink ref="J648" r:id="rId644" display="https://pubmed.ncbi.nlm.nih.gov/?term=29749474%2C%2029472690%2C%2030880247%5Buid%5D" xr:uid="{26F7AF67-865C-4530-944C-EDF396071ACA}"/>
    <hyperlink ref="J649" r:id="rId645" display="https://pubmed.ncbi.nlm.nih.gov/?term=22777349%5Buid%5D" xr:uid="{FAD01F75-3915-4528-B729-99E6E78F57D8}"/>
    <hyperlink ref="J650" r:id="rId646" display="https://pubmed.ncbi.nlm.nih.gov/?term=19583808%5Buid%5D" xr:uid="{1F337C11-6AA9-462D-A3DD-F9E2FB74B5AA}"/>
    <hyperlink ref="J651" r:id="rId647" display="https://pubmed.ncbi.nlm.nih.gov/?term=21927021%2C%2025154814%5Buid%5D" xr:uid="{96DC18D6-19F6-4812-8821-D836E549E6BC}"/>
    <hyperlink ref="J652" r:id="rId648" display="https://pubmed.ncbi.nlm.nih.gov/?term=23518861%5Buid%5D" xr:uid="{4908F235-096B-4F1A-800F-27622DD09C17}"/>
    <hyperlink ref="J653" r:id="rId649" display="https://pubmed.ncbi.nlm.nih.gov/?term=23087057%2C%2026800397%2C%2031221814%5Buid%5D" xr:uid="{674CCC6B-BB86-4139-90EA-3E342A62CE09}"/>
    <hyperlink ref="J654" r:id="rId650" display="https://pubmed.ncbi.nlm.nih.gov/?term=23503975%2C%2023564483%5Buid%5D" xr:uid="{A1554A80-62A4-4B69-B24C-9B2B6A2C1654}"/>
    <hyperlink ref="J655" r:id="rId651" display="https://pubmed.ncbi.nlm.nih.gov/?term=22955258%2C%2020196784%5Buid%5D" xr:uid="{B16DEF13-3AB7-49BF-905D-844B3622C459}"/>
    <hyperlink ref="J656" r:id="rId652" display="https://pubmed.ncbi.nlm.nih.gov/?term=29212260%2C%2022728651%2C%2020196784%5Buid%5D" xr:uid="{A80DDB15-3C97-49E7-94E9-4C62389FF88C}"/>
    <hyperlink ref="J657" r:id="rId653" display="https://pubmed.ncbi.nlm.nih.gov/?term=20722101%5Buid%5D" xr:uid="{0FD5131F-A7F9-452E-BD17-A224D72EBA5A}"/>
    <hyperlink ref="J658" r:id="rId654" display="https://pubmed.ncbi.nlm.nih.gov/?term=22955258%2C%2020196784%5Buid%5D" xr:uid="{C37C7504-1259-4D58-9C12-1D844236E070}"/>
    <hyperlink ref="J659" r:id="rId655" display="https://pubmed.ncbi.nlm.nih.gov/?term=8853907%2C%2026543233%5Buid%5D" xr:uid="{4498BB20-4DD6-4275-8AEF-EFEF9B753F01}"/>
    <hyperlink ref="J660" r:id="rId656" display="https://pubmed.ncbi.nlm.nih.gov/?term=26300055%2C%2027554045%2C%2016166454%2C%207635571%2C%2020654585%2C%2019117992%5Buid%5D" xr:uid="{251D31AE-DF85-46AD-BBE5-50C2DE577D95}"/>
    <hyperlink ref="J661" r:id="rId657" display="https://pubmed.ncbi.nlm.nih.gov/?term=28246354%2C%2016508638%2C%208930400%2C%2018765998%5Buid%5D" xr:uid="{595405F0-D4B5-4573-BD4B-7AB66A3D47CC}"/>
    <hyperlink ref="J662" r:id="rId658" display="https://pubmed.ncbi.nlm.nih.gov/?term=25017423%2C%2016166454%2C%2026300055%5Buid%5D" xr:uid="{35F2DBC2-322C-4FD0-85DA-CED4296C2634}"/>
    <hyperlink ref="J663" r:id="rId659" display="https://pubmed.ncbi.nlm.nih.gov/?term=27499034%2C%2026108997%2C%2012464596%5Buid%5D" xr:uid="{6E18C0DD-F550-4879-A541-A6C8BB6749EF}"/>
    <hyperlink ref="J664" r:id="rId660" display="https://pubmed.ncbi.nlm.nih.gov/?term=18506185%2C%2020371672%2C%2022740515%2C%2029288364%5Buid%5D" xr:uid="{543C581F-8481-4923-8977-931765D5FBD3}"/>
    <hyperlink ref="J665" r:id="rId661" display="https://pubmed.ncbi.nlm.nih.gov/?term=30305341%5Buid%5D" xr:uid="{022FE707-7304-4494-94A4-55891770993F}"/>
    <hyperlink ref="J666" r:id="rId662" display="https://pubmed.ncbi.nlm.nih.gov/?term=18836486%2C%2023135908%2C%2032483269%5Buid%5D" xr:uid="{4E5325CD-0BED-41A7-BB70-DD5C9F0B17F5}"/>
    <hyperlink ref="J667" r:id="rId663" display="https://pubmed.ncbi.nlm.nih.gov/?term=27779244%2C%2029805561%2C%2030650069%5Buid%5D" xr:uid="{C85FA738-45BA-4286-82C5-0B702C75924D}"/>
    <hyperlink ref="J668" r:id="rId664" display="https://pubmed.ncbi.nlm.nih.gov/?term=22379635%2C%2015015601%2C%2033585454%5Buid%5D" xr:uid="{825917E6-F12B-42B1-A29A-A2B9E8C20328}"/>
    <hyperlink ref="J669" r:id="rId665" display="https://pubmed.ncbi.nlm.nih.gov/?term=23165153%5Buid%5D" xr:uid="{F81E784B-DFFD-47DE-9B49-456778390F7F}"/>
    <hyperlink ref="J670" r:id="rId666" display="https://pubmed.ncbi.nlm.nih.gov/?term=23165153%5Buid%5D" xr:uid="{3594C9A2-C0B3-4928-816C-BE50D282D3B4}"/>
    <hyperlink ref="J671" r:id="rId667" display="https://pubmed.ncbi.nlm.nih.gov/?term=24921917%5Buid%5D" xr:uid="{48DAB60B-BB94-48A8-BECA-B91CE29C3BF8}"/>
    <hyperlink ref="J672" r:id="rId668" display="https://pubmed.ncbi.nlm.nih.gov/?term=30110910%5Buid%5D" xr:uid="{609BD62C-7478-47A1-BE60-BE7A8F6908F9}"/>
    <hyperlink ref="J673" r:id="rId669" display="https://pubmed.ncbi.nlm.nih.gov/?term=24434152%2C%2028910982%2C%2019150122%5Buid%5D" xr:uid="{4E75B27A-FB1C-4B86-8AA4-E6681BF47C2B}"/>
    <hyperlink ref="J674" r:id="rId670" display="https://pubmed.ncbi.nlm.nih.gov/?term=30655206%5Buid%5D" xr:uid="{EF9B7188-E90F-4E1D-A14F-09C68CC4E023}"/>
    <hyperlink ref="J675" r:id="rId671" display="https://pubmed.ncbi.nlm.nih.gov/?term=16831230%5Buid%5D" xr:uid="{C979E644-6105-438C-A5E4-EEEC51C87D86}"/>
    <hyperlink ref="J676" r:id="rId672" display="https://pubmed.ncbi.nlm.nih.gov/?term=31478830%2C%2027294003%2C%2028103122%2C%2023307041%5Buid%5D" xr:uid="{95DF0EBD-AB00-4357-81E6-52A1537D8BB4}"/>
    <hyperlink ref="J677" r:id="rId673" display="https://pubmed.ncbi.nlm.nih.gov/?term=27833130%5Buid%5D" xr:uid="{16DA02FC-648A-4F7C-9118-F255DA9AB567}"/>
    <hyperlink ref="J678" r:id="rId674" display="https://pubmed.ncbi.nlm.nih.gov/?term=24096476%5Buid%5D" xr:uid="{0653F330-20D8-4402-B26B-5D16B96D82E4}"/>
    <hyperlink ref="J679" r:id="rId675" display="https://pubmed.ncbi.nlm.nih.gov/?term=32494165%2C%2030464528%5Buid%5D" xr:uid="{4DF1BCCA-079B-42E1-B7CA-98FF32D8DB6F}"/>
    <hyperlink ref="J680" r:id="rId676" display="https://pubmed.ncbi.nlm.nih.gov/?term=26967059%2C%2028400705%5Buid%5D" xr:uid="{5C12A2A4-1D54-4473-9A6A-048006F7F3C1}"/>
    <hyperlink ref="J681" r:id="rId677" display="https://pubmed.ncbi.nlm.nih.gov/?term=25096996%5Buid%5D" xr:uid="{5904CB8B-6748-4C5C-A73B-A9B6DD52027E}"/>
    <hyperlink ref="J682" r:id="rId678" display="https://pubmed.ncbi.nlm.nih.gov/?term=29636548%2C%2030626032%5Buid%5D" xr:uid="{AA14C5DD-376B-45EB-80CC-ABA0D09BA855}"/>
    <hyperlink ref="J683" r:id="rId679" display="https://pubmed.ncbi.nlm.nih.gov/?term=21969054%5Buid%5D" xr:uid="{27B06199-F5C0-4725-ADA5-1B96C03F4DA7}"/>
    <hyperlink ref="J684" r:id="rId680" display="https://pubmed.ncbi.nlm.nih.gov/?term=31314174%2C%2020930109%2C%2032193458%5Buid%5D" xr:uid="{F7E417D2-699B-46CC-B64D-DE169670E70C}"/>
    <hyperlink ref="J685" r:id="rId681" display="https://pubmed.ncbi.nlm.nih.gov/?term=20028083%2C%2028473198%5Buid%5D" xr:uid="{A5FA343C-A4AE-48A5-8AF7-A202E2910B01}"/>
    <hyperlink ref="J686" r:id="rId682" display="https://pubmed.ncbi.nlm.nih.gov/?term=19487811%5Buid%5D" xr:uid="{E320DDA8-C964-4A62-AE3C-5FFB77CB310E}"/>
    <hyperlink ref="J687" r:id="rId683" display="https://pubmed.ncbi.nlm.nih.gov/?term=29620223%2C%2031640742%2C%2026138778%2C%2026369335%5Buid%5D" xr:uid="{60F770F7-1267-47C8-99A1-46F25DE1CBAD}"/>
    <hyperlink ref="J688" r:id="rId684" display="https://pubmed.ncbi.nlm.nih.gov/?term=25368520%2C%2015126333%20%5Buid%5D" xr:uid="{B1F47246-B45F-4A14-B13B-ABA3778C553E}"/>
    <hyperlink ref="J689" r:id="rId685" display="https://pubmed.ncbi.nlm.nih.gov/?term=15126333%2C%2027465554%5Buid%5D" xr:uid="{604D98E7-86E9-4259-ACDB-8D89FF7D8639}"/>
    <hyperlink ref="J690" r:id="rId686" display="https://pubmed.ncbi.nlm.nih.gov/?term=15126333%2C%2019347880%5Buid%5D" xr:uid="{958B14FF-1FBA-4F0D-B082-2CB22026B4FE}"/>
    <hyperlink ref="J691" r:id="rId687" display="https://pubmed.ncbi.nlm.nih.gov/?term=9774659%2C%2018473729%2C%2021779174%2C%2031381562%2C%2027531263%5Buid%5D" xr:uid="{28CB628B-FCB9-429F-BD41-9BB617522776}"/>
    <hyperlink ref="J692" r:id="rId688" display="https://pubmed.ncbi.nlm.nih.gov/?term=16520463%5Buid%5D" xr:uid="{EB2B2C4B-C9D4-4825-90B9-77C0F1EF5569}"/>
    <hyperlink ref="J693" r:id="rId689" display="https://pubmed.ncbi.nlm.nih.gov/?term=28735897%5Buid%5D" xr:uid="{DEB51705-9108-4DEB-9612-4F7004C67E13}"/>
    <hyperlink ref="J694" r:id="rId690" display="https://pubmed.ncbi.nlm.nih.gov/?term=23147544%2C%2029368096%2C%2025368379%5Buid%5D" xr:uid="{691CBB88-9811-4501-9684-224C01568C19}"/>
    <hyperlink ref="J695" r:id="rId691" display="https://pubmed.ncbi.nlm.nih.gov/?term=20428827%2C%2026238431.%2011336696%5Buid%5D" xr:uid="{BC8FFE29-9667-4BD0-A971-F951FCA0DD62}"/>
    <hyperlink ref="J696" r:id="rId692" display="https://pubmed.ncbi.nlm.nih.gov/?term=26713604%2C%2029445424%5Buid%5D" xr:uid="{38E141D0-39E5-4242-B53B-E93E59EA4018}"/>
    <hyperlink ref="J697" r:id="rId693" display="https://pubmed.ncbi.nlm.nih.gov/?term=16061639%2C%2029286307%5Buid%5D" xr:uid="{8AB162EA-BB2E-47D2-95D9-2C9BF191DB5D}"/>
    <hyperlink ref="J698" r:id="rId694" display="https://pubmed.ncbi.nlm.nih.gov/?term=20727170%5Buid%5D" xr:uid="{2369E5B0-0613-4B31-B9D4-F76AD0B016F5}"/>
    <hyperlink ref="J699" r:id="rId695" display="https://pubmed.ncbi.nlm.nih.gov/?term=30279231%5Buid%5D" xr:uid="{9378A33A-9E2D-40C1-8D4C-130AB3675801}"/>
    <hyperlink ref="J700" r:id="rId696" display="https://pubmed.ncbi.nlm.nih.gov/?term=16978399%2C%2025538733%2C%2021571861%2C%2024688722%2C%2016227411%5Buid%5D" xr:uid="{BCED268B-E994-4B6E-8F10-50856EFB9296}"/>
    <hyperlink ref="J701" r:id="rId697" display="https://pubmed.ncbi.nlm.nih.gov/?term=27013200%5Buid%5D" xr:uid="{E59E37BB-8808-4FF5-A41D-1C586B9841C7}"/>
    <hyperlink ref="J702" r:id="rId698" display="https://pubmed.ncbi.nlm.nih.gov/?term=20585448%5Buid%5D" xr:uid="{745CE3D7-0752-4C7D-BA50-C856DAFBE6F8}"/>
    <hyperlink ref="J703" r:id="rId699" display="https://pubmed.ncbi.nlm.nih.gov/?term=20564628%2C%2029921694%5Buid%5D" xr:uid="{D39D5AF0-23E8-4667-9100-8B1D0F27B346}"/>
    <hyperlink ref="J704" r:id="rId700" display="https://pubmed.ncbi.nlm.nih.gov/?term=25795775%2C%2024276455%5Buid%5D" xr:uid="{824CB0BA-FEE6-42F4-91F6-D8E53BB17189}"/>
    <hyperlink ref="J705" r:id="rId701" display="https://pubmed.ncbi.nlm.nih.gov/?term=16495473%2C%2029864443%2C%2029598900%5Buid%5D" xr:uid="{CE36B25C-1CA0-4C17-9529-7DA814A18E2A}"/>
    <hyperlink ref="J706" r:id="rId702" display="https://pubmed.ncbi.nlm.nih.gov/?term=24956248%2C%2026165320%2C%2019289490%5Buid%5D" xr:uid="{71F38841-DAFD-4D80-89B0-4A7247BB06D9}"/>
    <hyperlink ref="J707" r:id="rId703" display="https://pubmed.ncbi.nlm.nih.gov/?term=11336696%2C%2019053130%5Buid%5D" xr:uid="{F1B53B15-7356-451E-AB4A-5CAF13F11E1F}"/>
    <hyperlink ref="J708" r:id="rId704" display="https://pubmed.ncbi.nlm.nih.gov/?term=19053130%5Buid%5D" xr:uid="{2F558100-8897-4D6C-B7D6-F5BAEF56B5DC}"/>
    <hyperlink ref="J709" r:id="rId705" display="https://pubmed.ncbi.nlm.nih.gov/?term=21044322%2C%2024475290%5Buid%5D" xr:uid="{DABD97CB-243B-47BD-8BE2-93CEBB7497C8}"/>
    <hyperlink ref="J710" r:id="rId706" display="https://pubmed.ncbi.nlm.nih.gov/?term=21044322%2C%2024475290%5Buid%5D" xr:uid="{151F6626-066A-482D-AA0B-2CC70B00DE48}"/>
    <hyperlink ref="J711" r:id="rId707" display="https://pubmed.ncbi.nlm.nih.gov/?term=22336585%2C%2023842948%2C%2026482039%2C%2025277379%2C%2020202822%20%5Buid%5D" xr:uid="{18CC2574-7383-44A6-BEFA-C5A9B805EF73}"/>
    <hyperlink ref="J712" r:id="rId708" display="https://pubmed.ncbi.nlm.nih.gov/?term=22971344%5Buid%5D" xr:uid="{71A936F4-5F9A-4E6F-9603-524602A8ED45}"/>
    <hyperlink ref="J713" r:id="rId709" display="https://pubmed.ncbi.nlm.nih.gov/?term=29719287%5Buid%5D" xr:uid="{28A861D9-B831-4F7F-AC49-5A659E730997}"/>
    <hyperlink ref="J714" r:id="rId710" display="https://pubmed.ncbi.nlm.nih.gov/?term=28498503%2C%2024675421%5Buid%5D" xr:uid="{6357BB73-044C-4699-BEF2-9973893F5DA9}"/>
    <hyperlink ref="J715" r:id="rId711" display="https://pubmed.ncbi.nlm.nih.gov/?term=29331417%5Buid%5D" xr:uid="{E80DC665-3D59-4AC1-9981-339B3DDFAAE1}"/>
    <hyperlink ref="J716" r:id="rId712" display="https://pubmed.ncbi.nlm.nih.gov/?term=24842157%2C%2011314033%5Buid%5D" xr:uid="{0E04E223-EBEC-43E4-8C1A-A8075ADA159C}"/>
    <hyperlink ref="J717" r:id="rId713" display="https://pubmed.ncbi.nlm.nih.gov/?term=29719173%5Buid%5D" xr:uid="{CDE9D2AC-B6E0-4A42-A43C-B40B5675533A}"/>
    <hyperlink ref="J718" r:id="rId714" display="https://pubmed.ncbi.nlm.nih.gov/?term=27239958%2C%2030907503%5Buid%5D" xr:uid="{EAEF2C8C-59BA-4F0E-9B39-C2BA4C9FDA77}"/>
    <hyperlink ref="J719" r:id="rId715" display="https://pubmed.ncbi.nlm.nih.gov/?term=30056367%2C%2027239958%5Buid%5D" xr:uid="{D39B2C37-A556-4C89-A946-52F8D442300B}"/>
    <hyperlink ref="J720" r:id="rId716" display="https://pubmed.ncbi.nlm.nih.gov/?term=30808674%5Buid%5D" xr:uid="{5442403A-B6F6-45C2-A5D4-D88405FC00C5}"/>
    <hyperlink ref="J721" r:id="rId717" display="https://pubmed.ncbi.nlm.nih.gov/?term=30072396%5Buid%5D" xr:uid="{31DF07B9-4BE7-4ABC-AC80-7606E8E2B4ED}"/>
    <hyperlink ref="J722" r:id="rId718" display="https://pubmed.ncbi.nlm.nih.gov/?term=18289945%2C%2019787780%5Buid%5D" xr:uid="{DF4F9ED4-C03E-4804-B505-489DE7DC7C7D}"/>
    <hyperlink ref="J723" r:id="rId719" display="https://pubmed.ncbi.nlm.nih.gov/?term=16394183%5Buid%5D" xr:uid="{23516DAA-8725-49F7-8827-36C8CB14A669}"/>
    <hyperlink ref="J724" r:id="rId720" display="https://pubmed.ncbi.nlm.nih.gov/?term=20935493%5Buid%5D" xr:uid="{A7641482-BF10-4D8A-AFDB-87C5510CF824}"/>
    <hyperlink ref="J725" r:id="rId721" display="https://pubmed.ncbi.nlm.nih.gov/?term=16968546%2C%2021364753%2C%2026051182%2C%2023874713%5Buid%5D" xr:uid="{A2861EB1-7B0B-4EB3-85B9-FDB9EB6D006A}"/>
    <hyperlink ref="J726" r:id="rId722" display="https://pubmed.ncbi.nlm.nih.gov/?term=23800275%5Buid%5D" xr:uid="{B3FF0E96-239F-4735-AA48-83A65F516370}"/>
    <hyperlink ref="J727" r:id="rId723" display="https://pubmed.ncbi.nlm.nih.gov/?term=29642900%2C%2032667058%2C%2017508026%5Buid%5D" xr:uid="{D6B7D11D-F7BF-46D4-BABB-6E39EE073744}"/>
    <hyperlink ref="J728" r:id="rId724" display="https://pubmed.ncbi.nlm.nih.gov/?term=23041051%5Buid%5D" xr:uid="{FC27D059-EB67-46C3-99C4-F3116FBD1EAB}"/>
    <hyperlink ref="J729" r:id="rId725" display="18425342, 21397856" xr:uid="{A6B1A737-E298-4616-9B65-5053E9B1268F}"/>
    <hyperlink ref="J730" r:id="rId726" display="https://pubmed.ncbi.nlm.nih.gov/?term=18425342%2C%2021397856%5Buid%5D" xr:uid="{32F6D754-590D-4986-B710-5C783F767135}"/>
    <hyperlink ref="J731" r:id="rId727" display="https://pubmed.ncbi.nlm.nih.gov/?term=24244431%5Buid%5D" xr:uid="{4EBD7A88-5F9D-461F-938A-27BA115CBAC0}"/>
    <hyperlink ref="J732" r:id="rId728" display="https://pubmed.ncbi.nlm.nih.gov/?term=26293895%5Buid%5D" xr:uid="{B7A0DCC3-2B79-4C22-9A08-7A19C70CC691}"/>
    <hyperlink ref="J733" r:id="rId729" display="https://pubmed.ncbi.nlm.nih.gov/?term=19639316%2C%2023466567%5Buid%5D" xr:uid="{B115A0A2-DCE6-431B-82A4-41025A3A0CF9}"/>
    <hyperlink ref="J734" r:id="rId730" display="https://pubmed.ncbi.nlm.nih.gov/?term=26186909%5Buid%5D" xr:uid="{C720C601-CDEB-4831-BE3F-5A33F6F4AA2D}"/>
    <hyperlink ref="J735" r:id="rId731" display="https://pubmed.ncbi.nlm.nih.gov/?term=25491625%5Buid%5D" xr:uid="{F79A8CC9-C693-4852-9518-02985D46D27F}"/>
    <hyperlink ref="J736" r:id="rId732" display="https://pubmed.ncbi.nlm.nih.gov/?term=29485916%2C%2028051137%2C%2029956751%5Buid%5D" xr:uid="{585B275D-365D-42B8-AB2F-F743D0F9F30C}"/>
    <hyperlink ref="J737" r:id="rId733" display="https://pubmed.ncbi.nlm.nih.gov/?term=30288106%2C%2022487537%2C%2024631944%5Buid%5D" xr:uid="{EAB4147F-19B3-4BC5-BDC0-C94771B6B275}"/>
    <hyperlink ref="J738" r:id="rId734" display="https://pubmed.ncbi.nlm.nih.gov/?term=27501952%2C%2029956807%20%5Buid%5D" xr:uid="{DF5D2C1C-D3A5-4484-A2B8-C605DEE03153}"/>
    <hyperlink ref="J739" r:id="rId735" display="https://pubmed.ncbi.nlm.nih.gov/?term=20031193%2C%2020443003%2C%2023903781%5Buid%5D" xr:uid="{3B2DF30A-880C-4497-827C-7AA6A89A0D5C}"/>
    <hyperlink ref="J740" r:id="rId736" display="https://pubmed.ncbi.nlm.nih.gov/?term=29393390%5Buid%5D" xr:uid="{155B6763-001E-4CE2-8E60-4604D4CE8361}"/>
    <hyperlink ref="J741" r:id="rId737" display="https://pubmed.ncbi.nlm.nih.gov/?term=31479922%5Buid%5D" xr:uid="{9A3462F1-4527-44C4-87CE-6980E2986722}"/>
    <hyperlink ref="J742" r:id="rId738" display="https://pubmed.ncbi.nlm.nih.gov/?term=31495720%5Buid%5D" xr:uid="{819848E9-CBF3-40A5-A0AA-FCBDE069FBDA}"/>
    <hyperlink ref="J743" r:id="rId739" display="https://pubmed.ncbi.nlm.nih.gov/?term=30544766%2C%2027140478%2C%2030013182%5Buid%5D" xr:uid="{90CD262C-D057-4EF3-8151-DFF97C4B2057}"/>
    <hyperlink ref="J744" r:id="rId740" display="https://pubmed.ncbi.nlm.nih.gov/?term=30544766%2C%2027140478%2C%2030013182%5Buid%5D" xr:uid="{EDF71F9C-F4FE-4758-9DE5-D2BB84681067}"/>
    <hyperlink ref="J745" r:id="rId741" display="https://pubmed.ncbi.nlm.nih.gov/?term=30544766%2C%2027140478%2C%2030013182%5Buid%5D" xr:uid="{C668374D-47BD-47E5-B7C2-955FA2CFEC61}"/>
    <hyperlink ref="J746" r:id="rId742" display="https://pubmed.ncbi.nlm.nih.gov/?term=26548925%2C%2023002208%5Buid%5D" xr:uid="{02F8EA96-8777-4036-A665-6A8F2C3897A9}"/>
    <hyperlink ref="J747" r:id="rId743" display="https://pubmed.ncbi.nlm.nih.gov/?term=23661500%5Buid%5D" xr:uid="{2F224241-C1DE-4AD4-A89F-77B536B7DE97}"/>
    <hyperlink ref="J748" r:id="rId744" display="https://pubmed.ncbi.nlm.nih.gov/?term=23185467%2C%2024810714%5Buid%5D" xr:uid="{AE198013-FF55-479A-88CB-54275A7056CE}"/>
    <hyperlink ref="J749" r:id="rId745" display="https://pubmed.ncbi.nlm.nih.gov/?term=28975405%5Buid%5D" xr:uid="{5F2A7F4B-AD3C-4F16-9F6B-F95CCEBBBFF4}"/>
    <hyperlink ref="J750" r:id="rId746" display="https://pubmed.ncbi.nlm.nih.gov/?term=30300027%5Buid%5D" xr:uid="{59A88AA3-5BFF-49A0-BDD8-C17DDABFD928}"/>
    <hyperlink ref="J751" r:id="rId747" display="https://pubmed.ncbi.nlm.nih.gov/?term=30093630%2C%2029842882%5Buid%5D" xr:uid="{5BE35358-606F-4921-88C2-600F45D15A6B}"/>
    <hyperlink ref="J752" r:id="rId748" display="https://pubmed.ncbi.nlm.nih.gov/?term=19528459%2C%2026346170%2C%2024185104%5Buid%5D" xr:uid="{15DDDD63-E929-4AC8-BFB2-3A547A36C5E1}"/>
    <hyperlink ref="J753" r:id="rId749" display="https://pubmed.ncbi.nlm.nih.gov/?term=18942711%2C%2019957335%5Buid%5D" xr:uid="{F8186DE6-514B-419D-BE62-8437C96EA728}"/>
    <hyperlink ref="J754" r:id="rId750" display="https://pubmed.ncbi.nlm.nih.gov/?term=25485633%2C%2025219252%5Buid%5D" xr:uid="{AE0C0BC8-EECF-4E00-98B7-38184964316F}"/>
    <hyperlink ref="J755" r:id="rId751" display="https://pubmed.ncbi.nlm.nih.gov/?term=28678322%2C%2026431211%5Buid%5D" xr:uid="{951EB650-146A-43A0-B2B3-5FEA1C57D889}"/>
    <hyperlink ref="J756" r:id="rId752" display="https://pubmed.ncbi.nlm.nih.gov/?term=31472149%5Buid%5D" xr:uid="{6D29AA21-32F4-4F4D-B901-9CB413498A74}"/>
    <hyperlink ref="J757" r:id="rId753" display="https://pubmed.ncbi.nlm.nih.gov/?term=32458975%5Buid%5D" xr:uid="{F9C8A24C-9240-46A7-A054-6B23A095A1E4}"/>
    <hyperlink ref="J758" r:id="rId754" display="https://pubmed.ncbi.nlm.nih.gov/?term=26367491%2C%2021947960%5Buid%5D" xr:uid="{47217D8D-5F04-4578-9CBF-94A051B2EB43}"/>
    <hyperlink ref="J759" r:id="rId755" display="https://pubmed.ncbi.nlm.nih.gov/?term=27420645%5Buid%5D" xr:uid="{357CDB8E-C9CD-48A1-B7F7-C1401ED1A4C5}"/>
    <hyperlink ref="J760" r:id="rId756" display="https://pubmed.ncbi.nlm.nih.gov/?term=27987372%2C%2029113360%5Buid%5D" xr:uid="{DD34FC57-B3EB-4366-A5CA-057E1B4F7F8B}"/>
    <hyperlink ref="J761" r:id="rId757" display="https://pubmed.ncbi.nlm.nih.gov/?term=28138029%5Buid%5D" xr:uid="{1CEFA137-E7C0-4FB8-B134-D61DF1CC5BE9}"/>
    <hyperlink ref="J762" r:id="rId758" display="https://pubmed.ncbi.nlm.nih.gov/?term=27191653%2C%2020570523%5Buid%5D" xr:uid="{87D7C51D-3C76-4DE4-A131-E2A0FD4B3433}"/>
    <hyperlink ref="J763" r:id="rId759" display="https://pubmed.ncbi.nlm.nih.gov/?term=16914559%2C%2023053895%5Buid%5D" xr:uid="{E8B64971-9EB1-4482-989D-423606FCCA52}"/>
    <hyperlink ref="J764" r:id="rId760" display="https://pubmed.ncbi.nlm.nih.gov/?term=16914559%2C%2018508032%2C%2024643204%5Buid%5D" xr:uid="{8711598C-53F1-4F3D-97A0-A3345D42446A}"/>
    <hyperlink ref="J765" r:id="rId761" display="https://pubmed.ncbi.nlm.nih.gov/?term=16914559%2C%2029416650%5Buid%5D" xr:uid="{A89D8A42-FDEF-4081-8B75-E2436B523C51}"/>
    <hyperlink ref="J766" r:id="rId762" display="https://pubmed.ncbi.nlm.nih.gov/?term=24681808%2C%2029651165%5Buid%5D" xr:uid="{6A65BA5B-856C-4FDB-B84D-DEE97C7A808E}"/>
    <hyperlink ref="J767" r:id="rId763" display="https://pubmed.ncbi.nlm.nih.gov/?term=30334452%2C%2026513225%5Buid%5D" xr:uid="{FEA7719D-3BB3-426C-88C9-5B2639847763}"/>
    <hyperlink ref="J768" r:id="rId764" display="https://pubmed.ncbi.nlm.nih.gov/?term=11571727%2C%2030861255%2C%2020870738%2C%2027294003%2C%2028222430%5Buid%5D" xr:uid="{8E4FB5DD-89BE-427E-A0EC-B9DBD63E1638}"/>
    <hyperlink ref="J769" r:id="rId765" display="https://pubmed.ncbi.nlm.nih.gov/?term=23462296%2C%2026773935%2C%2020870738%2C%2020678156%5Buid%5D" xr:uid="{4666AD2B-88E3-43E0-B2CC-5F19C5424933}"/>
    <hyperlink ref="J770" r:id="rId766" display="https://pubmed.ncbi.nlm.nih.gov/?term=22491798%2C%2026158423%2C%2029630768%2C%2023010323%5Buid%5D" xr:uid="{0806F675-AABE-4845-A1F9-F40B86FB90ED}"/>
    <hyperlink ref="J771" r:id="rId767" display="https://pubmed.ncbi.nlm.nih.gov/?term=19509135%2C%2020930109%2C%2023564780%5Buid%5D" xr:uid="{98F44B59-1BE7-4E90-A205-3B83D62A84AC}"/>
    <hyperlink ref="J772" r:id="rId768" display="https://pubmed.ncbi.nlm.nih.gov/?term=28775359%5Buid%5D" xr:uid="{7E279349-7D15-4A41-AA10-7618E455E7B4}"/>
    <hyperlink ref="J773" r:id="rId769" display="https://pubmed.ncbi.nlm.nih.gov/?term=30481785%5Buid%5D" xr:uid="{DBC81CA3-0564-4459-82F5-F7DE51F38F46}"/>
    <hyperlink ref="J774" r:id="rId770" display="https://pubmed.ncbi.nlm.nih.gov/?term=29212168%5Buid%5D" xr:uid="{FE61C560-811B-4FEF-88B8-5FA1ABC97F41}"/>
    <hyperlink ref="J775" r:id="rId771" display="https://pubmed.ncbi.nlm.nih.gov/?term=28138029%5Buid%5D" xr:uid="{D98DE77B-FA40-420C-84EC-4B696D1DAF44}"/>
    <hyperlink ref="J776" r:id="rId772" display="https://pubmed.ncbi.nlm.nih.gov/24516043,27133165" xr:uid="{A60AD53B-75C0-4F71-98B9-5B9990CCEC80}"/>
    <hyperlink ref="J777" r:id="rId773" display="https://pubmed.ncbi.nlm.nih.gov/?term=19058911%2C%2028242177%5Buid%5D" xr:uid="{5952796F-EF2E-45B7-80BF-65B433E10DCF}"/>
    <hyperlink ref="J778" r:id="rId774" display="https://pubmed.ncbi.nlm.nih.gov/?term=28085111%2C%2029867145%5Buid%5D" xr:uid="{DD637680-330C-4920-93A9-897985722E46}"/>
    <hyperlink ref="J779" r:id="rId775" display="https://pubmed.ncbi.nlm.nih.gov/?term=23757163%5Buid%5D" xr:uid="{410D0638-122B-456F-ABA3-7E26E01C3718}"/>
    <hyperlink ref="J780" r:id="rId776" display="https://pubmed.ncbi.nlm.nih.gov/?term=26625211%2C%2022927417%2C%2031128155%5Buid%5D" xr:uid="{07E2E473-9409-465E-8670-B257BEE195CF}"/>
    <hyperlink ref="J781" r:id="rId777" display="https://pubmed.ncbi.nlm.nih.gov/?term=24831703%2C%2024076221%5Buid%5D" xr:uid="{AEB82191-DB99-4339-A867-6C6D6797FD0F}"/>
    <hyperlink ref="J782" r:id="rId778" display="https://pubmed.ncbi.nlm.nih.gov/?term=21464321%2C%2030576517%2C%2019595721%5Buid%5D" xr:uid="{264C20BA-F621-41A2-985B-2C793186F53C}"/>
    <hyperlink ref="J783" r:id="rId779" display="https://pubmed.ncbi.nlm.nih.gov/?term=28814088%2C%2022753594%2C%2020012971%2C%2026093488%5Buid%5D" xr:uid="{F34DC843-0D9C-433A-8629-58EE17914B03}"/>
    <hyperlink ref="J784" r:id="rId780" display="https://pubmed.ncbi.nlm.nih.gov/?term=22721696%2C%2030127991%5Buid%5D" xr:uid="{5D6E3734-4D24-4AFB-9160-026B262C9340}"/>
    <hyperlink ref="J785" r:id="rId781" display="26671993, 29515757" xr:uid="{3BC5FA08-1F9B-4E56-9252-A376DE2B30BD}"/>
    <hyperlink ref="J786" r:id="rId782" display="https://pubmed.ncbi.nlm.nih.gov/?term=25611552%5Buid%5D" xr:uid="{3F796487-83FC-4D0F-85AC-FC2FE0FF0C8C}"/>
    <hyperlink ref="J787" r:id="rId783" display="https://pubmed.ncbi.nlm.nih.gov/?term=29552194%2C%2027875522%5Buid%5D" xr:uid="{17761BFC-D3B7-4FAA-8C65-CA403C9FBEE4}"/>
    <hyperlink ref="J788" r:id="rId784" display="https://pubmed.ncbi.nlm.nih.gov/?term=25846011%2C%2018679423%2C%2015150117%2C%2027107419%5Buid%5D" xr:uid="{2D4768F2-6E7C-4BB1-AD06-FE1359647D55}"/>
    <hyperlink ref="J789" r:id="rId785" display="https://pubmed.ncbi.nlm.nih.gov/?term=26716514%2C%2021750651%2C%2025149540%5Buid%5D" xr:uid="{0CD09407-0CB3-4739-A44A-6E6F0B4DA591}"/>
    <hyperlink ref="J790" r:id="rId786" display="https://pubmed.ncbi.nlm.nih.gov/?term=22429801%2C%2020823140%5Buid%5D" xr:uid="{F442C638-513D-432F-9C0C-894B1AF7420E}"/>
    <hyperlink ref="J791" r:id="rId787" display="32771963, 25491625" xr:uid="{81B00E50-EE0A-4E96-8AA6-AB985B5F5005}"/>
    <hyperlink ref="J792" r:id="rId788" display="https://pubmed.ncbi.nlm.nih.gov/?term=20682985%5Buid%5D" xr:uid="{50E0A063-0D9C-4FC7-8702-3B20B736FDA3}"/>
    <hyperlink ref="J793" r:id="rId789" display="https://pubmed.ncbi.nlm.nih.gov/?term=31364751%2C%2030225719%2C%2025499851%5Buid%5D" xr:uid="{38F975A1-2223-4D07-9ED1-C0662FF46CB0}"/>
    <hyperlink ref="J794" r:id="rId790" display="https://pubmed.ncbi.nlm.nih.gov/?term=23994634%5Buid%5D" xr:uid="{D49D79BC-6B2B-4070-ACF8-7322AD7B01DF}"/>
    <hyperlink ref="J795" r:id="rId791" display="https://pubmed.ncbi.nlm.nih.gov/?term=26951260%5Buid%5D" xr:uid="{57A8D574-6A0B-4B72-B157-20215FB97921}"/>
    <hyperlink ref="J796" r:id="rId792" display="https://pubmed.ncbi.nlm.nih.gov/?term=30777052%5Buid%5D" xr:uid="{F23E1E71-F0AD-49DE-A7B3-CB64E3CDBC01}"/>
    <hyperlink ref="J797" r:id="rId793" display="https://pubmed.ncbi.nlm.nih.gov/?term=23867475%2C%2032130794%2C%2028165651%5Buid%5D" xr:uid="{6EDF1029-2A40-4E27-8270-00FEAED41948}"/>
    <hyperlink ref="J798" r:id="rId794" display="https://pubmed.ncbi.nlm.nih.gov/?term=29071717%5Buid%5D" xr:uid="{FDC79709-219D-493F-BC62-C14952928F79}"/>
    <hyperlink ref="J799" r:id="rId795" display="https://pubmed.ncbi.nlm.nih.gov/?term=29099271%2C%2027625374%2C%2031658996%20%5Buid%5D" xr:uid="{3A1A55D6-6C65-4DEE-BE42-E8C2D71800A3}"/>
    <hyperlink ref="J800" r:id="rId796" display="https://pubmed.ncbi.nlm.nih.gov/?term=18992864%2C%2025014664%2C%2017235047%5Buid%5D" xr:uid="{508BE658-B042-4751-9D55-7C87891117FB}"/>
    <hyperlink ref="J801" r:id="rId797" display="https://pubmed.ncbi.nlm.nih.gov/?term=28348485%2C%2019717562%5Buid%5D" xr:uid="{9851F090-4880-47D9-8634-B295B12F65AC}"/>
    <hyperlink ref="J802" r:id="rId798" display="https://pubmed.ncbi.nlm.nih.gov/?term=30627777%5Buid%5D" xr:uid="{103A955B-313A-4111-AE6B-F1E0343A2FBB}"/>
    <hyperlink ref="J803" r:id="rId799" display="https://pubmed.ncbi.nlm.nih.gov/?term=21371883%2C%2025269472%2C%2028455291%2C%2026201611%2C%2028498503%5Buid%5D" xr:uid="{7D0A4607-51E3-4646-8891-9CEE6A234CD0}"/>
    <hyperlink ref="J804" r:id="rId800" display="https://pubmed.ncbi.nlm.nih.gov/?term=21737505%5Buid%5D" xr:uid="{12C79545-DF27-4851-BFF8-C45CFF791DEB}"/>
    <hyperlink ref="J805" r:id="rId801" display="https://pubmed.ncbi.nlm.nih.gov/?term=29466876%5Buid%5D" xr:uid="{850EFB45-DCD8-4CA5-B4C2-792ABC454484}"/>
    <hyperlink ref="J806" r:id="rId802" display="https://pubmed.ncbi.nlm.nih.gov/?term=25866223%2C%2032461560%2C%2011585720%2C%2023236423%2C%2033808326%5Buid%5D" xr:uid="{6C484D0B-1860-48CF-AA82-591D01601594}"/>
    <hyperlink ref="J807" r:id="rId803" display="https://pubmed.ncbi.nlm.nih.gov/?term=31898732%2C%2033808326%5Buid%5D" xr:uid="{F5E8C229-55FB-4E1B-921B-C57EAB703625}"/>
    <hyperlink ref="J808" r:id="rId804" display="https://pubmed.ncbi.nlm.nih.gov/?term=30375398%5Buid%5D" xr:uid="{70F0FB72-2861-4E60-A410-FC08116126C5}"/>
    <hyperlink ref="J809" r:id="rId805" display="https://pubmed.ncbi.nlm.nih.gov/?term=25884497%5Buid%5D" xr:uid="{F7C568D3-6558-44B2-9C0A-80AB76F3ABD8}"/>
    <hyperlink ref="J810" r:id="rId806" display="https://pubmed.ncbi.nlm.nih.gov/?term=23578204%5Buid%5D" xr:uid="{4DED134C-4C42-409E-BF31-E92355BD8BE9}"/>
    <hyperlink ref="J811" r:id="rId807" display="https://pubmed.ncbi.nlm.nih.gov/?term=21571862%2C%2025826225%2C%2015726096%2C%2026141950%2C%2026695443%5Buid%5D" xr:uid="{1055FFEF-5ADE-42EB-8357-3F57FAD88E26}"/>
    <hyperlink ref="J812" r:id="rId808" display="https://pubmed.ncbi.nlm.nih.gov/?term=27340780%2C%2023665025%2C%2030056367%2C%2020127005%2C%2021549414%5Buid%5D" xr:uid="{9100BD64-FE05-4AC3-845F-F80083A1363C}"/>
    <hyperlink ref="J813" r:id="rId809" display="https://pubmed.ncbi.nlm.nih.gov/?term=20585448%5Buid%5D" xr:uid="{D68032BA-C18F-4423-99D0-CF56B0D7701F}"/>
    <hyperlink ref="J814" r:id="rId810" display="https://pubmed.ncbi.nlm.nih.gov/?term=20585448%5Buid%5D" xr:uid="{371E8FD1-549E-4BAD-BD10-37E851763617}"/>
    <hyperlink ref="J815" r:id="rId811" display="https://pubmed.ncbi.nlm.nih.gov/?term=21765211%5Buid%5D" xr:uid="{2F74A305-B7CA-45F3-B9F7-447D29F1DD33}"/>
    <hyperlink ref="J816" r:id="rId812" display="https://pubmed.ncbi.nlm.nih.gov/?term=28326487%2C%2025015419%2C%2021364678%5Buid%5D" xr:uid="{DEE2DF79-E12C-4548-85A5-93762DCBFC39}"/>
    <hyperlink ref="J817" r:id="rId813" display="https://pubmed.ncbi.nlm.nih.gov/?term=32068166%2C%2032678307%2C%2025300616%5Buid%5D" xr:uid="{076036C4-A8E4-451A-A636-49120D94E428}"/>
    <hyperlink ref="J818" r:id="rId814" display="https://pubmed.ncbi.nlm.nih.gov/?term=22576699%5Buid%5D" xr:uid="{D17950BA-04AE-41BA-B05E-E078D1BC0F20}"/>
    <hyperlink ref="J819" r:id="rId815" display="https://pubmed.ncbi.nlm.nih.gov/?term=27446402%2C%2021489989%5Buid%5D" xr:uid="{CD746524-1A6D-4B37-A6C3-BD14FD90D5D9}"/>
    <hyperlink ref="J820" r:id="rId816" display="https://pubmed.ncbi.nlm.nih.gov/?term=18381433%5Buid%5D" xr:uid="{B5C114C0-E18C-432A-91BC-D964E8724729}"/>
    <hyperlink ref="J821" r:id="rId817" display="https://pubmed.ncbi.nlm.nih.gov/?term=29305171%5Buid%5D" xr:uid="{3EDDCAB1-4470-4F96-9030-77A8A2F90B31}"/>
    <hyperlink ref="J822" r:id="rId818" display="https://pubmed.ncbi.nlm.nih.gov/?term=23934659%5Buid%5D" xr:uid="{EF5898C8-3074-4E8F-ABFB-D1017F07D958}"/>
    <hyperlink ref="J823" r:id="rId819" display="https://pubmed.ncbi.nlm.nih.gov/?term=27651027%2C%2026476534%5Buid%5D" xr:uid="{26A08245-6466-42FF-9F41-AA39A53C4017}"/>
    <hyperlink ref="J824" r:id="rId820" display="https://pubmed.ncbi.nlm.nih.gov/?term=29097421%2C%2027206315%5Buid%5D" xr:uid="{CA14FA12-E7EE-41AF-A736-C5E526C47FC0}"/>
    <hyperlink ref="J825" r:id="rId821" display="https://pubmed.ncbi.nlm.nih.gov/?term=18571892%5Buid%5D" xr:uid="{5D643E4B-B297-4DA4-AE98-1103A04B4E4D}"/>
    <hyperlink ref="J826" r:id="rId822" display="https://pubmed.ncbi.nlm.nih.gov/?term=29435041%5Buid%5D" xr:uid="{C3654568-5C0F-4984-96E4-A86EB4D2D77B}"/>
    <hyperlink ref="J827" r:id="rId823" display="https://pubmed.ncbi.nlm.nih.gov/?term=25369529%5Buid%5D" xr:uid="{53ECDFBD-8FF4-4D55-A38C-6E6496574C9A}"/>
    <hyperlink ref="J828" r:id="rId824" display="https://pubmed.ncbi.nlm.nih.gov/?term=25369529%5Buid%5D" xr:uid="{7DAC1686-7C09-4B19-9F9E-F2474390EA9C}"/>
    <hyperlink ref="J829" r:id="rId825" display="https://pubmed.ncbi.nlm.nih.gov/?term=25369529%5Buid%5D" xr:uid="{8D8FEDC7-1A9D-466E-82A3-715115FC5C06}"/>
    <hyperlink ref="J830" r:id="rId826" display="https://pubmed.ncbi.nlm.nih.gov/?term=25375122%2C%2028765565%2C%2026020272%5Buid%5D" xr:uid="{84A30921-98E9-4C48-9D9D-6DAE8AE3DA0E}"/>
    <hyperlink ref="J831" r:id="rId827" display="https://pubmed.ncbi.nlm.nih.gov/?term=28150354%2C%2028643947%5Buid%5D" xr:uid="{C712DE3F-AE81-4190-BDDB-75342A0F10C1}"/>
    <hyperlink ref="J832" r:id="rId828" display="https://pubmed.ncbi.nlm.nih.gov/?term=31570278%2C%2030404004%2C%2032355773%2C%2032817374%5Buid%5D" xr:uid="{AF30E5C7-342D-4E80-AA00-ABC0F4FAB26C}"/>
    <hyperlink ref="J833" r:id="rId829" display="https://pubmed.ncbi.nlm.nih.gov/?term=27779689%5Buid%5D" xr:uid="{088FB2AF-B4F6-47A5-B98F-737449445FBA}"/>
    <hyperlink ref="J834" r:id="rId830" display="https://pubmed.ncbi.nlm.nih.gov/?term=11968124%2C%2019259415%2C%209381969%2C%207637237%5Buid%5D" xr:uid="{56F7E777-ED0A-49DA-8B9B-F520A64EC5C1}"/>
    <hyperlink ref="J835" r:id="rId831" display="https://pubmed.ncbi.nlm.nih.gov/?term=29795279%2C%2030594239%2C%2010675495%2C%2030087144%2C%2027769097%2C%2028918673%5Buid%5D" xr:uid="{3268C152-DF15-4E22-99FF-54DC1CD8B3FB}"/>
    <hyperlink ref="J836" r:id="rId832" display="https://pubmed.ncbi.nlm.nih.gov/?term=25504440%2C%2027779704%5Buid%5D" xr:uid="{2A7DD00F-DFCF-4DC8-BE17-82F01AE8417E}"/>
    <hyperlink ref="J837" r:id="rId833" display="https://pubmed.ncbi.nlm.nih.gov/?term=31436806%5Buid%5D" xr:uid="{EF75D105-B53D-4DBC-9D28-2F91A0854FA2}"/>
    <hyperlink ref="J838" r:id="rId834" display="https://pubmed.ncbi.nlm.nih.gov/?term=29795279%5Buid%5D" xr:uid="{05207268-E37A-404D-9B95-093F39D8A226}"/>
    <hyperlink ref="J839" r:id="rId835" display="https://pubmed.ncbi.nlm.nih.gov/?term=26191185%5Buid%5D" xr:uid="{2FF7904A-315D-4018-B116-DCE11EDA32EB}"/>
    <hyperlink ref="J840" r:id="rId836" display="https://pubmed.ncbi.nlm.nih.gov/?term=26191185%2C%2031002371%5Buid%5D" xr:uid="{95EA355B-A59E-433E-8DED-304521631B53}"/>
    <hyperlink ref="J841" r:id="rId837" display="https://pubmed.ncbi.nlm.nih.gov/?term=18667446%2C%2019763620%20%5Buid%5D" xr:uid="{9BFF2F1E-4C7C-41FE-B278-C66D5D6F1990}"/>
    <hyperlink ref="J842" r:id="rId838" display="https://pubmed.ncbi.nlm.nih.gov/?term=29953521%5Buid%5D" xr:uid="{C2168428-AE17-4A70-B5F5-229A01DB8913}"/>
    <hyperlink ref="J843" r:id="rId839" display="https://pubmed.ncbi.nlm.nih.gov/?term=27779244%2C%2019052713%2C%2020051827%2C%2023463593%5Buid%5D" xr:uid="{EF2B6E76-494C-4849-9F95-00D7DEF8CA4C}"/>
    <hyperlink ref="J844" r:id="rId840" display="https://pubmed.ncbi.nlm.nih.gov/?term=30181600%5Buid%5D" xr:uid="{0B79519A-1209-45E3-905B-6925F1D26CE1}"/>
    <hyperlink ref="J845" r:id="rId841" display="https://pubmed.ncbi.nlm.nih.gov/?term=28384067%2C%2029587485%5Buid%5D" xr:uid="{013F519D-2092-4962-8733-859B09184393}"/>
    <hyperlink ref="J846" r:id="rId842" display="https://pubmed.ncbi.nlm.nih.gov/?term=28583847%5Buid%5D" xr:uid="{15B269D1-1735-48E3-998C-3313687F3269}"/>
    <hyperlink ref="J847" r:id="rId843" display="https://pubmed.ncbi.nlm.nih.gov/?term=22511598%2C%2023415672%5Buid%5D" xr:uid="{B0A94018-B8DC-4EF6-BA6B-0540AA59FD7B}"/>
    <hyperlink ref="J848" r:id="rId844" display="https://pubmed.ncbi.nlm.nih.gov/?term=29731768%5Buid%5D" xr:uid="{BF9844FA-9C94-4588-8268-5ECDB03BBA77}"/>
    <hyperlink ref="J849" r:id="rId845" display="https://pubmed.ncbi.nlm.nih.gov/?term=20381954%5Buid%5D" xr:uid="{17E9EE56-C200-4384-9845-BC0A483AAA79}"/>
    <hyperlink ref="J850" r:id="rId846" display="https://pubmed.ncbi.nlm.nih.gov/?term=18256356%2C%2028275299%2C%2029746926%2C%2029343281%5Buid%5D" xr:uid="{BA1039AE-26A2-41CB-8012-6A26412C2BB1}"/>
    <hyperlink ref="J851" r:id="rId847" display="https://pubmed.ncbi.nlm.nih.gov/?term=21617853%5Buid%5D" xr:uid="{2869F3ED-9F30-4527-A564-07447848F902}"/>
    <hyperlink ref="J852" r:id="rId848" display="https://pubmed.ncbi.nlm.nih.gov/?term=20589834%2C%2021969054%5Buid%5D" xr:uid="{17044CBC-27E4-4D50-927D-E7D89BFA7DD6}"/>
    <hyperlink ref="J853" r:id="rId849" display="https://pubmed.ncbi.nlm.nih.gov/?term=27374141%5Buid%5D" xr:uid="{C11CC6CE-B82B-45D1-96A8-81511B2FB8DF}"/>
    <hyperlink ref="J854" r:id="rId850" display="https://pubmed.ncbi.nlm.nih.gov/?term=26376695%2C%2027688262%5Buid%5D" xr:uid="{72CDAFF4-5E54-4FDB-B4C9-D2084272F04C}"/>
    <hyperlink ref="J855" r:id="rId851" display="https://pubmed.ncbi.nlm.nih.gov/?term=24608572%5Buid%5D" xr:uid="{859CC1BF-D1BA-4082-B818-89D5C56E0190}"/>
    <hyperlink ref="J856" r:id="rId852" display="https://pubmed.ncbi.nlm.nih.gov/?term=31364751%2C%2027206315%2C%2017253597%2C%2021307147%20%5Buid%5D" xr:uid="{DF342186-9AB6-4AA0-8F1B-BDF382AD349E}"/>
    <hyperlink ref="J857" r:id="rId853" display="https://pubmed.ncbi.nlm.nih.gov/?term=24767861%2C%2030944654%2C%2030107189%5Buid%5D" xr:uid="{1907D684-2745-4BE5-818C-D789B9EC103F}"/>
    <hyperlink ref="J858" r:id="rId854" display="https://pubmed.ncbi.nlm.nih.gov/?term=31917287%2C%2030114619%5Buid%5D" xr:uid="{50D18D58-DA75-4E6C-B041-337DB9A65D4D}"/>
    <hyperlink ref="J859" r:id="rId855" display="https://pubmed.ncbi.nlm.nih.gov/?term=19110234%2C%2021472713%2C%2023907406%2C%2026492363%5Buid%5D" xr:uid="{D3BBC6E8-53FC-4271-A9CC-139D380B2B9E}"/>
    <hyperlink ref="J860" r:id="rId856" display="https://pubmed.ncbi.nlm.nih.gov/?term=20371719%2C%2014716031%5Buid%5D" xr:uid="{82BB9FF9-89CF-422A-8180-C2DE28930850}"/>
    <hyperlink ref="J861" r:id="rId857" display="https://pubmed.ncbi.nlm.nih.gov/?term=31023317%5Buid%5D" xr:uid="{CADD79D3-325F-414F-8687-1CF066C46C6F}"/>
    <hyperlink ref="J862" r:id="rId858" display="https://pubmed.ncbi.nlm.nih.gov/?term=11371126%2C%2020157422%2C%2021877938%5Buid%5D" xr:uid="{827E45EB-47FB-4A81-8ADD-BF3571626F91}"/>
    <hyperlink ref="J863" r:id="rId859" display="https://pubmed.ncbi.nlm.nih.gov/?term=27315793%5Buid%5D" xr:uid="{256AD5B1-9328-4DB1-BF3B-6176A04069D7}"/>
    <hyperlink ref="J864" r:id="rId860" display="https://pubmed.ncbi.nlm.nih.gov/?term=16533424%2C%201646065%2C%201657425%5Buid%5D" xr:uid="{EC30EEB0-8FAD-4C45-AF14-BC475E73A1B1}"/>
    <hyperlink ref="J865" r:id="rId861" display="https://pubmed.ncbi.nlm.nih.gov/?term=24743803%2C%2028355294%5Buid%5D" xr:uid="{1690E92D-56CA-4D0A-944D-5EBB133634B0}"/>
    <hyperlink ref="J866" r:id="rId862" display="https://pubmed.ncbi.nlm.nih.gov/?term=21263267%5Buid%5D" xr:uid="{3144B02E-5DEF-403A-ACFD-52C75F14C0FC}"/>
    <hyperlink ref="J867" r:id="rId863" display="https://pubmed.ncbi.nlm.nih.gov/?term=29028101%2C%2026003539%5Buid%5D" xr:uid="{A1B0C1A6-95C6-471A-BA40-856D824F8C66}"/>
    <hyperlink ref="J868" r:id="rId864" display="https://pubmed.ncbi.nlm.nih.gov/?term=17220511%2C%2030375398%2C%2028148293%2C%2028038466%2C%2017072341%2C%207712469%5Buid%5D" xr:uid="{3721E9F9-2989-48EC-AD7C-F8BF71FBFEAA}"/>
    <hyperlink ref="J869" r:id="rId865" display="https://pubmed.ncbi.nlm.nih.gov/?term=24085845%2C%2029928364%5Buid%5D" xr:uid="{0A110E4D-CE49-4D35-AECA-92603DB2A97D}"/>
    <hyperlink ref="J870" r:id="rId866" display="https://pubmed.ncbi.nlm.nih.gov/?term=31410122%5Buid%5D" xr:uid="{42C5E2E6-E8CD-476E-B937-966E844F7561}"/>
    <hyperlink ref="J871" r:id="rId867" display="https://pubmed.ncbi.nlm.nih.gov/?term=24823795%2C%2030641908%2C%2020959455%2C%2016123597%5Buid%5D" xr:uid="{CFBBD9AE-F28E-4AB1-A47F-DE747707E8AA}"/>
    <hyperlink ref="J872" r:id="rId868" display="https://pubmed.ncbi.nlm.nih.gov/?term=30127981%2C%2026313152%2C%2021837762%2C%2015292937%5Buid%5D" xr:uid="{247605D3-3FC9-434B-919E-E03395E857A7}"/>
    <hyperlink ref="J873" r:id="rId869" display="https://pubmed.ncbi.nlm.nih.gov/?term=25564355%5Buid%5D" xr:uid="{B915C110-471B-401F-BD44-A33B0633D9C8}"/>
    <hyperlink ref="J874" r:id="rId870" display="https://pubmed.ncbi.nlm.nih.gov/?term=32238696%5Buid%5D" xr:uid="{AAD323D6-ADEA-4515-9B6D-E3FA389E8B78}"/>
    <hyperlink ref="J875" r:id="rId871" display="https://pubmed.ncbi.nlm.nih.gov/?term=27206315%2C%2025438697%5Buid%5D" xr:uid="{9E22D136-1B25-41A9-987C-B941D02A664A}"/>
    <hyperlink ref="J876" r:id="rId872" display="https://pubmed.ncbi.nlm.nih.gov/?term=28670762%2C%2029312632%5Buid%5D" xr:uid="{94C1D6A4-2798-45AB-8B37-ECDA4CAFA312}"/>
    <hyperlink ref="J877" r:id="rId873" display="https://pubmed.ncbi.nlm.nih.gov/?term=23342271%5Buid%5D" xr:uid="{EA07F9DC-5571-43CC-9A7E-B8F4DE2C66B4}"/>
    <hyperlink ref="J878" r:id="rId874" display="https://pubmed.ncbi.nlm.nih.gov/?term=31160576%5Buid%5D" xr:uid="{3D79E2F9-4B44-46CA-95CD-C24E697611DD}"/>
    <hyperlink ref="J879" r:id="rId875" display="https://pubmed.ncbi.nlm.nih.gov/?term=30111544%2C%2025078033%2C%2028157697%5Buid%5D" xr:uid="{FF0A76CB-2FD1-4319-9D64-774A4CFB1CAA}"/>
    <hyperlink ref="J880" r:id="rId876" display="https://pubmed.ncbi.nlm.nih.gov/?term=17597582%5Buid%5D" xr:uid="{46F4A396-502D-4F1D-8B40-9615E6271511}"/>
    <hyperlink ref="J881" r:id="rId877" display="https://pubmed.ncbi.nlm.nih.gov/?term=30643929%2C%2025107571%5Buid%5D" xr:uid="{0FD93547-E849-4FBA-8660-2565E92CFF9C}"/>
    <hyperlink ref="J882" r:id="rId878" display="https://pubmed.ncbi.nlm.nih.gov/?term=27876874%2C%2025867064%2C%2030066890%20%5Buid%5D" xr:uid="{7F4C7C90-01AA-4741-89F5-159DDAA87CC5}"/>
    <hyperlink ref="J883" r:id="rId879" display="https://pubmed.ncbi.nlm.nih.gov/?term=22248473%2C%2027779244%2C%2015150118%2C%2025656992%5Buid%5D" xr:uid="{704205DB-AC83-4AC7-B02D-EFF8CCB176E3}"/>
    <hyperlink ref="J884" r:id="rId880" display="https://pubmed.ncbi.nlm.nih.gov/?term=31524236%5Buid%5D" xr:uid="{35691581-6470-45C4-98B7-DF88D6F6B66B}"/>
    <hyperlink ref="J885" r:id="rId881" display="https://pubmed.ncbi.nlm.nih.gov/?term=24525731%2C%2025348020%5Buid%5D" xr:uid="{E17BFCE4-39F9-481F-ABA7-AA4B6F4725B8}"/>
    <hyperlink ref="J886" r:id="rId882" display="https://pubmed.ncbi.nlm.nih.gov/?term=10490269%5Buid%5D" xr:uid="{2CC071B0-5E19-4655-A211-034E81EEEFF2}"/>
    <hyperlink ref="J887" r:id="rId883" display="https://pubmed.ncbi.nlm.nih.gov/?term=10490269%5Buid%5D" xr:uid="{ACBD2822-2466-44C0-8EF8-E4BFD421F99B}"/>
    <hyperlink ref="J888" r:id="rId884" display="https://pubmed.ncbi.nlm.nih.gov/?term=10490269%5Buid%5D" xr:uid="{228F0D01-D825-4D90-BABC-3B68374A5A89}"/>
    <hyperlink ref="J889" r:id="rId885" display="https://pubmed.ncbi.nlm.nih.gov/?term=19083192%5Buid%5D" xr:uid="{E925A4C0-B4A2-4473-AD7C-40661B36ABDE}"/>
    <hyperlink ref="J890" r:id="rId886" display="https://pubmed.ncbi.nlm.nih.gov/?term=26119737%2C%2017938197%2C%2016916645%5Buid%5D" xr:uid="{24D1C2A6-496F-4B60-9F4E-4247A6AE3A9E}"/>
    <hyperlink ref="J891" r:id="rId887" display="https://pubmed.ncbi.nlm.nih.gov/?term=27721409%5Buid%5D" xr:uid="{6744F7D2-8026-44D3-BB47-2517E6938191}"/>
    <hyperlink ref="J892" r:id="rId888" display="https://pubmed.ncbi.nlm.nih.gov/?term=24155778%5Buid%5D" xr:uid="{E20993EA-D942-45D6-8639-3E54B76FBBF1}"/>
    <hyperlink ref="J893" r:id="rId889" display="https://pubmed.ncbi.nlm.nih.gov/?term=29928365%5Buid%5D" xr:uid="{61FEC7D4-24A0-4020-BAFC-2C7F413EB471}"/>
    <hyperlink ref="J894" r:id="rId890" display="https://pubmed.ncbi.nlm.nih.gov/?term=29409484%2C%2027191984%2C%2019693666%5Buid%5D" xr:uid="{8F7E2E87-93C6-4715-84A1-8F684A89B948}"/>
    <hyperlink ref="J895" r:id="rId891" display="https://pubmed.ncbi.nlm.nih.gov/?term=30705591%2C%2029396516%2C%2025806231%2C%2028569838%2C%2025806229%5Buid%5D" xr:uid="{EECC0900-7F8D-45B6-9FE3-685ABF0BF6A7}"/>
    <hyperlink ref="J896" r:id="rId892" display="https://pubmed.ncbi.nlm.nih.gov/?term=21357694%2C%2028110804%5Buid%5D" xr:uid="{B8D6315A-AD3F-46B4-A2DC-BDDD8E3CF1E2}"/>
    <hyperlink ref="J897" r:id="rId893" display="https://pubmed.ncbi.nlm.nih.gov/?term=24997567%2C%2021397856%2C%2019193619%20%5Buid%5D" xr:uid="{6E96EA10-0EE0-4307-B4CC-251CC8212E07}"/>
    <hyperlink ref="J898" r:id="rId894" display="https://pubmed.ncbi.nlm.nih.gov/?term=27029531%5Buid%5D" xr:uid="{1A8696E0-2A61-4B2F-BB44-92DC1176EF85}"/>
    <hyperlink ref="J899" r:id="rId895" display="https://pubmed.ncbi.nlm.nih.gov/?term=28569838%5Buid%5D" xr:uid="{13BB496C-AA51-4A37-AC38-38F53F079115}"/>
    <hyperlink ref="J900" r:id="rId896" display="https://pubmed.ncbi.nlm.nih.gov/?term=31842906%5Buid%5D" xr:uid="{B813A41E-49C1-4FD7-9D6D-2A18589D9E42}"/>
    <hyperlink ref="J901" r:id="rId897" display="https://pubmed.ncbi.nlm.nih.gov/?term=32678307%5Buid%5D" xr:uid="{2097B58E-1A89-4578-AFEC-B262ED03C323}"/>
    <hyperlink ref="J902" r:id="rId898" display="https://pubmed.ncbi.nlm.nih.gov/?term=30482232%5Buid%5D" xr:uid="{997CAD06-6341-411E-BD44-7D2999001422}"/>
    <hyperlink ref="J903" r:id="rId899" display="https://pubmed.ncbi.nlm.nih.gov/?term=21606679%5Buid%5D" xr:uid="{D3FF7426-B569-4CC4-AEA7-A278E5770136}"/>
    <hyperlink ref="J904" r:id="rId900" display="https://pubmed.ncbi.nlm.nih.gov/?term=24029657%2C%2024378876%5Buid%5D" xr:uid="{B4118159-497E-452D-96EB-7A23E3B2A2C7}"/>
    <hyperlink ref="J905" r:id="rId901" display="https://pubmed.ncbi.nlm.nih.gov/?term=18362892%2C%2020937774%2C%2019770592%2C%2022285227%2C%2022954696%20%5Buid%5D" xr:uid="{97F58224-9891-46BF-9DF6-24B263C9C04C}"/>
    <hyperlink ref="J906" r:id="rId902" display="https://pubmed.ncbi.nlm.nih.gov/?term=20663925%2C%2018004244%2C%2021970881%2C%2031235595%5Buid%5D" xr:uid="{76FC40C5-2C89-4369-9669-9D8CAE422965}"/>
    <hyperlink ref="J907" r:id="rId903" display="https://pubmed.ncbi.nlm.nih.gov/?term=20301636%2C%2019509240%2C%2018481984%2C%2031375625%5Buid%5D" xr:uid="{8A4647D4-2221-4CF8-98B8-0E54BB5E8F29}"/>
    <hyperlink ref="J908" r:id="rId904" display="https://pubmed.ncbi.nlm.nih.gov/?term=27322682%5Buid%5D" xr:uid="{4E76C065-D3D6-4F44-84D8-FF0202216A69}"/>
    <hyperlink ref="J909" r:id="rId905" display="https://pubmed.ncbi.nlm.nih.gov/?term=22118673%2C%2024531842%5Buid%5D" xr:uid="{FC6F77AE-D5DB-45D4-8FE2-E82C9D93EB72}"/>
    <hyperlink ref="J910" r:id="rId906" display="https://pubmed.ncbi.nlm.nih.gov/?term=24389815%2C%2025354091%2C%2027184254%2C%2027862665%5Buid%5D" xr:uid="{25E7FA12-EB6B-47FB-916F-D010A2A3EA3A}"/>
    <hyperlink ref="J911" r:id="rId907" display="https://pubmed.ncbi.nlm.nih.gov/?term=25789010%2C%2027869163%5Buid%5D" xr:uid="{083FC185-6BB7-4A2A-89E6-DF2E5649A578}"/>
    <hyperlink ref="J912" r:id="rId908" display="https://pubmed.ncbi.nlm.nih.gov/?term=25356737%5Buid%5D" xr:uid="{E4A24CD7-1590-4AF2-845D-14F90E401251}"/>
    <hyperlink ref="J913" r:id="rId909" display="https://pubmed.ncbi.nlm.nih.gov/?term=28749195%5Buid%5D" xr:uid="{EA5CC04D-92E3-4933-9116-B3F93AD399B8}"/>
    <hyperlink ref="J914" r:id="rId910" display="https://pubmed.ncbi.nlm.nih.gov/?term=22759793%2C%2018555708%5Buid%5D" xr:uid="{1B4993FA-6139-4F63-8520-16724154A2E5}"/>
    <hyperlink ref="J915" r:id="rId911" display="https://pubmed.ncbi.nlm.nih.gov/?term=15339968%2C%2018386815%2C%2025368386%5Buid%5D" xr:uid="{DFEC9F6D-AC99-4DD5-8B15-113B6A98541F}"/>
    <hyperlink ref="J916" r:id="rId912" display="https://pubmed.ncbi.nlm.nih.gov/?term=22403616%2C%2029565481%5Buid%5D" xr:uid="{D09E079E-1299-4CD0-89DD-9FA72DB403A3}"/>
    <hyperlink ref="J917" r:id="rId913" display="26880244, 26156020" xr:uid="{1E3D770A-E9A4-4932-A290-644388521657}"/>
    <hyperlink ref="J918" r:id="rId914" display="https://pubmed.ncbi.nlm.nih.gov/?term=25634215%2C%2012807748%2C%2020028083%2C%2030386247%2C%2022174370%2C%2030628719%2C%2028746345%5Buid%5D" xr:uid="{6C140272-E041-4EEB-97B5-577361530E40}"/>
    <hyperlink ref="J919" r:id="rId915" display="https://pubmed.ncbi.nlm.nih.gov/?term=27649553%5Buid%5D" xr:uid="{DB017D46-6BB2-4B10-B107-427BEF183B74}"/>
    <hyperlink ref="J920" r:id="rId916" display="https://pubmed.ncbi.nlm.nih.gov/?term=24525731%5Buid%5D" xr:uid="{91E1FF33-DC2C-451E-8385-A14CCF817BCE}"/>
    <hyperlink ref="J921" r:id="rId917" display="https://pubmed.ncbi.nlm.nih.gov/?term=31275435%2C%2019192406%5Buid%5D" xr:uid="{6AB8978D-0DE3-48E4-88D6-1AC4343E3952}"/>
    <hyperlink ref="J922" r:id="rId918" display="https://pubmed.ncbi.nlm.nih.gov/?term=15843498%5Buid%5D" xr:uid="{04E7B925-035F-4489-9275-6872CF3BF589}"/>
    <hyperlink ref="J923" r:id="rId919" display="https://pubmed.ncbi.nlm.nih.gov/?term=21785230%5Buid%5D" xr:uid="{8FCEE2ED-E834-4D37-BF1C-30BD0FC50CE8}"/>
    <hyperlink ref="J924" r:id="rId920" display="https://pubmed.ncbi.nlm.nih.gov/?term=11925933%2C%2024044516%2C%2028399858%2C%2023181744%2C%2011095672%5Buid%5D" xr:uid="{EDA458B5-987E-46A0-8B56-9D229FB67EB9}"/>
    <hyperlink ref="J925" r:id="rId921" display="https://pubmed.ncbi.nlm.nih.gov/?term=11925933%2C%2029397516%2C%2020924094%2C%2018546291%2C%2011095672%5Buid%5D" xr:uid="{DA6C11F5-9546-4591-A2C9-DD3A52D3CE44}"/>
    <hyperlink ref="J926" r:id="rId922" display="https://pubmed.ncbi.nlm.nih.gov/?term=26716514%5Buid%5D" xr:uid="{FB131798-F71F-4A41-A417-D659C48AE004}"/>
    <hyperlink ref="J927" r:id="rId923" display="https://pubmed.ncbi.nlm.nih.gov/?term=8797596%2C%2015703814%2C%2015750632%5Buid%5D" xr:uid="{C55E3A67-68A6-41AB-8E67-09F7D3FBABA4}"/>
    <hyperlink ref="J928" r:id="rId924" display="https://pubmed.ncbi.nlm.nih.gov/?term=31653849%5Buid%5D" xr:uid="{8142E6DC-9B34-4D6D-AE9F-C004F7C9CF4D}"/>
    <hyperlink ref="J929" r:id="rId925" display="https://pubmed.ncbi.nlm.nih.gov/?term=11577088%5Buid%5D" xr:uid="{B70B8F32-A0E2-47C2-ACCD-5B39D2756A22}"/>
    <hyperlink ref="J930" r:id="rId926" display="https://pubmed.ncbi.nlm.nih.gov/?term=11577088%5Buid%5D" xr:uid="{EF7E4536-3D83-4103-BE38-D8F9D91FA505}"/>
    <hyperlink ref="J931" r:id="rId927" display="https://pubmed.ncbi.nlm.nih.gov/?term=14701673%5Buid%5D" xr:uid="{11AF837A-7C35-4F9D-8BCC-BB043361E22D}"/>
    <hyperlink ref="J932" r:id="rId928" display="https://pubmed.ncbi.nlm.nih.gov/?term=17699796%5Buid%5D" xr:uid="{8760DB6D-818B-406A-94E6-DFD52A45E904}"/>
    <hyperlink ref="J933" r:id="rId929" display="https://pubmed.ncbi.nlm.nih.gov/?term=29970878%2C%2019208743%5Buid%5D" xr:uid="{82437507-123F-48D3-A198-FB8115A824E8}"/>
    <hyperlink ref="J934" r:id="rId930" display="https://pubmed.ncbi.nlm.nih.gov/?term=28942243%2C%2032083004%2C%2026451776%5Buid%5D" xr:uid="{145CE2D2-1B24-4B88-90A8-51B6712A3EBB}"/>
    <hyperlink ref="J935" r:id="rId931" display="https://pubmed.ncbi.nlm.nih.gov/?term=30481785,19584296" xr:uid="{6F88A834-634B-4B58-B5FC-B393A5DE37E9}"/>
    <hyperlink ref="J936" r:id="rId932" display="28485807, 31024010, 28534959, 27589832" xr:uid="{1EB65992-4503-4845-99D3-EA46E0324514}"/>
    <hyperlink ref="J937" r:id="rId933" display="https://pubmed.ncbi.nlm.nih.gov/?term=17297437%5Buid%5D" xr:uid="{2907CB73-B6FC-40D9-9F65-DB9992CB7F2D}"/>
    <hyperlink ref="J938" r:id="rId934" display="https://pubmed.ncbi.nlm.nih.gov/?term=19742314%5Buid%5D" xr:uid="{FCAA4A4F-E242-4C59-A9BC-205967FBD2A5}"/>
    <hyperlink ref="J66" r:id="rId935" display="https://pubmed.ncbi.nlm.nih.gov/16044341" xr:uid="{1885B1C1-0EE0-4471-9ED3-2EC57EDC84E7}"/>
    <hyperlink ref="J390" r:id="rId936" display="28237487, 28466152, 30066840, 22281241 " xr:uid="{0D9C4971-C692-B845-9F64-D78982A000F1}"/>
    <hyperlink ref="J495" r:id="rId937" display="https://pubmed.ncbi.nlm.nih.gov/?term=30648820%2C%2023401855.%2026215093%5Buid%5D" xr:uid="{B22F76B8-7D04-0041-A8B5-0A839E993056}"/>
    <hyperlink ref="B66" r:id="rId938" display="https://www.ncbi.nlm.nih.gov/gene/476" xr:uid="{162CE101-C08A-574B-AF92-851A90AC2D82}"/>
    <hyperlink ref="C66" r:id="rId939" display="https://www.uniprot.org/uniprot/P05023" xr:uid="{62758DEF-E990-F842-B7B0-3EF7E2053488}"/>
    <hyperlink ref="C464" r:id="rId940" display="https://www.uniprot.org/uniprot/Q07954" xr:uid="{770B3CE3-54EF-3C41-B146-ADD13FCE7B18}"/>
    <hyperlink ref="B464" r:id="rId941" display="https://www.ncbi.nlm.nih.gov/gene/4035" xr:uid="{6BA40404-4651-E94F-B737-5A398E0DC001}"/>
    <hyperlink ref="B403" r:id="rId942" display="https://www.ncbi.nlm.nih.gov/gene/3482" xr:uid="{327CD70F-8EE6-D747-8512-E5807E03E70C}"/>
    <hyperlink ref="C403" r:id="rId943" display="https://www.uniprot.org/uniprot/P11717" xr:uid="{8B2CC206-EA0F-1041-BC11-0C28A54F52D1}"/>
    <hyperlink ref="B355" r:id="rId944" display="https://www.ncbi.nlm.nih.gov/gene/2948" xr:uid="{24A6DAD0-E434-194A-A9C0-B272F4EB170C}"/>
    <hyperlink ref="C355" r:id="rId945" display="https://www.uniprot.org/uniprot/Q03013" xr:uid="{A0B27A2F-2ACE-C34A-899F-ADA2E2D5498F}"/>
    <hyperlink ref="B807" r:id="rId946" display="https://www.ncbi.nlm.nih.gov/gene/6733" xr:uid="{C87DC198-99FB-9A4B-87FB-A74D5CBF6371}"/>
    <hyperlink ref="C807" r:id="rId947" display="https://www.uniprot.org/uniprot/P78362" xr:uid="{B3FBE3D5-7EB1-4748-A898-E740D56FE6B3}"/>
    <hyperlink ref="B383" r:id="rId948" display="https://www.ncbi.nlm.nih.gov/gene/3217" xr:uid="{EF5A509D-F770-D846-927F-EB937A8321A0}"/>
    <hyperlink ref="C383" r:id="rId949" display="https://www.uniprot.org/uniprot/P09629" xr:uid="{487706AD-1D9B-FD43-8D56-8A57F409A360}"/>
    <hyperlink ref="B934" r:id="rId950" display="https://www.ncbi.nlm.nih.gov/gene/51341" xr:uid="{7B0FF159-6979-D44D-8411-0BD0A4153BAD}"/>
    <hyperlink ref="C934" r:id="rId951" display="https://www.uniprot.org/uniprot/O95365" xr:uid="{570FDECC-333E-714E-A656-EC9B8CF485AB}"/>
    <hyperlink ref="B411" r:id="rId952" display="https://www.ncbi.nlm.nih.gov/gene/11009" xr:uid="{91598B88-E939-8643-9B4C-932F66A6772A}"/>
    <hyperlink ref="C411" r:id="rId953" display="https://www.uniprot.org/uniprot/Q13007" xr:uid="{5500B1AC-3836-324F-8C3E-3D9FFC4861C0}"/>
    <hyperlink ref="B422" r:id="rId954" display="https://www.ncbi.nlm.nih.gov/gene/3694" xr:uid="{11D67E4B-18C6-194E-83B3-20A31CF2F16D}"/>
    <hyperlink ref="C422" r:id="rId955" display="https://www.uniprot.org/uniprot/P18564" xr:uid="{F396239A-8459-0841-B727-E84B5B9F4972}"/>
    <hyperlink ref="B89" r:id="rId956" display="https://www.ncbi.nlm.nih.gov/gene/597" xr:uid="{E4BF5577-C89D-814F-B17D-B010C2EA2AD2}"/>
    <hyperlink ref="C89" r:id="rId957" display="https://www.uniprot.org/uniprot/Q16548" xr:uid="{2CFB276A-018A-9142-8983-541E391345AC}"/>
    <hyperlink ref="B404" r:id="rId958" display="https://www.ncbi.nlm.nih.gov/gene/3551" xr:uid="{F00B2919-C28E-0A47-99B6-CE935F8653AC}"/>
    <hyperlink ref="C404" r:id="rId959" display="https://www.uniprot.org/uniprot/O14920" xr:uid="{110A80A6-3DD4-D14B-A68D-EBC7D7C46006}"/>
    <hyperlink ref="B722" r:id="rId960" display="https://www.ncbi.nlm.nih.gov/gene/6118" xr:uid="{40892B0F-B76B-3647-8169-E8ACA53E0203}"/>
    <hyperlink ref="C722" r:id="rId961" display="https://www.uniprot.org/uniprot/P15927" xr:uid="{4F04AA11-23C0-F940-AD17-3FE26505F69A}"/>
    <hyperlink ref="B254" r:id="rId962" display="https://www.ncbi.nlm.nih.gov/gene/1982" xr:uid="{B3F77669-DB79-B847-B941-7DE75D2D4C8D}"/>
    <hyperlink ref="C254" r:id="rId963" display="https://www.uniprot.org/uniprot/P78344" xr:uid="{636EE807-676E-8048-8792-1821D93B9B79}"/>
    <hyperlink ref="B777" r:id="rId964" display="https://www.ncbi.nlm.nih.gov/gene/8140" xr:uid="{26EC3C25-6E0E-0747-BEC5-B35425A4DA5F}"/>
    <hyperlink ref="C777" r:id="rId965" display="https://www.uniprot.org/uniprot/Q01650" xr:uid="{821AD92E-62B1-C048-A788-5E9120898041}"/>
    <hyperlink ref="B58" r:id="rId966" display="https://www.ncbi.nlm.nih.gov/gene/22926" xr:uid="{9DA43666-0E96-D64F-A273-BF401CFA7CA9}"/>
    <hyperlink ref="B938" r:id="rId967" display="https://www.ncbi.nlm.nih.gov/gene/81931" xr:uid="{2EB7CCCA-AA51-5E4D-A133-1853D859417C}"/>
    <hyperlink ref="B937" r:id="rId968" display="https://www.ncbi.nlm.nih.gov/gene/7702" xr:uid="{E639E75E-B349-AB40-A237-0E21D7F984E6}"/>
    <hyperlink ref="B936" r:id="rId969" display="https://www.ncbi.nlm.nih.gov/gene/9839" xr:uid="{B042C2BC-9EB1-D04B-8765-27CAE30A8B1E}"/>
    <hyperlink ref="B935" r:id="rId970" display="https://www.ncbi.nlm.nih.gov/gene/6935" xr:uid="{78D06C07-553B-3643-B91F-3F04296F7E40}"/>
    <hyperlink ref="B933" r:id="rId971" display="https://www.ncbi.nlm.nih.gov/gene/7528" xr:uid="{1688565E-8E6C-4647-BC6F-7FCB5C643505}"/>
    <hyperlink ref="B932" r:id="rId972" display="https://www.ncbi.nlm.nih.gov/gene/7534" xr:uid="{7E30C77A-BFE7-9E42-B854-95223E70990B}"/>
    <hyperlink ref="B931" r:id="rId973" display="https://www.ncbi.nlm.nih.gov/gene/10971" xr:uid="{63FED687-18E4-0845-AC5F-39F827141178}"/>
    <hyperlink ref="B930" r:id="rId974" display="https://www.ncbi.nlm.nih.gov/gene/7533" xr:uid="{47280A06-F65E-7E42-A557-9370BDBBADBA}"/>
    <hyperlink ref="B929" r:id="rId975" display="https://www.ncbi.nlm.nih.gov/gene/7532" xr:uid="{500AF222-4E10-CB40-BF96-DEDB2BDD3302}"/>
    <hyperlink ref="B928" r:id="rId976" display="https://www.ncbi.nlm.nih.gov/gene/54915" xr:uid="{87BA3D1D-6B42-9E45-983A-11C5B780F0B5}"/>
    <hyperlink ref="B927" r:id="rId977" display="https://www.ncbi.nlm.nih.gov/gene/4904" xr:uid="{0DDB5EC3-2244-784E-889B-B87B98E0B033}"/>
    <hyperlink ref="B926" r:id="rId978" display="https://www.ncbi.nlm.nih.gov/gene/10413" xr:uid="{DA250D6D-4F4D-2F4C-BFFB-C31A65D0DF90}"/>
    <hyperlink ref="B925" r:id="rId979" display="https://www.ncbi.nlm.nih.gov/gene/2547" xr:uid="{2BDA5C49-FFBE-194F-98BE-1DB1B1B00F63}"/>
    <hyperlink ref="B924" r:id="rId980" display="https://www.ncbi.nlm.nih.gov/gene/7520" xr:uid="{7278CA5E-1AE9-2742-934B-8964433EF7C7}"/>
    <hyperlink ref="B923" r:id="rId981" display="https://www.ncbi.nlm.nih.gov/gene/7518" xr:uid="{CB68E4DB-66C5-744B-8C06-8DF0A400A74A}"/>
    <hyperlink ref="B922" r:id="rId982" display="https://www.ncbi.nlm.nih.gov/gene/7517" xr:uid="{D96B2924-4915-E649-B73D-BBE08FEC9C35}"/>
    <hyperlink ref="B921" r:id="rId983" display="https://www.ncbi.nlm.nih.gov/gene/7516" xr:uid="{CB2610F4-DC05-E24A-BD3D-78F2F8075DE3}"/>
    <hyperlink ref="B920" r:id="rId984" display="https://www.ncbi.nlm.nih.gov/gene/7515" xr:uid="{953F1029-0F84-264C-945D-8E1B19E59B3A}"/>
    <hyperlink ref="B919" r:id="rId985" display="https://www.ncbi.nlm.nih.gov/gene/7514" xr:uid="{2CE54789-CDA3-0B46-8CF2-42A729FF506B}"/>
    <hyperlink ref="B918" r:id="rId986" display="https://www.ncbi.nlm.nih.gov/gene/7508" xr:uid="{DEABAA89-2979-4C4E-A65E-210A6536E216}"/>
    <hyperlink ref="B917" r:id="rId987" display="https://www.ncbi.nlm.nih.gov/gene/7507" xr:uid="{A76665A3-D200-ED48-B219-ED042E895BA3}"/>
    <hyperlink ref="B916" r:id="rId988" display="https://www.ncbi.nlm.nih.gov/gene/331" xr:uid="{94B87E35-5B98-1747-82CE-A6E45671ABE6}"/>
    <hyperlink ref="B915" r:id="rId989" display="https://www.ncbi.nlm.nih.gov/gene/7494" xr:uid="{19E17950-DE0E-1F44-924D-DCA6D9211FE4}"/>
    <hyperlink ref="B914" r:id="rId990" display="https://www.ncbi.nlm.nih.gov/gene/54739" xr:uid="{22E6BCD2-36D7-AD46-901A-A192C457E619}"/>
    <hyperlink ref="B913" r:id="rId991" display="https://www.ncbi.nlm.nih.gov/gene/25937" xr:uid="{57D6B3A5-F845-1F47-8C67-D754426A1701}"/>
    <hyperlink ref="B912" r:id="rId992" display="https://www.ncbi.nlm.nih.gov/gene/11060" xr:uid="{6E68BAA5-6FE6-5242-9961-6129D54BCA41}"/>
    <hyperlink ref="B911" r:id="rId993" display="https://www.ncbi.nlm.nih.gov/gene/51741" xr:uid="{C5658553-30BB-4D4B-854E-F2146C5986A8}"/>
    <hyperlink ref="B910" r:id="rId994" display="https://www.ncbi.nlm.nih.gov/gene/10406" xr:uid="{EA7AFBE1-5B79-1749-AC91-0A4F73DCB50F}"/>
    <hyperlink ref="B909" r:id="rId995" display="https://www.ncbi.nlm.nih.gov/gene/57599" xr:uid="{7D5C3246-DBAF-AA4C-901E-65C9519B4E46}"/>
    <hyperlink ref="B908" r:id="rId996" display="https://www.ncbi.nlm.nih.gov/gene/7431" xr:uid="{53FDC664-ACBB-B040-849F-334D7FFDAC2B}"/>
    <hyperlink ref="B907" r:id="rId997" display="https://www.ncbi.nlm.nih.gov/gene/7428" xr:uid="{D5AD0720-1531-3348-AFB0-910C0A210734}"/>
    <hyperlink ref="B308" r:id="rId998" display="https://www.ncbi.nlm.nih.gov/gene/2324" xr:uid="{5035C1D3-025B-ED45-9B82-7313827DE675}"/>
    <hyperlink ref="B906" r:id="rId999" display="https://www.ncbi.nlm.nih.gov/gene/7422" xr:uid="{E34BD6DD-0D38-894B-8584-4B8739D8B738}"/>
    <hyperlink ref="B905" r:id="rId1000" display="https://www.ncbi.nlm.nih.gov/gene/7416" xr:uid="{D35A1E06-55D7-354A-A46C-08D45EEC7BE8}"/>
    <hyperlink ref="B904" r:id="rId1001" display="https://www.ncbi.nlm.nih.gov/gene/7412" xr:uid="{B524CF46-67CF-D240-8E39-DAB73BB3475C}"/>
    <hyperlink ref="B903" r:id="rId1002" display="https://www.ncbi.nlm.nih.gov/gene/7405" xr:uid="{E22F8AB8-AE9E-3446-B17C-31D01A7065BF}"/>
    <hyperlink ref="B902" r:id="rId1003" display="https://www.ncbi.nlm.nih.gov/gene/57695" xr:uid="{09B566EC-5193-8143-8255-6E9E6F68641A}"/>
    <hyperlink ref="B901" r:id="rId1004" display="https://www.ncbi.nlm.nih.gov/gene/57558" xr:uid="{EFA81B07-DF1C-D64C-A959-0B32417F93C0}"/>
    <hyperlink ref="B900" r:id="rId1005" display="https://www.ncbi.nlm.nih.gov/gene/23326" xr:uid="{A8400B0E-C9BA-E046-8260-D5E77C9348F3}"/>
    <hyperlink ref="B899" r:id="rId1006" display="https://www.ncbi.nlm.nih.gov/gene/8975" xr:uid="{7BBD6958-F1EC-5040-B0F4-07C68ED0C038}"/>
    <hyperlink ref="B898" r:id="rId1007" display="https://www.ncbi.nlm.nih.gov/gene/7398" xr:uid="{F42CE4FA-9A46-9A47-9D4B-8AD6438406F0}"/>
    <hyperlink ref="B897" r:id="rId1008" display="https://www.ncbi.nlm.nih.gov/gene/8725" xr:uid="{96BE39D5-C2B6-714A-8655-2FC8FA18BBFC}"/>
    <hyperlink ref="B896" r:id="rId1009" display="https://www.ncbi.nlm.nih.gov/gene/7374" xr:uid="{07941EEC-594C-9C49-AEC1-19399FB00B43}"/>
    <hyperlink ref="B895" r:id="rId1010" display="https://www.ncbi.nlm.nih.gov/gene/51720" xr:uid="{C6F9F937-C527-D74E-9E4C-D75B107A37AB}"/>
    <hyperlink ref="B894" r:id="rId1011" display="https://www.ncbi.nlm.nih.gov/gene/7357" xr:uid="{4329C03A-A9A8-9B45-8AAD-5B829CC0A020}"/>
    <hyperlink ref="B893" r:id="rId1012" display="https://www.ncbi.nlm.nih.gov/gene/7351" xr:uid="{E6CB27C6-3F63-FC40-830E-59615703476A}"/>
    <hyperlink ref="B892" r:id="rId1013" display="https://www.ncbi.nlm.nih.gov/gene/7345" xr:uid="{2ED95049-FC00-BF4F-9D18-BDC9F01731C3}"/>
    <hyperlink ref="B891" r:id="rId1014" display="https://www.ncbi.nlm.nih.gov/gene/51366" xr:uid="{B28E431A-CDB2-2648-A952-FEC1F33A1649}"/>
    <hyperlink ref="B890" r:id="rId1015" display="https://www.ncbi.nlm.nih.gov/gene/29089" xr:uid="{EA29AB15-1330-004F-A258-87A9C75DCF6D}"/>
    <hyperlink ref="B889" r:id="rId1016" display="https://www.ncbi.nlm.nih.gov/gene/27338" xr:uid="{1F7515F8-BDC5-8040-BAB0-1F07C3DB9267}"/>
    <hyperlink ref="B885" r:id="rId1017" display="https://www.ncbi.nlm.nih.gov/gene/9352" xr:uid="{98E80A90-4DF5-C749-A066-A39B51DE1DB2}"/>
    <hyperlink ref="B888" r:id="rId1018" display="https://www.ncbi.nlm.nih.gov/gene/114112" xr:uid="{11603EA4-6714-504A-8FB9-F7BD30599F90}"/>
    <hyperlink ref="B887" r:id="rId1019" display="https://www.ncbi.nlm.nih.gov/gene/10587" xr:uid="{CE2D966D-0044-1549-9F8A-5E7BA0F18CFB}"/>
    <hyperlink ref="B886" r:id="rId1020" display="https://www.ncbi.nlm.nih.gov/gene/7296" xr:uid="{B51D23A4-024B-1340-8E00-9DD04EF10F00}"/>
    <hyperlink ref="B884" r:id="rId1021" display="https://www.ncbi.nlm.nih.gov/gene/84817" xr:uid="{A4B44366-3618-2749-99A2-CA8CD1582A26}"/>
    <hyperlink ref="B883" r:id="rId1022" display="https://www.ncbi.nlm.nih.gov/gene/7295" xr:uid="{6C352243-9BC6-6D41-BB2C-BE82D1BC06E2}"/>
    <hyperlink ref="B882" r:id="rId1023" display="https://www.ncbi.nlm.nih.gov/gene/7291" xr:uid="{8885C461-42B6-E249-AB38-505E7A03F4B9}"/>
    <hyperlink ref="B881" r:id="rId1024" display="https://www.ncbi.nlm.nih.gov/gene/10381" xr:uid="{9D8A2A3A-8849-6940-A5F8-E75E6D6EC0E9}"/>
    <hyperlink ref="B880" r:id="rId1025" display="https://www.ncbi.nlm.nih.gov/gene/7216" xr:uid="{B3B125EF-227D-1A48-8B70-798513FA4815}"/>
    <hyperlink ref="B879" r:id="rId1026" display="https://www.ncbi.nlm.nih.gov/gene/9319" xr:uid="{710AFCEE-DDC4-9644-979F-4CAA224673EB}"/>
    <hyperlink ref="B878" r:id="rId1027" display="https://www.ncbi.nlm.nih.gov/gene/201292" xr:uid="{196AE46D-14D0-1A4B-99D4-8B7C3BCC0819}"/>
    <hyperlink ref="B877" r:id="rId1028" display="https://www.ncbi.nlm.nih.gov/gene/5987" xr:uid="{8D905E70-0119-7B47-BB5B-D4FB643E7C59}"/>
    <hyperlink ref="B876" r:id="rId1029" display="https://www.ncbi.nlm.nih.gov/gene/28951" xr:uid="{52BF63F0-9C50-F34C-A87C-08DD287F8E16}"/>
    <hyperlink ref="B875" r:id="rId1030" display="https://www.ncbi.nlm.nih.gov/gene/10131" xr:uid="{137D096F-3AF0-CE42-B645-5AD9BFF426FC}"/>
    <hyperlink ref="B874" r:id="rId1031" display="https://www.ncbi.nlm.nih.gov/gene/7186" xr:uid="{59FE84E7-82DA-134D-BE67-DDE08C624C1C}"/>
    <hyperlink ref="B873" r:id="rId1032" display="https://www.ncbi.nlm.nih.gov/gene/7178" xr:uid="{586C98D0-EF8C-6C40-88A4-3CED8E8FA25B}"/>
    <hyperlink ref="B872" r:id="rId1033" display="https://www.ncbi.nlm.nih.gov/gene/7161" xr:uid="{2BECD0A7-8387-1F4D-850C-D1D00316E7F9}"/>
    <hyperlink ref="B871" r:id="rId1034" display="https://www.ncbi.nlm.nih.gov/gene/8626" xr:uid="{FBA41F45-8C0B-6141-AC03-5648A9C3F768}"/>
    <hyperlink ref="B870" r:id="rId1035" display="https://www.ncbi.nlm.nih.gov/gene/94241" xr:uid="{5F93BBB5-DFFC-C845-AD5D-16D1748DA69E}"/>
    <hyperlink ref="B869" r:id="rId1036" display="https://www.ncbi.nlm.nih.gov/gene/7158" xr:uid="{3991E9E9-8C0D-C541-BDF5-879C2E26CADA}"/>
    <hyperlink ref="B868" r:id="rId1037" display="https://www.ncbi.nlm.nih.gov/gene/7157" xr:uid="{6DC2BFC0-1AA4-9C4D-BEE0-752C246D2F71}"/>
    <hyperlink ref="B867" r:id="rId1038" display="https://www.ncbi.nlm.nih.gov/gene/11073" xr:uid="{F1E101C4-FE1B-C244-9EB5-9A256D252EFD}"/>
    <hyperlink ref="B866" r:id="rId1039" display="https://www.ncbi.nlm.nih.gov/gene/8940" xr:uid="{0971A4E8-64FE-AE49-BA94-19ACB8BDF493}"/>
    <hyperlink ref="B865" r:id="rId1040" display="https://www.ncbi.nlm.nih.gov/gene/7156" xr:uid="{28CD8365-328F-F14F-A6AD-F550D07E0111}"/>
    <hyperlink ref="B864" r:id="rId1041" display="https://www.ncbi.nlm.nih.gov/gene/7153" xr:uid="{A3869ACF-453C-2C44-9671-CEBBA588226F}"/>
    <hyperlink ref="B863" r:id="rId1042" display="https://www.ncbi.nlm.nih.gov/gene/7150" xr:uid="{9D0E3353-CB14-2649-A40B-08F15FAEA1A0}"/>
    <hyperlink ref="B861" r:id="rId1043" display="https://www.ncbi.nlm.nih.gov/gene/51330" xr:uid="{15337463-CF93-8448-805B-B83E1277A86B}"/>
    <hyperlink ref="B862" r:id="rId1044" display="https://www.ncbi.nlm.nih.gov/gene/8743" xr:uid="{D8FFB782-6F6C-AF46-AB3F-089A58E13181}"/>
    <hyperlink ref="B860" r:id="rId1045" display="https://www.ncbi.nlm.nih.gov/gene/8795" xr:uid="{AD3CD6DF-7F9C-BB41-90DD-C562176DEB36}"/>
    <hyperlink ref="B859" r:id="rId1046" display="https://www.ncbi.nlm.nih.gov/gene/8797" xr:uid="{FED1119D-6C07-0B46-8A49-F33BDFA2B1F7}"/>
    <hyperlink ref="B858" r:id="rId1047" display="https://www.ncbi.nlm.nih.gov/gene/79626" xr:uid="{D14F170D-966B-134C-A3FC-7FE541A0D4F7}"/>
    <hyperlink ref="B857" r:id="rId1048" display="https://www.ncbi.nlm.nih.gov/gene/25816" xr:uid="{BEFEC38A-B55C-EB45-AE4F-AB4EE9D5BBFB}"/>
    <hyperlink ref="B856" r:id="rId1049" display="https://www.ncbi.nlm.nih.gov/gene/7124" xr:uid="{B3C2C70F-C99B-5042-93E5-60BA7EAD4A93}"/>
    <hyperlink ref="B855" r:id="rId1050" display="https://www.ncbi.nlm.nih.gov/gene/26022" xr:uid="{F4E6C342-05E1-394C-84EF-616E3A618894}"/>
    <hyperlink ref="B854" r:id="rId1051" display="https://www.ncbi.nlm.nih.gov/gene/27346" xr:uid="{3D79FE0C-DAAA-A34C-8629-7E4C433B8C7E}"/>
    <hyperlink ref="B853" r:id="rId1052" display="https://www.ncbi.nlm.nih.gov/gene/92162" xr:uid="{203D1BBB-8C0C-9946-B16C-A0D78DC49D12}"/>
    <hyperlink ref="B852" r:id="rId1053" display="https://www.ncbi.nlm.nih.gov/gene/374882" xr:uid="{2D2C6CF0-E6DF-A441-ACF0-A8275D5C9586}"/>
    <hyperlink ref="B851" r:id="rId1054" display="https://www.ncbi.nlm.nih.gov/gene/30012" xr:uid="{E06BF65E-5A0E-D54C-9E11-78AD854CF8E2}"/>
    <hyperlink ref="B850" r:id="rId1055" display="https://www.ncbi.nlm.nih.gov/gene/7099" xr:uid="{8BF21FCD-ABEC-0B49-85C0-05CACCB6E621}"/>
    <hyperlink ref="B849" r:id="rId1056" display="https://www.ncbi.nlm.nih.gov/gene/9874" xr:uid="{A3918020-1B28-584E-A0D8-D10AF3232CEC}"/>
    <hyperlink ref="B848" r:id="rId1057" display="https://www.ncbi.nlm.nih.gov/gene/7078" xr:uid="{BFFEF6B3-B74A-A74E-8864-3E0D1BA5FC6E}"/>
    <hyperlink ref="B847" r:id="rId1058" display="https://www.ncbi.nlm.nih.gov/gene/7077" xr:uid="{208D25FE-C2B7-EB4E-BF08-DA15AA05BE32}"/>
    <hyperlink ref="B846" r:id="rId1059" display="https://www.ncbi.nlm.nih.gov/gene/8914" xr:uid="{30279B08-C349-2A4B-A7C6-20EEDFC3231D}"/>
    <hyperlink ref="B845" r:id="rId1060" display="https://www.ncbi.nlm.nih.gov/gene/57103" xr:uid="{E8568376-902C-104B-8B5F-6F008A8B96E0}"/>
    <hyperlink ref="B844" r:id="rId1061" display="https://www.ncbi.nlm.nih.gov/gene/7075" xr:uid="{C697F019-24BE-BA40-A3E0-2377C5E2E9A4}"/>
    <hyperlink ref="B843" r:id="rId1062" display="https://www.ncbi.nlm.nih.gov/gene/7057" xr:uid="{A10CEB81-82E2-5F49-984B-1003D14D8511}"/>
    <hyperlink ref="B842" r:id="rId1063" display="https://www.ncbi.nlm.nih.gov/gene/7053" xr:uid="{BF7A0AE7-C839-3A45-981B-AB95BFDC20D3}"/>
    <hyperlink ref="B841" r:id="rId1064" display="https://www.ncbi.nlm.nih.gov/gene/7052" xr:uid="{7C6A02A7-E48F-9843-BD6F-70FA4913BC72}"/>
    <hyperlink ref="B840" r:id="rId1065" display="https://www.ncbi.nlm.nih.gov/gene/7048" xr:uid="{9DFD105F-9E0F-3843-9BDD-EA495886F7D9}"/>
    <hyperlink ref="B839" r:id="rId1066" display="https://www.ncbi.nlm.nih.gov/gene/7046" xr:uid="{5CDA2AB2-0D1D-1346-AC94-8D3398207876}"/>
    <hyperlink ref="B838" r:id="rId1067" display="https://www.ncbi.nlm.nih.gov/gene/7045" xr:uid="{73E9F821-865B-3341-B20C-D89D2E5339F2}"/>
    <hyperlink ref="B837" r:id="rId1068" display="https://www.ncbi.nlm.nih.gov/gene/7043" xr:uid="{A8947D83-8430-1E42-920A-D05D40120F80}"/>
    <hyperlink ref="B836" r:id="rId1069" display="https://www.ncbi.nlm.nih.gov/gene/7042" xr:uid="{8ED09442-6F22-3241-959B-22CA86857F76}"/>
    <hyperlink ref="B835" r:id="rId1070" display="https://www.ncbi.nlm.nih.gov/gene/7040" xr:uid="{A8BFC67D-60F5-384C-9D9D-7E91DC915737}"/>
    <hyperlink ref="B834" r:id="rId1071" display="https://www.ncbi.nlm.nih.gov/gene/7037" xr:uid="{0C213126-7EDB-734A-8C55-AC144C9BEDE5}"/>
    <hyperlink ref="B833" r:id="rId1072" display="https://www.ncbi.nlm.nih.gov/gene/7019" xr:uid="{0F635327-3EE1-E74D-B3EA-280276F69F21}"/>
    <hyperlink ref="B832" r:id="rId1073" display="https://www.ncbi.nlm.nih.gov/gene/54790" xr:uid="{3A8C08ED-3DA5-994D-AA35-EF594F9F3887}"/>
    <hyperlink ref="B831" r:id="rId1074" display="https://www.ncbi.nlm.nih.gov/gene/80312" xr:uid="{282A270A-E2F2-FF4C-94DA-B92395BC57C4}"/>
    <hyperlink ref="B830" r:id="rId1075" display="https://www.ncbi.nlm.nih.gov/gene/7015" xr:uid="{47110AF2-CCF0-8F47-85E6-D74F51350B21}"/>
    <hyperlink ref="B829" r:id="rId1076" display="https://www.ncbi.nlm.nih.gov/gene/7004" xr:uid="{62140D9C-1678-4044-A150-4169D5F14259}"/>
    <hyperlink ref="B828" r:id="rId1077" display="https://www.ncbi.nlm.nih.gov/gene/7005" xr:uid="{C4522A27-DD7B-5A49-AD29-750D98A0E02D}"/>
    <hyperlink ref="B827" r:id="rId1078" display="https://www.ncbi.nlm.nih.gov/gene/7003" xr:uid="{04ABCB7B-657B-5743-BB12-B7EBD319395D}"/>
    <hyperlink ref="B826" r:id="rId1079" display="https://www.ncbi.nlm.nih.gov/gene/6909" xr:uid="{A181CDD7-B8BE-A044-9CD7-0631D19C6E81}"/>
    <hyperlink ref="B825" r:id="rId1080" display="https://www.ncbi.nlm.nih.gov/gene/6905" xr:uid="{00DF0A63-ADC4-C346-A2E5-1CC969D0D10E}"/>
    <hyperlink ref="B824" r:id="rId1081" display="https://www.ncbi.nlm.nih.gov/gene/6890" xr:uid="{3E7059F2-C9D7-5542-93BB-61E29FAF8AE6}"/>
    <hyperlink ref="B823" r:id="rId1082" display="https://www.ncbi.nlm.nih.gov/gene/257397" xr:uid="{6270279A-958D-F54E-9565-9B4860AAA0BF}"/>
    <hyperlink ref="B822" r:id="rId1083" display="https://www.ncbi.nlm.nih.gov/gene/10454" xr:uid="{2957D96F-718A-FA4F-8C0E-36581278361E}"/>
    <hyperlink ref="B821" r:id="rId1084" display="https://www.ncbi.nlm.nih.gov/gene/56241" xr:uid="{F437926E-E6D6-F142-803E-F72A0384B53E}"/>
    <hyperlink ref="B820" r:id="rId1085" display="https://www.ncbi.nlm.nih.gov/gene/6789" xr:uid="{99F38D77-3B6A-C44F-A002-4B0DA56B165C}"/>
    <hyperlink ref="B819" r:id="rId1086" display="https://www.ncbi.nlm.nih.gov/gene/9263" xr:uid="{06D2D56C-3C73-F345-8CCB-D91B0D8D492F}"/>
    <hyperlink ref="B818" r:id="rId1087" display="https://www.ncbi.nlm.nih.gov/gene/6794" xr:uid="{3D7B5D30-160F-3D45-B55F-D1E39186256C}"/>
    <hyperlink ref="B817" r:id="rId1088" display="https://www.ncbi.nlm.nih.gov/gene/340061" xr:uid="{E2C7EE53-9339-B64C-AE86-DFCA83A29324}"/>
    <hyperlink ref="B816" r:id="rId1089" display="https://www.ncbi.nlm.nih.gov/gene/6786" xr:uid="{4B7450AA-C7DF-6C42-B6DC-721DEE3B5EDC}"/>
    <hyperlink ref="B815" r:id="rId1090" display="https://www.ncbi.nlm.nih.gov/gene/6778" xr:uid="{B255B22A-BFF5-0747-8D19-F47837E03528}"/>
    <hyperlink ref="B814" r:id="rId1091" display="https://www.ncbi.nlm.nih.gov/gene/6777" xr:uid="{CB698E4C-C42F-554B-B08F-859AC3EBC0DA}"/>
    <hyperlink ref="B813" r:id="rId1092" display="https://www.ncbi.nlm.nih.gov/gene/6776" xr:uid="{A89C6644-44D3-E84B-96F5-BDA0D95C19A7}"/>
    <hyperlink ref="B812" r:id="rId1093" display="https://www.ncbi.nlm.nih.gov/gene/6774" xr:uid="{B18E5AC2-DC38-E64E-BECF-0B309D82CEDE}"/>
    <hyperlink ref="B811" r:id="rId1094" display="https://www.ncbi.nlm.nih.gov/gene/6772" xr:uid="{A293DAF0-0ABF-5644-AAF1-0CA002F7CF53}"/>
    <hyperlink ref="B810" r:id="rId1095" display="https://www.ncbi.nlm.nih.gov/gene/6480" xr:uid="{2187B554-B2EB-784B-BACC-D65483CB2142}"/>
    <hyperlink ref="B809" r:id="rId1096" display="https://www.ncbi.nlm.nih.gov/gene/6429" xr:uid="{FAFC1193-7488-B04B-8889-E470F8CDE767}"/>
    <hyperlink ref="B808" r:id="rId1097" display="https://www.ncbi.nlm.nih.gov/gene/6427" xr:uid="{BAED6221-77C2-3B46-A9ED-F25634FCA7B1}"/>
    <hyperlink ref="B806" r:id="rId1098" display="https://www.ncbi.nlm.nih.gov/gene/6732" xr:uid="{889E7299-9660-1E47-A2EB-45E13A609ADE}"/>
    <hyperlink ref="B805" r:id="rId1099" display="https://www.ncbi.nlm.nih.gov/gene/6721" xr:uid="{8F7CCE6C-85AD-DB46-8755-CE6028F532A3}"/>
    <hyperlink ref="B804" r:id="rId1100" display="https://www.ncbi.nlm.nih.gov/gene/6714" xr:uid="{8CDEBFE5-8DC3-554C-A298-C92A081B7D5D}"/>
    <hyperlink ref="B803" r:id="rId1101" display="https://www.ncbi.nlm.nih.gov/gene/8878" xr:uid="{90C4D73A-4A1A-9343-8A77-7E5162C587CA}"/>
    <hyperlink ref="B802" r:id="rId1102" display="https://www.ncbi.nlm.nih.gov/gene/6696" xr:uid="{C31EC629-2E62-5E4E-A5EC-72DC9AD5D612}"/>
    <hyperlink ref="B801" r:id="rId1103" display="https://www.ncbi.nlm.nih.gov/gene/84651" xr:uid="{600122A2-328E-C541-985C-9C7DD36DE457}"/>
    <hyperlink ref="B800" r:id="rId1104" display="https://www.ncbi.nlm.nih.gov/gene/6678" xr:uid="{C4FE357A-E2C7-FC48-948B-10A8BFFF9EBC}"/>
    <hyperlink ref="B795" r:id="rId1105" display="https://www.ncbi.nlm.nih.gov/gene/6663" xr:uid="{5FF7418D-D090-3148-A02C-EC2497E2D53F}"/>
    <hyperlink ref="B799" r:id="rId1106" display="https://www.ncbi.nlm.nih.gov/gene/6662" xr:uid="{2D52BB7D-3EAF-A44A-BBE4-1EA0EE9D54DE}"/>
    <hyperlink ref="B798" r:id="rId1107" display="https://www.ncbi.nlm.nih.gov/gene/30812" xr:uid="{3092C954-6573-6E40-8DF2-FE400EE7D175}"/>
    <hyperlink ref="B797" r:id="rId1108" display="https://www.ncbi.nlm.nih.gov/gene/6657" xr:uid="{146C29B1-DFF5-7546-86A3-7DAA175B0920}"/>
    <hyperlink ref="B796" r:id="rId1109" display="https://www.ncbi.nlm.nih.gov/gene/64321" xr:uid="{69D7C01C-EF8A-4D48-887A-CD9D0C07D111}"/>
    <hyperlink ref="B794" r:id="rId1110" display="https://www.ncbi.nlm.nih.gov/gene/6656" xr:uid="{A2C22A80-0D1B-9848-B17D-CD366C2850EF}"/>
    <hyperlink ref="B793" r:id="rId1111" display="https://www.ncbi.nlm.nih.gov/gene/6648" xr:uid="{ACBB6596-1240-6A43-BB29-383E92FE5312}"/>
    <hyperlink ref="B792" r:id="rId1112" display="https://www.ncbi.nlm.nih.gov/gene/6647" xr:uid="{6C43259B-0D88-C443-880B-2121B5C06933}"/>
    <hyperlink ref="B791" r:id="rId1113" display="https://www.ncbi.nlm.nih.gov/gene/6591" xr:uid="{5C579E11-5EC8-C54A-9F13-ECA71EE72EB8}"/>
    <hyperlink ref="B790" r:id="rId1114" display="https://www.ncbi.nlm.nih.gov/gene/6615" xr:uid="{89B2BFD5-69CD-214C-8797-2A895DA2206A}"/>
    <hyperlink ref="B789" r:id="rId1115" display="https://www.ncbi.nlm.nih.gov/gene/64750" xr:uid="{DE354F45-DD49-314E-9C67-7039B23415CA}"/>
    <hyperlink ref="B788" r:id="rId1116" display="https://www.ncbi.nlm.nih.gov/gene/6609" xr:uid="{DD7C9E84-98D5-284C-937F-E7027538F110}"/>
    <hyperlink ref="B787" r:id="rId1117" display="https://www.ncbi.nlm.nih.gov/gene/6608" xr:uid="{6A691D90-252E-2445-B275-72B1C61ECEE8}"/>
    <hyperlink ref="B786" r:id="rId1118" display="https://www.ncbi.nlm.nih.gov/gene/6605" xr:uid="{6DD6C584-4D63-E147-8127-702BD640EE43}"/>
    <hyperlink ref="B785" r:id="rId1119" display="https://www.ncbi.nlm.nih.gov/gene/6597" xr:uid="{1199B0D7-6D3B-8241-BC61-47874E7767FF}"/>
    <hyperlink ref="B784" r:id="rId1120" display="https://www.ncbi.nlm.nih.gov/gene/6595" xr:uid="{9D70AE08-E5F3-1843-A0D5-ADA8CE1A335E}"/>
    <hyperlink ref="B783" r:id="rId1121" display="https://www.ncbi.nlm.nih.gov/gene/4089" xr:uid="{2A28CEEB-ADA7-0D47-9548-1A5CA91E5116}"/>
    <hyperlink ref="B782" r:id="rId1122" display="https://www.ncbi.nlm.nih.gov/gene/84464" xr:uid="{1F48B457-A72E-A848-AD1B-59FCE7DCE65E}"/>
    <hyperlink ref="B781" r:id="rId1123" display="https://www.ncbi.nlm.nih.gov/gene/548593" xr:uid="{9A4BFDFC-3C0F-4C49-A945-B5D14E1CF245}"/>
    <hyperlink ref="B780" r:id="rId1124" display="https://www.ncbi.nlm.nih.gov/gene/91607" xr:uid="{CB50E5C5-B543-C448-ACD0-DCDA9C8E378C}"/>
    <hyperlink ref="B779" r:id="rId1125" display="https://www.ncbi.nlm.nih.gov/gene/28234" xr:uid="{112B8E97-5CB5-5B46-B5F3-9762062A06B4}"/>
    <hyperlink ref="B778" r:id="rId1126" display="https://www.ncbi.nlm.nih.gov/gene/9368" xr:uid="{048A19EF-1F4C-7044-92CF-3D98F7856518}"/>
    <hyperlink ref="B776" r:id="rId1127" display="https://www.ncbi.nlm.nih.gov/gene/23657" xr:uid="{2777563F-89FD-3142-A998-F0365CC4CE45}"/>
    <hyperlink ref="B775" r:id="rId1128" display="https://www.ncbi.nlm.nih.gov/gene/113235" xr:uid="{A1D338CE-F421-8542-9F3D-54E0DB9D6F4E}"/>
    <hyperlink ref="B774" r:id="rId1129" display="https://www.ncbi.nlm.nih.gov/gene/30061" xr:uid="{1E44D9EA-EC4D-544A-89CB-661DF3C87C33}"/>
    <hyperlink ref="B773" r:id="rId1130" display="https://www.ncbi.nlm.nih.gov/gene/6520" xr:uid="{764273DD-F855-5C42-BB87-F3E452D895A2}"/>
    <hyperlink ref="B772" r:id="rId1131" display="https://www.ncbi.nlm.nih.gov/gene/55630" xr:uid="{A1287C87-5577-E448-AB09-3B99AC1B0D98}"/>
    <hyperlink ref="B771" r:id="rId1132" display="https://www.ncbi.nlm.nih.gov/gene/1318" xr:uid="{FF650F68-F460-2D46-9CC2-BE94F867372E}"/>
    <hyperlink ref="B770" r:id="rId1133" display="https://www.ncbi.nlm.nih.gov/gene/1317" xr:uid="{2EF4958C-96A5-4D4A-90F3-0E8836713893}"/>
    <hyperlink ref="B769" r:id="rId1134" display="https://www.ncbi.nlm.nih.gov/gene/144195" xr:uid="{23A1A9CF-E8D9-524D-996D-54B09DFBD1CC}"/>
    <hyperlink ref="B767" r:id="rId1135" display="https://www.ncbi.nlm.nih.gov/gene/11001" xr:uid="{2A5D0FC8-AA8A-5E43-AAE7-0C886E645CA4}"/>
    <hyperlink ref="B766" r:id="rId1136" display="https://www.ncbi.nlm.nih.gov/gene/6576" xr:uid="{8749FB10-6E21-DB49-B085-6551D63A3A0A}"/>
    <hyperlink ref="B765" r:id="rId1137" display="https://www.ncbi.nlm.nih.gov/gene/6581" xr:uid="{131A1035-0D65-FC40-A629-34BFB0AB7B4A}"/>
    <hyperlink ref="B764" r:id="rId1138" display="https://www.ncbi.nlm.nih.gov/gene/6582" xr:uid="{F85BA3AE-FBC5-9248-AEE1-A17214459AA8}"/>
    <hyperlink ref="B763" r:id="rId1139" display="https://www.ncbi.nlm.nih.gov/gene/6580" xr:uid="{A8243E32-EFA4-7848-899C-C091CF291B25}"/>
    <hyperlink ref="B768" r:id="rId1140" display="https://www.ncbi.nlm.nih.gov/gene/6513" xr:uid="{987FF54D-611C-F046-A355-B4B5EFDF5B00}"/>
    <hyperlink ref="B762" r:id="rId1141" display="https://www.ncbi.nlm.nih.gov/gene/6510" xr:uid="{41A116EA-1ACE-A74B-8CF3-8A3CD7F2A37A}"/>
    <hyperlink ref="B761" r:id="rId1142" display="https://www.ncbi.nlm.nih.gov/gene/6573" xr:uid="{61DC7EE7-7775-CA4D-8B65-C06A32338EBD}"/>
    <hyperlink ref="B755" r:id="rId1143" display="https://www.ncbi.nlm.nih.gov/gene/6464" xr:uid="{65C8E48E-C764-3F4A-A475-A5E1C8973B20}"/>
    <hyperlink ref="B760" r:id="rId1144" display="https://www.ncbi.nlm.nih.gov/gene/6495" xr:uid="{B18797B7-C11E-AF43-A259-F25CB4BEE37F}"/>
    <hyperlink ref="B759" r:id="rId1145" display="https://www.ncbi.nlm.nih.gov/gene/23410" xr:uid="{7A055B99-4F25-B24D-A2CB-8302D1553ED7}"/>
    <hyperlink ref="B758" r:id="rId1146" display="https://www.ncbi.nlm.nih.gov/gene/23411" xr:uid="{19C008B1-8C30-144F-8E16-6CEE68E6460E}"/>
    <hyperlink ref="B757" r:id="rId1147" display="https://www.ncbi.nlm.nih.gov/gene/23235" xr:uid="{B429EB85-44FD-934E-8FB2-0CEF3120D525}"/>
    <hyperlink ref="B756" r:id="rId1148" display="https://www.ncbi.nlm.nih.gov/gene/79801" xr:uid="{88667E92-71BB-E242-8956-D64754429F87}"/>
    <hyperlink ref="B754" r:id="rId1149" display="https://www.ncbi.nlm.nih.gov/gene/6446" xr:uid="{1F68DB3E-8F3B-144F-B7E1-ABF1DF21B817}"/>
    <hyperlink ref="B753" r:id="rId1150" display="https://www.ncbi.nlm.nih.gov/gene/6425" xr:uid="{D577BD35-30A3-B345-BAA5-591B48A81720}"/>
    <hyperlink ref="B752" r:id="rId1151" display="https://www.ncbi.nlm.nih.gov/gene/2810" xr:uid="{1F917B56-8B86-5D43-AFF5-BD8C185B8631}"/>
    <hyperlink ref="B751" r:id="rId1152" display="https://www.ncbi.nlm.nih.gov/gene/29072" xr:uid="{A73136A7-AA45-634A-A855-8019637EA148}"/>
    <hyperlink ref="B750" r:id="rId1153" display="https://www.ncbi.nlm.nih.gov/gene/27244" xr:uid="{252613C9-04F6-A34A-A536-2AC9B9BF4CA7}"/>
    <hyperlink ref="B749" r:id="rId1154" display="https://www.ncbi.nlm.nih.gov/gene/5054" xr:uid="{D95F32FE-78E0-5441-9D9A-8FB2265C4328}"/>
    <hyperlink ref="B748" r:id="rId1155" display="https://www.ncbi.nlm.nih.gov/gene/6317" xr:uid="{D11D2732-D873-4542-9FB8-6C9C4F3EB04A}"/>
    <hyperlink ref="B747" r:id="rId1156" display="https://www.ncbi.nlm.nih.gov/gene/5055" xr:uid="{4590F924-2C01-3C48-BBD7-B8DF1910E3E3}"/>
    <hyperlink ref="B746" r:id="rId1157" display="https://www.ncbi.nlm.nih.gov/gene/29843" xr:uid="{C06ADF7F-8DF6-0245-BCA2-B054B94E0A95}"/>
    <hyperlink ref="B745" r:id="rId1158" display="https://www.ncbi.nlm.nih.gov/gene/6392" xr:uid="{F4BAF007-CF76-AD49-AC60-B3C76AACDB5A}"/>
    <hyperlink ref="B744" r:id="rId1159" display="https://www.ncbi.nlm.nih.gov/gene/6391" xr:uid="{3A0E6190-3F11-0B4F-917F-BFD81910545C}"/>
    <hyperlink ref="B743" r:id="rId1160" display="https://www.ncbi.nlm.nih.gov/gene/6390" xr:uid="{EFCBC22F-996A-014E-AFE2-7FE44B821D9A}"/>
    <hyperlink ref="B742" r:id="rId1161" display="https://www.ncbi.nlm.nih.gov/gene/23513" xr:uid="{B49DFACD-5C7B-6142-8F7D-E52028D054D0}"/>
    <hyperlink ref="B741" r:id="rId1162" display="https://www.ncbi.nlm.nih.gov/gene/286205" xr:uid="{6382FE83-798C-EE4B-92EE-16A064A9AC5F}"/>
    <hyperlink ref="B740" r:id="rId1163" display="https://www.ncbi.nlm.nih.gov/gene/60485" xr:uid="{02297185-8A40-2144-8E83-CDB6CB684E59}"/>
    <hyperlink ref="B739" r:id="rId1164" display="https://www.ncbi.nlm.nih.gov/gene/6303" xr:uid="{727551EB-19B2-6F45-9F85-8E90188F2B08}"/>
    <hyperlink ref="B738" r:id="rId1165" display="https://www.ncbi.nlm.nih.gov/gene/6285" xr:uid="{7C181159-4E35-B543-864A-04769B96AF11}"/>
    <hyperlink ref="B737" r:id="rId1166" display="https://www.ncbi.nlm.nih.gov/gene/6280" xr:uid="{DBE79083-F2EE-634D-BF7F-50D30ABFB88D}"/>
    <hyperlink ref="B736" r:id="rId1167" display="https://www.ncbi.nlm.nih.gov/gene/6278" xr:uid="{98D7F406-243B-EF4D-B83E-1E49C8FDBB1D}"/>
    <hyperlink ref="B735" r:id="rId1168" display="https://www.ncbi.nlm.nih.gov/gene/6275" xr:uid="{6AB697F0-62B5-664C-A230-108188322ED3}"/>
    <hyperlink ref="B734" r:id="rId1169" display="https://www.ncbi.nlm.nih.gov/gene/864" xr:uid="{9ED26CC2-544C-B343-ACA1-9D34033CD7F2}"/>
    <hyperlink ref="B733" r:id="rId1170" display="https://www.ncbi.nlm.nih.gov/gene/6241" xr:uid="{F00A386B-99BF-4843-9299-82915236DF82}"/>
    <hyperlink ref="B732" r:id="rId1171" display="https://www.ncbi.nlm.nih.gov/gene/3921" xr:uid="{BD5CBF67-A3AC-A344-9A3C-5DD3164FAF31}"/>
    <hyperlink ref="B731" r:id="rId1172" display="https://www.ncbi.nlm.nih.gov/gene/6201" xr:uid="{BA6EBA06-487C-4A4C-89F0-B46B4DEE66B0}"/>
    <hyperlink ref="B730" r:id="rId1173" display="https://www.ncbi.nlm.nih.gov/gene/6199" xr:uid="{4FD60F44-085C-7E45-A5AA-EF37321029C7}"/>
    <hyperlink ref="B729" r:id="rId1174" display="https://www.ncbi.nlm.nih.gov/gene/6198" xr:uid="{D2A5B4F5-E669-864C-B843-2AE54978E449}"/>
    <hyperlink ref="B728" r:id="rId1175" display="https://www.ncbi.nlm.nih.gov/gene/6197" xr:uid="{89EAE0BC-0D90-7D46-9E72-E90C5537E8A6}"/>
    <hyperlink ref="B727" r:id="rId1176" display="https://www.ncbi.nlm.nih.gov/gene/6195" xr:uid="{B7DE7B60-3BEA-734B-99A2-AD3FFDC4F9D3}"/>
    <hyperlink ref="B726" r:id="rId1177" display="https://www.ncbi.nlm.nih.gov/gene/6191" xr:uid="{0FD6737E-5C9F-CA48-BC54-EAE456B7DAEE}"/>
    <hyperlink ref="B725" r:id="rId1178" display="https://www.ncbi.nlm.nih.gov/gene/6224" xr:uid="{D0EED0F9-8D2D-6441-96B3-FC1FDD69D9EE}"/>
    <hyperlink ref="B724" r:id="rId1179" display="https://www.ncbi.nlm.nih.gov/gene/6167" xr:uid="{357B593E-07D6-3F42-89F6-8AD346835254}"/>
    <hyperlink ref="B723" r:id="rId1180" display="https://www.ncbi.nlm.nih.gov/gene/25873" xr:uid="{D2DFD362-1B45-AF4D-9E99-73EC4B6C2DBF}"/>
    <hyperlink ref="B721" r:id="rId1181" display="https://www.ncbi.nlm.nih.gov/gene/6117" xr:uid="{B9051665-E79F-6F4B-BD9A-0D402ECCF307}"/>
    <hyperlink ref="B720" r:id="rId1182" display="https://www.ncbi.nlm.nih.gov/gene/6097" xr:uid="{6EB1D814-3EA1-F84E-8AC5-7482DD863BA7}"/>
    <hyperlink ref="B719" r:id="rId1183" display="https://www.ncbi.nlm.nih.gov/gene/4920" xr:uid="{B8951259-21E7-FB45-98E7-7F06A6921A85}"/>
    <hyperlink ref="B718" r:id="rId1184" display="https://www.ncbi.nlm.nih.gov/gene/4919" xr:uid="{1A28BA41-A9C8-FA4E-9AE9-E1649ECC20ED}"/>
    <hyperlink ref="B717" r:id="rId1185" display="https://www.ncbi.nlm.nih.gov/gene/6045" xr:uid="{DEC2797C-362C-DC41-951A-60EB02A9216D}"/>
    <hyperlink ref="B716" r:id="rId1186" display="https://www.ncbi.nlm.nih.gov/gene/8635" xr:uid="{B2E9F3EE-CCB7-E642-B3B5-75C95257E0D5}"/>
    <hyperlink ref="B715" r:id="rId1187" display="https://www.ncbi.nlm.nih.gov/gene/11035" xr:uid="{3073DC73-C517-F342-9678-2A77ED2024CD}"/>
    <hyperlink ref="B714" r:id="rId1188" display="https://www.ncbi.nlm.nih.gov/gene/8737" xr:uid="{A0B5E6FE-C07A-D445-9FDC-3EB35BB21CE0}"/>
    <hyperlink ref="B713" r:id="rId1189" display="https://www.ncbi.nlm.nih.gov/gene/55183" xr:uid="{383E7F9E-0C7C-A441-8D79-7BDE6DCCCEC4}"/>
    <hyperlink ref="B712" r:id="rId1190" display="https://www.ncbi.nlm.nih.gov/gene/57381" xr:uid="{5A650CE7-3E84-5B4B-A9F0-34C93C292C1D}"/>
    <hyperlink ref="B711" r:id="rId1191" display="https://www.ncbi.nlm.nih.gov/gene/387" xr:uid="{CEC598C6-1891-8B40-A323-02AA59BAD400}"/>
    <hyperlink ref="B710" r:id="rId1192" display="https://www.ncbi.nlm.nih.gov/gene/26575" xr:uid="{D2F2ABA8-0F2F-1E45-949A-923C12AC94E8}"/>
    <hyperlink ref="B709" r:id="rId1193" display="https://www.ncbi.nlm.nih.gov/gene/6001" xr:uid="{90BE93B6-1C0D-7D45-B921-7E97862A9A06}"/>
    <hyperlink ref="B708" r:id="rId1194" display="https://www.ncbi.nlm.nih.gov/gene/5982" xr:uid="{5C4F5C15-9B33-004E-9F04-F8ACD71F89B4}"/>
    <hyperlink ref="B707" r:id="rId1195" display="https://www.ncbi.nlm.nih.gov/gene/5981" xr:uid="{EDEFB052-ACAB-8C41-8A8E-92698846522E}"/>
    <hyperlink ref="B706" r:id="rId1196" display="https://www.ncbi.nlm.nih.gov/gene/5980" xr:uid="{26D8B31B-6122-0546-9739-E62C47043196}"/>
    <hyperlink ref="B705" r:id="rId1197" display="https://www.ncbi.nlm.nih.gov/gene/51455" xr:uid="{38821645-F666-6D4D-8426-809D80E3DCD1}"/>
    <hyperlink ref="B704" r:id="rId1198" display="https://www.ncbi.nlm.nih.gov/gene/5979" xr:uid="{77AAB235-ABB5-4E49-ABCA-A0E50CCB85D7}"/>
    <hyperlink ref="B703" r:id="rId1199" display="https://www.ncbi.nlm.nih.gov/gene/5971" xr:uid="{CCE774E1-B968-6A4B-ADF8-D7487E6B9CB3}"/>
    <hyperlink ref="B702" r:id="rId1200" display="https://www.ncbi.nlm.nih.gov/gene/5970" xr:uid="{53DA1351-261D-D846-851F-64F93EC4B6F4}"/>
    <hyperlink ref="B701" r:id="rId1201" display="https://www.ncbi.nlm.nih.gov/gene/9401" xr:uid="{DECAEB72-31F4-684E-B8EA-DA079D8C6FA6}"/>
    <hyperlink ref="B700" r:id="rId1202" display="https://www.ncbi.nlm.nih.gov/gene/5965" xr:uid="{3F4BAE11-2398-464A-A1A7-9CF7E73A4A53}"/>
    <hyperlink ref="B699" r:id="rId1203" display="https://www.ncbi.nlm.nih.gov/gene/27303" xr:uid="{864CF780-B0BF-914F-9875-712DA9450713}"/>
    <hyperlink ref="B698" r:id="rId1204" display="https://www.ncbi.nlm.nih.gov/gene/5935" xr:uid="{9247C223-C06F-684B-B820-F4C5747B9E7C}"/>
    <hyperlink ref="B697" r:id="rId1205" display="https://www.ncbi.nlm.nih.gov/gene/84991" xr:uid="{73D32798-FC41-824C-86D3-FF957DB64A46}"/>
    <hyperlink ref="B696" r:id="rId1206" display="https://www.ncbi.nlm.nih.gov/gene/5932" xr:uid="{04C54628-8A85-7647-BAC3-C3CC9F9881DC}"/>
    <hyperlink ref="B695" r:id="rId1207" display="https://www.ncbi.nlm.nih.gov/gene/5925" xr:uid="{F2D39011-8F23-CA41-BAEB-242B3AAEC0CE}"/>
    <hyperlink ref="B694" r:id="rId1208" display="https://www.ncbi.nlm.nih.gov/gene/11186" xr:uid="{F1B16CD3-DDF0-8846-A817-BAC8209FCD35}"/>
    <hyperlink ref="B693" r:id="rId1209" display="https://www.ncbi.nlm.nih.gov/gene/55086" xr:uid="{86E72DD1-1993-1A44-AF52-9430C0E7B8BD}"/>
    <hyperlink ref="B692" r:id="rId1210" display="https://www.ncbi.nlm.nih.gov/gene/8438" xr:uid="{2383DA1C-942F-304E-B353-AC174267FE64}"/>
    <hyperlink ref="B691" r:id="rId1211" display="https://www.ncbi.nlm.nih.gov/gene/5893" xr:uid="{5EB13CEB-1714-604E-96EA-F0C7E002FBC0}"/>
    <hyperlink ref="B690" r:id="rId1212" display="https://www.ncbi.nlm.nih.gov/gene/5892" xr:uid="{39FD7CF5-0433-FD4D-B919-B5DD7CE60CD2}"/>
    <hyperlink ref="B689" r:id="rId1213" display="https://www.ncbi.nlm.nih.gov/gene/5889" xr:uid="{6FAA237C-7A8E-1643-9216-A9801BE85C9F}"/>
    <hyperlink ref="B688" r:id="rId1214" display="https://www.ncbi.nlm.nih.gov/gene/5890" xr:uid="{DFFDF872-C96B-C842-8F3D-C662C735EA16}"/>
    <hyperlink ref="B687" r:id="rId1215" display="https://www.ncbi.nlm.nih.gov/gene/5888" xr:uid="{33FC03E2-80F1-5548-92B6-FFE5E05EE647}"/>
    <hyperlink ref="B686" r:id="rId1216" display="https://www.ncbi.nlm.nih.gov/gene/10111" xr:uid="{41BBF177-13CD-DF46-BC84-4F6A559E4A3D}"/>
    <hyperlink ref="B685" r:id="rId1217" display="https://www.ncbi.nlm.nih.gov/gene/5887" xr:uid="{3B2017D2-77BC-ED4C-91F0-E63B8D57C95F}"/>
    <hyperlink ref="B684" r:id="rId1218" display="https://www.ncbi.nlm.nih.gov/gene/5879" xr:uid="{1053B1E7-E46A-8044-B81C-F79C62D43D96}"/>
    <hyperlink ref="B683" r:id="rId1219" display="https://www.ncbi.nlm.nih.gov/gene/4218" xr:uid="{4E63A26A-57CF-614E-A9E5-0B578C803B21}"/>
    <hyperlink ref="B682" r:id="rId1220" display="https://www.ncbi.nlm.nih.gov/gene/7879" xr:uid="{BF246851-2634-124F-A548-68A2A43E0776}"/>
    <hyperlink ref="B681" r:id="rId1221" display="https://www.ncbi.nlm.nih.gov/gene/5878" xr:uid="{850408AC-2BEC-B542-86E3-D4DB924987CA}"/>
    <hyperlink ref="B680" r:id="rId1222" display="https://www.ncbi.nlm.nih.gov/gene/57111" xr:uid="{CF85E281-B305-3244-BFA3-E8407C965963}"/>
    <hyperlink ref="B679" r:id="rId1223" display="https://www.ncbi.nlm.nih.gov/gene/22931" xr:uid="{80A6820C-7918-444F-BE22-2F99AC9E6E99}"/>
    <hyperlink ref="B678" r:id="rId1224" display="https://www.ncbi.nlm.nih.gov/gene/5829" xr:uid="{61553311-9291-B545-B3CF-DD47B5A8298F}"/>
    <hyperlink ref="B677" r:id="rId1225" display="https://www.ncbi.nlm.nih.gov/gene/5774" xr:uid="{861AAEB2-36B2-3340-A0D2-A761548B89D3}"/>
    <hyperlink ref="B676" r:id="rId1226" display="https://www.ncbi.nlm.nih.gov/gene/5747" xr:uid="{FADA1729-FD77-F041-9B0B-44D854C84DD5}"/>
    <hyperlink ref="B593" r:id="rId1227" display="https://www.ncbi.nlm.nih.gov/gene/22976" xr:uid="{BFAD52F6-BC7F-1643-84D5-A12096EE6D3A}"/>
    <hyperlink ref="B675" r:id="rId1228" display="https://www.ncbi.nlm.nih.gov/gene/5743" xr:uid="{B0AB4E8F-7078-134E-839C-698672E0D6A1}"/>
    <hyperlink ref="B674" r:id="rId1229" display="https://www.ncbi.nlm.nih.gov/gene/5733" xr:uid="{28ED803D-3834-D549-AEE7-7353B4822B3D}"/>
    <hyperlink ref="B673" r:id="rId1230" display="https://www.ncbi.nlm.nih.gov/gene/5728" xr:uid="{945246E1-ED31-FE49-A81F-59F75D65A85C}"/>
    <hyperlink ref="B672" r:id="rId1231" display="https://www.ncbi.nlm.nih.gov/gene/5727" xr:uid="{3E9FEBA3-BE64-BC45-B2E2-009F0128559B}"/>
    <hyperlink ref="B671" r:id="rId1232" display="https://www.ncbi.nlm.nih.gov/gene/5724" xr:uid="{9D5A1196-0B54-2E49-9930-E591EFC80FE8}"/>
    <hyperlink ref="B670" r:id="rId1233" display="https://www.ncbi.nlm.nih.gov/gene/5698" xr:uid="{947C0301-3610-C042-AE79-57589C415013}"/>
    <hyperlink ref="B669" r:id="rId1234" display="https://www.ncbi.nlm.nih.gov/gene/5699" xr:uid="{E83C725A-8B77-BB4D-BA2E-FD5D8213F63B}"/>
    <hyperlink ref="B668" r:id="rId1235" display="https://www.ncbi.nlm.nih.gov/gene/5644" xr:uid="{5D0909E9-D991-594A-A7C1-0ADC6B0C8676}"/>
    <hyperlink ref="B667" r:id="rId1236" display="https://www.ncbi.nlm.nih.gov/gene/54458" xr:uid="{09E0CD66-8819-DB46-AA11-9FB6EE8BB3A5}"/>
    <hyperlink ref="B666" r:id="rId1237" display="https://www.ncbi.nlm.nih.gov/gene/8842" xr:uid="{603EF02C-B187-5D46-949B-E97D7010ECF5}"/>
    <hyperlink ref="B665" r:id="rId1238" display="https://www.ncbi.nlm.nih.gov/gene/8575" xr:uid="{0B572069-D7D6-AF44-9AE3-342D803096AB}"/>
    <hyperlink ref="B664" r:id="rId1239" display="https://www.ncbi.nlm.nih.gov/gene/5592" xr:uid="{8305B52A-DF69-CE4E-8EF7-C7CD673F23CE}"/>
    <hyperlink ref="B663" r:id="rId1240" display="https://www.ncbi.nlm.nih.gov/gene/5591" xr:uid="{973FD1EE-B536-494D-A792-29BBC71D5DF9}"/>
    <hyperlink ref="B662" r:id="rId1241" display="https://www.ncbi.nlm.nih.gov/gene/5580" xr:uid="{14BB77A6-CA0C-9F45-9982-B74CAF9D04C2}"/>
    <hyperlink ref="B661" r:id="rId1242" display="https://www.ncbi.nlm.nih.gov/gene/5579" xr:uid="{65736A6E-5145-434D-A8D9-FC845B0BF182}"/>
    <hyperlink ref="B660" r:id="rId1243" display="https://www.ncbi.nlm.nih.gov/gene/5578" xr:uid="{5D413F5D-B5CD-0345-8951-8059612497C6}"/>
    <hyperlink ref="B659" r:id="rId1244" display="https://www.ncbi.nlm.nih.gov/gene/5573" xr:uid="{372A14FD-0A9B-744A-91DE-EA4336AB66D3}"/>
    <hyperlink ref="B658" r:id="rId1245" display="https://www.ncbi.nlm.nih.gov/gene/5565" xr:uid="{FBBEDBC1-B307-A240-A2CB-CCC830414D2B}"/>
    <hyperlink ref="B657" r:id="rId1246" display="https://www.ncbi.nlm.nih.gov/gene/5564" xr:uid="{1A146F51-B713-8B4C-A437-238DAA218A9C}"/>
    <hyperlink ref="B656" r:id="rId1247" display="https://www.ncbi.nlm.nih.gov/gene/5563" xr:uid="{9C2DE54F-65E1-E942-A272-84A942BE2ECB}"/>
    <hyperlink ref="B655" r:id="rId1248" display="https://www.ncbi.nlm.nih.gov/gene/5562" xr:uid="{52D8259E-A6F0-0244-B664-8375876F261C}"/>
    <hyperlink ref="B654" r:id="rId1249" display="https://www.ncbi.nlm.nih.gov/gene/10935" xr:uid="{B6CB77CA-6F50-A844-9179-8E99929A6E8D}"/>
    <hyperlink ref="B653" r:id="rId1250" display="https://www.ncbi.nlm.nih.gov/gene/5520" xr:uid="{CA45C382-BED3-244A-88DC-E8780C03CD29}"/>
    <hyperlink ref="B652" r:id="rId1251" display="https://www.ncbi.nlm.nih.gov/gene/5515" xr:uid="{2F2122FD-9644-E84A-960F-047453D3B2D3}"/>
    <hyperlink ref="B651" r:id="rId1252" display="https://www.ncbi.nlm.nih.gov/gene/8493" xr:uid="{CB6FB3BC-1201-CE41-B054-F71A9BC67F06}"/>
    <hyperlink ref="B650" r:id="rId1253" display="https://www.ncbi.nlm.nih.gov/gene/5493" xr:uid="{F6AC5AF1-6A8D-C34C-BC94-086CE1DE6247}"/>
    <hyperlink ref="B649" r:id="rId1254" display="https://www.ncbi.nlm.nih.gov/gene/133522" xr:uid="{473D47AE-58AD-414F-9B15-63F915B4D259}"/>
    <hyperlink ref="B648" r:id="rId1255" display="https://www.ncbi.nlm.nih.gov/gene/10891" xr:uid="{59A83862-268C-D840-B078-C3A9EFA2990B}"/>
    <hyperlink ref="B647" r:id="rId1256" display="https://www.ncbi.nlm.nih.gov/gene/5460" xr:uid="{0E613B05-8D59-8F4E-BFCE-8E17C568A541}"/>
    <hyperlink ref="B646" r:id="rId1257" display="https://www.ncbi.nlm.nih.gov/gene/10631" xr:uid="{520FA724-84ED-7741-8EF7-CDB73896DA7D}"/>
    <hyperlink ref="B645" r:id="rId1258" display="https://www.ncbi.nlm.nih.gov/gene/10721" xr:uid="{6B38AB53-9B82-7841-886C-E204395B71FD}"/>
    <hyperlink ref="B644" r:id="rId1259" display="https://www.ncbi.nlm.nih.gov/gene/353497" xr:uid="{DF603DD1-28A8-2044-93FB-FA30C6081BEF}"/>
    <hyperlink ref="B643" r:id="rId1260" display="https://www.ncbi.nlm.nih.gov/gene/27434" xr:uid="{5B83C0CE-5FC5-6544-AFDD-7B6F022C177A}"/>
    <hyperlink ref="B642" r:id="rId1261" display="https://www.ncbi.nlm.nih.gov/gene/51426" xr:uid="{54C7AC60-3CB8-0F47-A070-6866E66387E6}"/>
    <hyperlink ref="B641" r:id="rId1262" display="https://www.ncbi.nlm.nih.gov/gene/5429" xr:uid="{8D877BC2-369C-7F44-9696-F4FFD377AD07}"/>
    <hyperlink ref="B640" r:id="rId1263" display="https://www.ncbi.nlm.nih.gov/gene/54107" xr:uid="{28D16125-7712-FF42-8867-3384EF19869C}"/>
    <hyperlink ref="B639" r:id="rId1264" display="https://www.ncbi.nlm.nih.gov/gene/10714" xr:uid="{1CD46F99-EF89-224D-BB2D-E5F6305862DF}"/>
    <hyperlink ref="B638" r:id="rId1265" display="https://www.ncbi.nlm.nih.gov/gene/5425" xr:uid="{6F37CE1A-2B39-144E-8688-371931121238}"/>
    <hyperlink ref="B637" r:id="rId1266" display="https://www.ncbi.nlm.nih.gov/gene/5424" xr:uid="{4F287DC6-C8FA-3840-8924-DCCDBFA9FD31}"/>
    <hyperlink ref="B636" r:id="rId1267" display="https://www.ncbi.nlm.nih.gov/gene/5423" xr:uid="{3AAF117E-BA02-C34E-9EF9-F7AB415E0B45}"/>
    <hyperlink ref="B635" r:id="rId1268" display="https://www.ncbi.nlm.nih.gov/gene/5420" xr:uid="{A1C676C1-D35E-3B40-A59D-CC3CEA96FBA5}"/>
    <hyperlink ref="B634" r:id="rId1269" display="https://www.ncbi.nlm.nih.gov/gene/11284" xr:uid="{E19CDE15-7725-9848-A8DB-C97B0C9CA6E3}"/>
    <hyperlink ref="B633" r:id="rId1270" display="https://www.ncbi.nlm.nih.gov/gene/5395" xr:uid="{F40F912A-5188-AB44-8EB3-9F92646D0F98}"/>
    <hyperlink ref="B632" r:id="rId1271" display="https://www.ncbi.nlm.nih.gov/gene/5371" xr:uid="{09430B35-3D86-BE42-B8D8-B98BEE537304}"/>
    <hyperlink ref="B631" r:id="rId1272" display="https://www.ncbi.nlm.nih.gov/gene/6490" xr:uid="{1F1E6D9E-5542-8546-89C9-A88D8880353C}"/>
    <hyperlink ref="B630" r:id="rId1273" display="https://www.ncbi.nlm.nih.gov/gene/5366" xr:uid="{07AD2CA6-7FA9-EE48-9219-D140CDB51ABB}"/>
    <hyperlink ref="B629" r:id="rId1274" display="https://www.ncbi.nlm.nih.gov/gene/10769" xr:uid="{CA4E1471-B50F-CC48-A2CE-6C7B6EA69BD6}"/>
    <hyperlink ref="B628" r:id="rId1275" display="https://www.ncbi.nlm.nih.gov/gene/5347" xr:uid="{4E6514F5-B39E-5A43-8C7B-2A543A59E29C}"/>
    <hyperlink ref="B627" r:id="rId1276" display="https://www.ncbi.nlm.nih.gov/gene/9373" xr:uid="{885B27C9-A02E-2046-B1CC-205120F8FA65}"/>
    <hyperlink ref="B626" r:id="rId1277" display="https://www.ncbi.nlm.nih.gov/gene/5315" xr:uid="{67473E2A-EC68-3347-935F-9B907C6AF730}"/>
    <hyperlink ref="B625" r:id="rId1278" display="https://www.ncbi.nlm.nih.gov/gene/55124" xr:uid="{6C61AD39-F83D-9C4F-9B07-E85DB56181EC}"/>
    <hyperlink ref="B624" r:id="rId1279" display="https://www.ncbi.nlm.nih.gov/gene/65018" xr:uid="{C19E4EDE-C06E-D840-8ED5-457259259BD4}"/>
    <hyperlink ref="B623" r:id="rId1280" display="https://www.ncbi.nlm.nih.gov/gene/11040" xr:uid="{769BDC14-F7EC-DB4F-B09C-1854D6D35F18}"/>
    <hyperlink ref="B622" r:id="rId1281" display="https://www.ncbi.nlm.nih.gov/gene/5292" xr:uid="{43091BDE-5ADB-504D-861C-92C40DC37BB7}"/>
    <hyperlink ref="B621" r:id="rId1282" display="https://www.ncbi.nlm.nih.gov/gene/5296" xr:uid="{DD6469BB-FD93-D54B-B54E-E9BABAF120E4}"/>
    <hyperlink ref="B620" r:id="rId1283" display="https://www.ncbi.nlm.nih.gov/gene/5295" xr:uid="{40AE6345-778C-0840-AE3A-C74CD1696236}"/>
    <hyperlink ref="B619" r:id="rId1284" display="https://www.ncbi.nlm.nih.gov/gene/5294" xr:uid="{737DCFCE-D647-2941-A42D-831CD6977C35}"/>
    <hyperlink ref="B618" r:id="rId1285" display="https://www.ncbi.nlm.nih.gov/gene/5291" xr:uid="{28D6D02C-B81A-4844-9671-80B28FCA78C3}"/>
    <hyperlink ref="B617" r:id="rId1286" display="https://www.ncbi.nlm.nih.gov/gene/5290" xr:uid="{8E39F69D-7A00-8E46-937F-79DFE9BEBEC0}"/>
    <hyperlink ref="B616" r:id="rId1287" display="https://www.ncbi.nlm.nih.gov/gene/26227" xr:uid="{1BE52BAD-F3DF-3749-947C-1B9A41F58E23}"/>
    <hyperlink ref="B615" r:id="rId1288" display="https://www.ncbi.nlm.nih.gov/gene/5245" xr:uid="{7C656B3F-EFEB-3D4B-B352-2A91468F180F}"/>
    <hyperlink ref="B614" r:id="rId1289" display="https://www.ncbi.nlm.nih.gov/gene/10857" xr:uid="{3E4321DA-68DC-6A4A-B800-CCF05F2A91F6}"/>
    <hyperlink ref="B613" r:id="rId1290" display="https://www.ncbi.nlm.nih.gov/gene/5230" xr:uid="{7D89CC57-B059-CE43-8D3D-63FCB574C16C}"/>
    <hyperlink ref="B612" r:id="rId1291" display="https://www.ncbi.nlm.nih.gov/gene/5226" xr:uid="{ED174710-B866-6840-A4C3-5DCA58AEB2E6}"/>
    <hyperlink ref="B611" r:id="rId1292" display="https://www.ncbi.nlm.nih.gov/gene/5209" xr:uid="{25FA73B6-7F83-C44E-8931-353ED286330D}"/>
    <hyperlink ref="B610" r:id="rId1293" display="https://www.ncbi.nlm.nih.gov/gene/8864" xr:uid="{8AD35DA8-D1B1-9842-B29B-3DE0B6314A55}"/>
    <hyperlink ref="B609" r:id="rId1294" display="https://www.ncbi.nlm.nih.gov/gene/8682" xr:uid="{EB6B27B3-5800-7C4A-A9C4-253468D5AF2F}"/>
    <hyperlink ref="B608" r:id="rId1295" display="https://www.ncbi.nlm.nih.gov/gene/5174" xr:uid="{051CB9BE-013B-614F-B1D2-A7376D05DB15}"/>
    <hyperlink ref="B607" r:id="rId1296" display="https://www.ncbi.nlm.nih.gov/gene/57026" xr:uid="{B431522E-89AA-BC49-B2C0-AFBACB8F6F44}"/>
    <hyperlink ref="B606" r:id="rId1297" display="https://www.ncbi.nlm.nih.gov/gene/8566" xr:uid="{DCE300EA-5387-4F4F-916B-285F0F23C7CD}"/>
    <hyperlink ref="B605" r:id="rId1298" display="https://www.ncbi.nlm.nih.gov/gene/5170" xr:uid="{88FD12EC-1508-9640-9964-8502CBB24DEF}"/>
    <hyperlink ref="B604" r:id="rId1299" display="https://www.ncbi.nlm.nih.gov/gene/5166" xr:uid="{8EFE5DF8-75E6-AD46-826F-1C574381A94B}"/>
    <hyperlink ref="B603" r:id="rId1300" display="https://www.ncbi.nlm.nih.gov/gene/5163" xr:uid="{227C7EDC-567A-3A4B-973E-204D9B27ED89}"/>
    <hyperlink ref="B602" r:id="rId1301" display="https://www.ncbi.nlm.nih.gov/gene/2923" xr:uid="{24A787F2-DC58-3F47-B32A-201EA259A511}"/>
    <hyperlink ref="B601" r:id="rId1302" display="https://www.ncbi.nlm.nih.gov/gene/5159" xr:uid="{A0AAE4CE-095E-704B-97CD-51B894FF78F2}"/>
    <hyperlink ref="B600" r:id="rId1303" display="https://www.ncbi.nlm.nih.gov/gene/5156" xr:uid="{7855E194-8EBE-A54E-99C4-67CB7C979D51}"/>
    <hyperlink ref="B599" r:id="rId1304" display="https://www.ncbi.nlm.nih.gov/gene/80310" xr:uid="{D8325CA5-83A9-4B43-B4C4-F936FCBFD1B4}"/>
    <hyperlink ref="B598" r:id="rId1305" display="https://www.ncbi.nlm.nih.gov/gene/27250" xr:uid="{5C6E4903-0383-D44F-A1EA-2637F7283DCE}"/>
    <hyperlink ref="B596" r:id="rId1306" display="https://www.ncbi.nlm.nih.gov/gene/9768" xr:uid="{BD523AF3-F857-4043-8FCD-0FA7CA360A5F}"/>
    <hyperlink ref="B597" r:id="rId1307" display="https://www.ncbi.nlm.nih.gov/gene/5111" xr:uid="{B7ED2211-EA5C-6749-9A2E-2211370333B9}"/>
    <hyperlink ref="B595" r:id="rId1308" display="https://www.ncbi.nlm.nih.gov/gene/57326" xr:uid="{38C3F99A-A3DC-DA41-B0DC-DCBD499FA45C}"/>
    <hyperlink ref="B594" r:id="rId1309" display="https://www.ncbi.nlm.nih.gov/gene/5087" xr:uid="{94D80E76-009B-2C41-8B7B-14EE43266B54}"/>
    <hyperlink ref="B592" r:id="rId1310" display="https://www.ncbi.nlm.nih.gov/gene/5076" xr:uid="{203B9553-A6E0-0F4F-A2FB-5C76CD8C4867}"/>
    <hyperlink ref="B591" r:id="rId1311" display="https://www.ncbi.nlm.nih.gov/gene/10038" xr:uid="{4212F14D-8C67-7948-8C05-888C8485A9A9}"/>
    <hyperlink ref="B590" r:id="rId1312" display="https://www.ncbi.nlm.nih.gov/gene/142" xr:uid="{9599ECF6-D2F4-5849-97C9-B00661931722}"/>
    <hyperlink ref="B589" r:id="rId1313" display="https://www.ncbi.nlm.nih.gov/gene/11315" xr:uid="{9C0146FA-4F32-7C4D-95E1-3BE17DE916C8}"/>
    <hyperlink ref="B588" r:id="rId1314" display="https://www.ncbi.nlm.nih.gov/gene/8505" xr:uid="{B2C7C100-3138-604E-8DFA-EEC4D1B673AA}"/>
    <hyperlink ref="B587" r:id="rId1315" display="https://www.ncbi.nlm.nih.gov/gene/152559" xr:uid="{C9FB1590-7E07-A34A-8E65-3E7E588980EE}"/>
    <hyperlink ref="B586" r:id="rId1316" display="https://www.ncbi.nlm.nih.gov/gene/9061" xr:uid="{E522B287-7C2F-A248-A566-7B3651F26EBC}"/>
    <hyperlink ref="B585" r:id="rId1317" display="https://www.ncbi.nlm.nih.gov/gene/23022" xr:uid="{4150FA98-7A87-4A44-A77B-95EB76289615}"/>
    <hyperlink ref="B584" r:id="rId1318" display="https://www.ncbi.nlm.nih.gov/gene/79728" xr:uid="{A2562ACF-7061-514C-9146-4913FCD45B24}"/>
    <hyperlink ref="B583" r:id="rId1319" display="https://www.ncbi.nlm.nih.gov/gene/57144" xr:uid="{40953B3D-62E0-BC4F-A49B-191942178B51}"/>
    <hyperlink ref="B582" r:id="rId1320" display="https://www.ncbi.nlm.nih.gov/gene/5058" xr:uid="{A622CD95-B947-2841-810B-093F98F2FE3B}"/>
    <hyperlink ref="B581" r:id="rId1321" display="https://www.ncbi.nlm.nih.gov/gene/5034" xr:uid="{BB824674-D9D5-2D45-A435-6E225D8DEF38}"/>
    <hyperlink ref="B580" r:id="rId1322" display="https://www.ncbi.nlm.nih.gov/gene/84876" xr:uid="{345E6F75-E592-E743-9D82-4F555431044A}"/>
    <hyperlink ref="B579" r:id="rId1323" display="https://www.ncbi.nlm.nih.gov/gene/23636" xr:uid="{691E5905-3004-9B4D-BDF5-B7769D601F50}"/>
    <hyperlink ref="B578" r:id="rId1324" display="https://www.ncbi.nlm.nih.gov/gene/4923" xr:uid="{2F89A2D5-A391-9B4C-9F47-1418BA658023}"/>
    <hyperlink ref="B577" r:id="rId1325" display="https://www.ncbi.nlm.nih.gov/gene/4922" xr:uid="{912DA422-1B87-5B4F-9E15-7280B98ECBDC}"/>
    <hyperlink ref="B576" r:id="rId1326" display="https://www.ncbi.nlm.nih.gov/gene/4916" xr:uid="{7A5ADEDA-35DB-FA44-A5E2-AAC099E5F743}"/>
    <hyperlink ref="B575" r:id="rId1327" display="https://www.ncbi.nlm.nih.gov/gene/4913" xr:uid="{5BA16C0B-3572-104B-B3A1-FD1D3CD0473A}"/>
    <hyperlink ref="B574" r:id="rId1328" display="https://www.ncbi.nlm.nih.gov/gene/4907" xr:uid="{CC62D425-8018-B84E-BE60-DF816A2B19D3}"/>
    <hyperlink ref="B573" r:id="rId1329" display="https://www.ncbi.nlm.nih.gov/gene/8828" xr:uid="{BC3A88EA-AC93-D048-9780-D97A10385964}"/>
    <hyperlink ref="B572" r:id="rId1330" display="https://www.ncbi.nlm.nih.gov/gene/4893" xr:uid="{A76909EF-6E45-2D4F-A079-DDC23690CC48}"/>
    <hyperlink ref="B571" r:id="rId1331" display="https://www.ncbi.nlm.nih.gov/gene/3164" xr:uid="{D9FD13DD-8A27-8D43-AEAC-74CBAD85EA4D}"/>
    <hyperlink ref="B570" r:id="rId1332" display="https://www.ncbi.nlm.nih.gov/gene/8856" xr:uid="{14D100D3-9154-1240-A7C7-E3F78E826F86}"/>
    <hyperlink ref="B569" r:id="rId1333" display="https://www.ncbi.nlm.nih.gov/gene/1728" xr:uid="{D1348AA5-B711-FA42-98FB-5857EDE83D2F}"/>
    <hyperlink ref="B568" r:id="rId1334" display="https://www.ncbi.nlm.nih.gov/gene/4869" xr:uid="{3EBD3BB1-6036-994B-B7FA-5950D910CC72}"/>
    <hyperlink ref="B567" r:id="rId1335" display="https://www.ncbi.nlm.nih.gov/gene/79400" xr:uid="{E53B59F0-5B65-7944-B33E-ED3EC4753ED2}"/>
    <hyperlink ref="B566" r:id="rId1336" display="https://www.ncbi.nlm.nih.gov/gene/4854" xr:uid="{87C43B0E-D8BC-CF45-B4D9-2989691EF9D4}"/>
    <hyperlink ref="B565" r:id="rId1337" display="https://www.ncbi.nlm.nih.gov/gene/4851" xr:uid="{B7C802FF-C4BE-7D45-9CED-E7F0154FA19B}"/>
    <hyperlink ref="B564" r:id="rId1338" display="https://www.ncbi.nlm.nih.gov/gene/4846" xr:uid="{7E340AEC-7657-5A4F-AD05-70EB95F3263C}"/>
    <hyperlink ref="B563" r:id="rId1339" display="https://www.ncbi.nlm.nih.gov/gene/4843" xr:uid="{B6462EEE-2BC1-8D41-ABEB-BB9C8AC9F802}"/>
    <hyperlink ref="B562" r:id="rId1340" display="https://www.ncbi.nlm.nih.gov/gene/4842" xr:uid="{18C57F84-0F49-D84C-8D1C-DFC6DE0E2CD7}"/>
    <hyperlink ref="B561" r:id="rId1341" display="https://www.ncbi.nlm.nih.gov/gene/26257" xr:uid="{5563B37D-8217-2445-91C2-B25203F1F5E9}"/>
    <hyperlink ref="B560" r:id="rId1342" display="https://www.ncbi.nlm.nih.gov/gene/4811" xr:uid="{D6D64BB0-9AF4-3C4D-85F0-E17827EB1CDB}"/>
    <hyperlink ref="B559" r:id="rId1343" display="https://www.ncbi.nlm.nih.gov/gene/4791" xr:uid="{A86B66AB-9E6C-5444-8C01-720754C8D24B}"/>
    <hyperlink ref="B558" r:id="rId1344" display="https://www.ncbi.nlm.nih.gov/gene/4790" xr:uid="{322FFB3B-D84F-B446-BD95-7EFA9A65B700}"/>
    <hyperlink ref="B557" r:id="rId1345" display="https://www.ncbi.nlm.nih.gov/gene/4780" xr:uid="{579593AD-5EE3-A248-8D44-6EBFDB62FEA2}"/>
    <hyperlink ref="B556" r:id="rId1346" display="https://www.ncbi.nlm.nih.gov/gene/4771" xr:uid="{E806AAA6-DE00-0148-A85C-16789CF9B260}"/>
    <hyperlink ref="B555" r:id="rId1347" display="https://www.ncbi.nlm.nih.gov/gene/4763" xr:uid="{DCF41622-3D6D-084D-BAC6-15C42EBBACE8}"/>
    <hyperlink ref="B554" r:id="rId1348" display="https://www.ncbi.nlm.nih.gov/gene/10763" xr:uid="{6DFC0364-DB54-0441-AAA6-1DDC4C2C2FA7}"/>
    <hyperlink ref="B553" r:id="rId1349" display="https://www.ncbi.nlm.nih.gov/gene/79858" xr:uid="{81910CE5-9A43-5E49-9C2A-89FC1899C26A}"/>
    <hyperlink ref="B552" r:id="rId1350" display="https://www.ncbi.nlm.nih.gov/gene/252969" xr:uid="{775D6F65-3536-D941-A198-BC257164811A}"/>
    <hyperlink ref="B551" r:id="rId1351" display="https://www.ncbi.nlm.nih.gov/gene/4738" xr:uid="{AEA10F5D-0FCB-B347-9922-B4C29DBF2E3F}"/>
    <hyperlink ref="B550" r:id="rId1352" display="https://www.ncbi.nlm.nih.gov/gene/23327" xr:uid="{87176DBC-0325-5F49-AC4A-90B4323B0204}"/>
    <hyperlink ref="B549" r:id="rId1353" display="https://www.ncbi.nlm.nih.gov/gene/4734" xr:uid="{4887A84A-A348-524F-A531-F910079D23E9}"/>
    <hyperlink ref="B548" r:id="rId1354" display="https://www.ncbi.nlm.nih.gov/gene/51079" xr:uid="{7F0A823F-6AA3-1440-B97D-70B9FEA3A5D1}"/>
    <hyperlink ref="B547" r:id="rId1355" display="https://www.ncbi.nlm.nih.gov/gene/8202" xr:uid="{239F197D-3CF1-8C4A-9FDD-08B10D976EB1}"/>
    <hyperlink ref="B546" r:id="rId1356" display="https://www.ncbi.nlm.nih.gov/gene/4683" xr:uid="{49550C07-560B-5C40-9AF8-FB318292EB39}"/>
    <hyperlink ref="B545" r:id="rId1357" display="https://www.ncbi.nlm.nih.gov/gene/89795" xr:uid="{EAE4E05E-EB87-2049-B799-22ECA59F79E8}"/>
    <hyperlink ref="B544" r:id="rId1358" display="https://www.ncbi.nlm.nih.gov/gene/9476" xr:uid="{1D195B1A-A450-594B-B36A-96E47DF4C5F7}"/>
    <hyperlink ref="B543" r:id="rId1359" display="https://www.ncbi.nlm.nih.gov/gene/4675" xr:uid="{402C5265-D4D0-4141-8F1F-A81535AC29DE}"/>
    <hyperlink ref="B542" r:id="rId1360" display="https://www.ncbi.nlm.nih.gov/gene/79923" xr:uid="{3F45E918-AF4E-5F4D-B7E9-B5B4B37D47ED}"/>
    <hyperlink ref="B541" r:id="rId1361" display="https://www.ncbi.nlm.nih.gov/gene/112939" xr:uid="{85EBCE5E-A962-5342-ABC2-55F2A49B8013}"/>
    <hyperlink ref="B540" r:id="rId1362" display="https://www.ncbi.nlm.nih.gov/gene/7593" xr:uid="{7DB7EA4D-3074-CE47-A38B-2ACB40DADC38}"/>
    <hyperlink ref="B539" r:id="rId1363" display="https://www.ncbi.nlm.nih.gov/gene/4615" xr:uid="{D5372AE7-D130-B244-9D37-8B7B40535B09}"/>
    <hyperlink ref="B538" r:id="rId1364" display="https://www.ncbi.nlm.nih.gov/gene/4609" xr:uid="{047A5A2A-F3D7-D040-B846-7ADD8F2A8B93}"/>
    <hyperlink ref="B537" r:id="rId1365" display="https://www.ncbi.nlm.nih.gov/gene/9961" xr:uid="{67963A84-3462-9A43-9E89-63F58E01060E}"/>
    <hyperlink ref="B536" r:id="rId1366" display="https://www.ncbi.nlm.nih.gov/gene/4595" xr:uid="{1B79D991-7467-6849-B11F-733DAABDFE64}"/>
    <hyperlink ref="B535" r:id="rId1367" display="https://www.ncbi.nlm.nih.gov/gene/80198" xr:uid="{AEEDD1A5-62F3-9E42-86CF-7577AC2E26C3}"/>
    <hyperlink ref="B534" r:id="rId1368" display="https://www.ncbi.nlm.nih.gov/gene/727897" xr:uid="{88C10460-9221-844E-83DF-B3F794BE5B85}"/>
    <hyperlink ref="B533" r:id="rId1369" display="https://www.ncbi.nlm.nih.gov/gene/94025" xr:uid="{BE6B3590-49A7-2940-8737-28E21DDEDE9C}"/>
    <hyperlink ref="B532" r:id="rId1370" display="https://www.ncbi.nlm.nih.gov/gene/4582" xr:uid="{5DAB420A-B1D4-D242-A3AF-3CCCE2243189}"/>
    <hyperlink ref="B531" r:id="rId1371" display="https://www.ncbi.nlm.nih.gov/gene/4552" xr:uid="{D517E144-0862-EA47-9F3C-DFB95FEA809B}"/>
    <hyperlink ref="B530" r:id="rId1372" display="https://www.ncbi.nlm.nih.gov/gene/2475" xr:uid="{E8D7B1FB-00E9-8D40-BD11-9B3B4591AD34}"/>
    <hyperlink ref="B529" r:id="rId1373" display="https://www.ncbi.nlm.nih.gov/gene/92140" xr:uid="{DA906B2E-68F4-BC4F-971A-F2E0D792E28E}"/>
    <hyperlink ref="B528" r:id="rId1374" display="https://www.ncbi.nlm.nih.gov/gene/4514" xr:uid="{5CF06F9D-2CEB-1B46-9204-823E3347BBF0}"/>
    <hyperlink ref="B527" r:id="rId1375" display="https://www.ncbi.nlm.nih.gov/gene/4504" xr:uid="{3E30B3D0-EA75-6D4E-A3D7-E90B1DA4630B}"/>
    <hyperlink ref="B526" r:id="rId1376" display="https://www.ncbi.nlm.nih.gov/gene/4502" xr:uid="{A73E14B3-5B6A-FD4C-A658-11CEC05E3918}"/>
    <hyperlink ref="B525" r:id="rId1377" display="https://www.ncbi.nlm.nih.gov/gene/4489" xr:uid="{AD747798-137C-324B-81C8-92E18EE6963E}"/>
    <hyperlink ref="B524" r:id="rId1378" display="https://www.ncbi.nlm.nih.gov/gene/4487" xr:uid="{5DE4ED96-DCF6-7A49-A281-4CA432D89927}"/>
    <hyperlink ref="B523" r:id="rId1379" display="https://www.ncbi.nlm.nih.gov/gene/10232" xr:uid="{E9A179D6-B871-4C4D-A322-11B94A633ED8}"/>
    <hyperlink ref="B522" r:id="rId1380" display="https://www.ncbi.nlm.nih.gov/gene/2956" xr:uid="{BDB4CAE9-C161-244A-836E-4EFC4D89F802}"/>
    <hyperlink ref="B521" r:id="rId1381" display="https://www.ncbi.nlm.nih.gov/gene/4439" xr:uid="{05AA3C4B-8735-AF44-9A8D-6B79311C596D}"/>
    <hyperlink ref="B520" r:id="rId1382" display="https://www.ncbi.nlm.nih.gov/gene/4437" xr:uid="{B0FA342F-9A29-DA49-A80F-1DBE6D7BF834}"/>
    <hyperlink ref="B519" r:id="rId1383" display="https://www.ncbi.nlm.nih.gov/gene/4436" xr:uid="{D93D36D4-6FB7-DD46-B0DC-E68D111E79F1}"/>
    <hyperlink ref="B518" r:id="rId1384" display="https://www.ncbi.nlm.nih.gov/gene/4361" xr:uid="{FDFE2E75-9432-AC40-826A-1C457130234F}"/>
    <hyperlink ref="B517" r:id="rId1385" display="https://www.ncbi.nlm.nih.gov/gene/64112" xr:uid="{ACECD9DC-FB1F-4948-B869-21AB5C2CD08A}"/>
    <hyperlink ref="B516" r:id="rId1386" display="https://www.ncbi.nlm.nih.gov/gene/4331" xr:uid="{CDD07301-AE69-4649-8717-49334FCB8C26}"/>
    <hyperlink ref="B515" r:id="rId1387" display="https://www.ncbi.nlm.nih.gov/gene/4318" xr:uid="{2CE81CC3-327F-C84D-B2D8-D5B826634597}"/>
    <hyperlink ref="B514" r:id="rId1388" display="https://www.ncbi.nlm.nih.gov/gene/4316" xr:uid="{E5F28D28-B5DC-6C4E-BEAC-9E1F365F7329}"/>
    <hyperlink ref="B513" r:id="rId1389" display="https://www.ncbi.nlm.nih.gov/gene/9313" xr:uid="{8FDBA16C-9F08-FE4B-B8A4-273BCFA59D1E}"/>
    <hyperlink ref="B512" r:id="rId1390" display="https://www.ncbi.nlm.nih.gov/gene/4313" xr:uid="{BAD76F11-3050-A04D-9ED2-081C65D685CF}"/>
    <hyperlink ref="B511" r:id="rId1391" display="https://www.ncbi.nlm.nih.gov/gene/4327" xr:uid="{B9EAAFE0-A6B6-EA42-8BAC-187E6BAB9BE0}"/>
    <hyperlink ref="B510" r:id="rId1392" display="https://www.ncbi.nlm.nih.gov/gene/4319" xr:uid="{B2425C27-4FBC-6241-8E41-35571279A5F2}"/>
    <hyperlink ref="B509" r:id="rId1393" display="https://www.ncbi.nlm.nih.gov/gene/4311" xr:uid="{F7C6F41A-A5F1-444C-BD4D-72B4FD62B767}"/>
    <hyperlink ref="B444" r:id="rId1394" display="https://www.ncbi.nlm.nih.gov/gene/9757" xr:uid="{B73CD2E9-106B-C74B-B34E-AB5A6D62C806}"/>
    <hyperlink ref="B445" r:id="rId1395" display="https://www.ncbi.nlm.nih.gov/gene/58508" xr:uid="{D7730A8B-6A70-C04F-9ACC-DD74D96AD241}"/>
    <hyperlink ref="B508" r:id="rId1396" display="https://www.ncbi.nlm.nih.gov/gene/4292" xr:uid="{44E62D03-AFBA-9F4D-8F61-7A0F89D89B59}"/>
    <hyperlink ref="B507" r:id="rId1397" display="https://www.ncbi.nlm.nih.gov/gene/4286" xr:uid="{17D6907E-610C-DC48-91FC-993E35FC4494}"/>
    <hyperlink ref="B506" r:id="rId1398" display="https://www.ncbi.nlm.nih.gov/gene/84299" xr:uid="{3207C460-C437-8948-8C35-9795DA98E31A}"/>
    <hyperlink ref="B505" r:id="rId1399" display="https://www.ncbi.nlm.nih.gov/gene/10367" xr:uid="{1269973C-7F6C-8D43-A86E-1AAF3E4A23CC}"/>
    <hyperlink ref="B504" r:id="rId1400" display="https://www.ncbi.nlm.nih.gov/gene/4255" xr:uid="{B1525A30-478B-BE4B-A832-E85BC38142C6}"/>
    <hyperlink ref="B503" r:id="rId1401" display="https://www.ncbi.nlm.nih.gov/gene/4249" xr:uid="{E7EBD339-0185-4D4A-8644-D4A3185C2BE0}"/>
    <hyperlink ref="B502" r:id="rId1402" display="https://www.ncbi.nlm.nih.gov/gene/4245" xr:uid="{0065B65C-1F57-4343-9F29-784655D4A385}"/>
    <hyperlink ref="B501" r:id="rId1403" display="https://www.ncbi.nlm.nih.gov/gene/131965" xr:uid="{E405BCEE-2611-0C45-9FF0-5C7832C3AEEF}"/>
    <hyperlink ref="B500" r:id="rId1404" display="https://www.ncbi.nlm.nih.gov/gene/4233" xr:uid="{0030433C-DD38-3F4F-B81B-FEC05CEBBC44}"/>
    <hyperlink ref="B499" r:id="rId1405" display="https://www.ncbi.nlm.nih.gov/gene/4221" xr:uid="{18031362-34E5-5E49-9724-B34792644260}"/>
    <hyperlink ref="B498" r:id="rId1406" display="https://www.ncbi.nlm.nih.gov/gene/9833" xr:uid="{1A3C2A1D-EC70-C642-8E31-BB45A3A8C472}"/>
    <hyperlink ref="B497" r:id="rId1407" display="https://www.ncbi.nlm.nih.gov/gene/4194" xr:uid="{11C8B82A-E726-D04F-B1FD-7F5478571CCB}"/>
    <hyperlink ref="B496" r:id="rId1408" display="https://www.ncbi.nlm.nih.gov/gene/4193" xr:uid="{C0B9D766-E947-8D4C-8151-0DB589FC764A}"/>
    <hyperlink ref="B495" r:id="rId1409" display="https://www.ncbi.nlm.nih.gov/gene/254394" xr:uid="{4988E03C-07AE-8344-ABDD-458113D8D938}"/>
    <hyperlink ref="B494" r:id="rId1410" display="https://www.ncbi.nlm.nih.gov/gene/84515" xr:uid="{0A8F2066-969D-B546-8FF9-A13AA27C4189}"/>
    <hyperlink ref="B493" r:id="rId1411" display="https://www.ncbi.nlm.nih.gov/gene/4170" xr:uid="{6AB03C80-E64B-A043-8071-94841C8ED89B}"/>
    <hyperlink ref="B492" r:id="rId1412" display="https://www.ncbi.nlm.nih.gov/gene/4154" xr:uid="{5A9221BF-B712-504D-BBE7-91220DFE6A93}"/>
    <hyperlink ref="B491" r:id="rId1413" display="https://www.ncbi.nlm.nih.gov/gene/22983" xr:uid="{ECE2134F-93FA-AC48-B033-051A5D38498E}"/>
    <hyperlink ref="B490" r:id="rId1414" display="https://www.ncbi.nlm.nih.gov/gene/5601" xr:uid="{1D72AB56-C708-5A44-B352-B0B9CA4A56D4}"/>
    <hyperlink ref="B489" r:id="rId1415" display="https://www.ncbi.nlm.nih.gov/gene/5599" xr:uid="{D1E38424-F773-B648-BF6A-86C2312ED7FD}"/>
    <hyperlink ref="B488" r:id="rId1416" display="https://www.ncbi.nlm.nih.gov/gene/5595" xr:uid="{A67F68DC-E25C-3B49-942D-365532F27C58}"/>
    <hyperlink ref="B487" r:id="rId1417" display="https://www.ncbi.nlm.nih.gov/gene/1432" xr:uid="{22F808D5-26EB-DF40-8879-0DF07AFEC0DF}"/>
    <hyperlink ref="B486" r:id="rId1418" display="https://www.ncbi.nlm.nih.gov/gene/5603" xr:uid="{3DC5E452-A2D0-3E44-96E3-2299CF1CE7D3}"/>
    <hyperlink ref="B485" r:id="rId1419" display="https://www.ncbi.nlm.nih.gov/gene/6300" xr:uid="{1CB031ED-A539-2847-B5F4-2B485E28E001}"/>
    <hyperlink ref="B484" r:id="rId1420" display="https://www.ncbi.nlm.nih.gov/gene/5600" xr:uid="{28E5C10A-775F-6049-B093-69D3AABDCD6E}"/>
    <hyperlink ref="B483" r:id="rId1421" display="https://www.ncbi.nlm.nih.gov/gene/5594" xr:uid="{3FDBB619-4CD2-9F4B-B8F4-D36A0B01D307}"/>
    <hyperlink ref="B482" r:id="rId1422" display="https://www.ncbi.nlm.nih.gov/gene/6885" xr:uid="{6B2E9C44-6CBE-B744-A764-894E596363D1}"/>
    <hyperlink ref="B481" r:id="rId1423" display="https://www.ncbi.nlm.nih.gov/gene/4217" xr:uid="{EF9A7DE1-0434-8240-B043-A2AAEAFB754F}"/>
    <hyperlink ref="B480" r:id="rId1424" display="https://www.ncbi.nlm.nih.gov/gene/4214" xr:uid="{FF161640-D4C0-0046-9B40-CBB2BDCDB8F2}"/>
    <hyperlink ref="B479" r:id="rId1425" display="https://www.ncbi.nlm.nih.gov/gene/6416" xr:uid="{1211A5F6-360B-174B-83EA-92E10850ABF7}"/>
    <hyperlink ref="B478" r:id="rId1426" display="https://www.ncbi.nlm.nih.gov/gene/5606" xr:uid="{6B546405-F359-A943-9133-844811CCED4F}"/>
    <hyperlink ref="B477" r:id="rId1427" display="https://www.ncbi.nlm.nih.gov/gene/5604" xr:uid="{2176D9A2-D9AB-6B40-9969-E9A91F728DDB}"/>
    <hyperlink ref="B476" r:id="rId1428" display="https://www.ncbi.nlm.nih.gov/gene/81631" xr:uid="{F4B16971-1E03-084D-9970-76A92F895EC2}"/>
    <hyperlink ref="B475" r:id="rId1429" display="https://www.ncbi.nlm.nih.gov/gene/84557" xr:uid="{22741773-ED56-7648-9FEF-928E3543BCBC}"/>
    <hyperlink ref="B474" r:id="rId1430" display="https://www.ncbi.nlm.nih.gov/gene/10892" xr:uid="{CA691525-7800-0A46-A038-94ABB6493A8A}"/>
    <hyperlink ref="B473" r:id="rId1431" display="https://www.ncbi.nlm.nih.gov/gene/4118" xr:uid="{C75DBB71-F5C7-AB49-9819-6CED4805BDF1}"/>
    <hyperlink ref="B472" r:id="rId1432" display="https://www.ncbi.nlm.nih.gov/gene/4097" xr:uid="{45F068FF-2783-584A-882F-3D15FECEE583}"/>
    <hyperlink ref="B471" r:id="rId1433" display="https://www.ncbi.nlm.nih.gov/gene/10459" xr:uid="{BAF8275B-1634-6A40-A3B4-AF84709CB1D7}"/>
    <hyperlink ref="B470" r:id="rId1434" display="https://www.ncbi.nlm.nih.gov/gene/346389" xr:uid="{2519DA4A-8D74-1245-82A7-DAB2CD735AC2}"/>
    <hyperlink ref="B469" r:id="rId1435" display="https://www.ncbi.nlm.nih.gov/gene/51747" xr:uid="{E5034ECB-3DAB-274A-A5CC-1D248EE3D32C}"/>
    <hyperlink ref="B468" r:id="rId1436" display="https://www.ncbi.nlm.nih.gov/gene/56413" xr:uid="{368D18ED-FB9A-D844-A3A1-7A235D1B10D7}"/>
    <hyperlink ref="B467" r:id="rId1437" display="https://www.ncbi.nlm.nih.gov/gene/9208" xr:uid="{BE10A7EE-153C-C547-80CC-4436B50C9C74}"/>
    <hyperlink ref="B466" r:id="rId1438" display="https://www.ncbi.nlm.nih.gov/gene/55144" xr:uid="{B98CD140-5E8A-9149-98A6-D03698223E89}"/>
    <hyperlink ref="B465" r:id="rId1439" display="https://www.ncbi.nlm.nih.gov/gene/56262" xr:uid="{D75BFCCB-1B2A-3B49-8C46-7D09E5FE361E}"/>
    <hyperlink ref="B463" r:id="rId1440" display="https://www.ncbi.nlm.nih.gov/gene/4012" xr:uid="{320E893D-537B-6142-8C0C-ED1553DF748E}"/>
    <hyperlink ref="B462" r:id="rId1441" display="https://www.ncbi.nlm.nih.gov/gene/8543" xr:uid="{8C91C20C-1EFA-9445-8C74-D0C7BE46AEC1}"/>
    <hyperlink ref="B461" r:id="rId1442" display="https://www.ncbi.nlm.nih.gov/gene/389421" xr:uid="{F54F5D23-016D-D947-8C4C-D8A389C48EC8}"/>
    <hyperlink ref="B460" r:id="rId1443" display="https://www.ncbi.nlm.nih.gov/gene/79727" xr:uid="{B9FAA42D-13E2-CE43-BC01-C84121F18B99}"/>
    <hyperlink ref="B459" r:id="rId1444" display="https://www.ncbi.nlm.nih.gov/gene/3981" xr:uid="{F5469207-F1C8-C54C-BF10-889FEC17F83E}"/>
    <hyperlink ref="B458" r:id="rId1445" display="https://www.ncbi.nlm.nih.gov/gene/3980" xr:uid="{37248316-1332-C842-9501-40B611454D30}"/>
    <hyperlink ref="B457" r:id="rId1446" display="https://www.ncbi.nlm.nih.gov/gene/3958" xr:uid="{E5FFF400-B414-D34A-9A15-41C0CC063DC2}"/>
    <hyperlink ref="B456" r:id="rId1447" display="https://www.ncbi.nlm.nih.gov/gene/3949" xr:uid="{0D99AE8D-A8FC-C342-BB25-E2861C81A52A}"/>
    <hyperlink ref="B455" r:id="rId1448" display="https://www.ncbi.nlm.nih.gov/gene/3932" xr:uid="{07F25EBF-0BFF-A941-A03D-7AEAB2735B5E}"/>
    <hyperlink ref="B454" r:id="rId1449" display="https://www.ncbi.nlm.nih.gov/gene/9113" xr:uid="{F7440E94-3A4E-2344-83BD-F920BAA33DAC}"/>
    <hyperlink ref="B453" r:id="rId1450" display="https://www.ncbi.nlm.nih.gov/gene/10542" xr:uid="{7CDB4111-64CF-3C43-82AB-EA19F9D8138A}"/>
    <hyperlink ref="B452" r:id="rId1451" display="https://www.ncbi.nlm.nih.gov/gene/3897" xr:uid="{07380AD1-E694-D64B-8182-6A9B297960BD}"/>
    <hyperlink ref="B451" r:id="rId1452" display="https://www.ncbi.nlm.nih.gov/gene/3856" xr:uid="{5A42398A-C8CF-5E46-AB3F-1F54D92BEB20}"/>
    <hyperlink ref="B450" r:id="rId1453" display="https://www.ncbi.nlm.nih.gov/gene/3852" xr:uid="{99CFE039-9481-1D4B-8D65-C3FC5AE0ACEF}"/>
    <hyperlink ref="B449" r:id="rId1454" display="https://www.ncbi.nlm.nih.gov/gene/3875" xr:uid="{8E06432F-4FC7-0E4C-973F-C64E08F38FA5}"/>
    <hyperlink ref="B448" r:id="rId1455" display="https://www.ncbi.nlm.nih.gov/gene/3858" xr:uid="{55BCB4EE-7A99-2C42-B2AF-D5EAC1306270}"/>
    <hyperlink ref="B447" r:id="rId1456" display="https://www.ncbi.nlm.nih.gov/gene/3848" xr:uid="{ADDC5B05-5C09-4F4C-9142-829C12D21A99}"/>
    <hyperlink ref="B446" r:id="rId1457" display="https://www.ncbi.nlm.nih.gov/gene/3845" xr:uid="{7FFA20DC-7F3E-AF4F-9FCD-6907215B13DB}"/>
    <hyperlink ref="B443" r:id="rId1458" display="https://www.ncbi.nlm.nih.gov/gene/688" xr:uid="{3393725D-4263-4F49-A5FE-D67E0D6D9CAB}"/>
    <hyperlink ref="B442" r:id="rId1459" display="https://www.ncbi.nlm.nih.gov/gene/9314" xr:uid="{362D9A59-541A-A748-AD12-04991A11BFD4}"/>
    <hyperlink ref="B441" r:id="rId1460" display="https://www.ncbi.nlm.nih.gov/gene/3815" xr:uid="{6BD5D633-B77A-6249-8D82-43C961965921}"/>
    <hyperlink ref="B440" r:id="rId1461" display="https://www.ncbi.nlm.nih.gov/gene/3814" xr:uid="{0A424C21-4C71-E841-9604-B7643E39B278}"/>
    <hyperlink ref="B439" r:id="rId1462" display="https://www.ncbi.nlm.nih.gov/gene/10112" xr:uid="{36809BA8-B74E-4841-9D3F-16A57E988195}"/>
    <hyperlink ref="B438" r:id="rId1463" display="https://www.ncbi.nlm.nih.gov/gene/9817" xr:uid="{3ADBA870-268A-0346-9223-E3C91086945A}"/>
    <hyperlink ref="B437" r:id="rId1464" display="https://www.ncbi.nlm.nih.gov/gene/3791" xr:uid="{61BDA1DF-2239-494A-9114-E8D9FC1D45D0}"/>
    <hyperlink ref="B436" r:id="rId1465" display="https://www.ncbi.nlm.nih.gov/gene/5927" xr:uid="{41385CC6-D4E3-2848-9894-2273E666B37E}"/>
    <hyperlink ref="B435" r:id="rId1466" display="https://www.ncbi.nlm.nih.gov/gene/55818" xr:uid="{5631EB49-9ECE-D344-B461-17D261FBB3D3}"/>
    <hyperlink ref="B434" r:id="rId1467" display="https://www.ncbi.nlm.nih.gov/gene/3778" xr:uid="{E7A3E7E8-C91A-1E4C-9095-BAE0F7A00763}"/>
    <hyperlink ref="B433" r:id="rId1468" display="https://www.ncbi.nlm.nih.gov/gene/84148" xr:uid="{2DC48AE4-FCB5-CE43-A302-99C61EC635FC}"/>
    <hyperlink ref="B432" r:id="rId1469" display="https://www.ncbi.nlm.nih.gov/gene/10524" xr:uid="{B7424F23-66A3-894B-A92B-F0D8A4898E1D}"/>
    <hyperlink ref="B431" r:id="rId1470" display="https://www.ncbi.nlm.nih.gov/gene/8850" xr:uid="{A20A145F-596B-6C44-9B40-E1D133CF77B3}"/>
    <hyperlink ref="B430" r:id="rId1471" display="https://www.ncbi.nlm.nih.gov/gene/3727" xr:uid="{9DC009F3-950C-594F-931F-FD3C45D1FEFA}"/>
    <hyperlink ref="B429" r:id="rId1472" display="https://www.ncbi.nlm.nih.gov/gene/3726" xr:uid="{288317E0-6E51-504F-8F9A-5ECF5F26F2F9}"/>
    <hyperlink ref="B428" r:id="rId1473" display="https://www.ncbi.nlm.nih.gov/gene/3725" xr:uid="{C2AE52CB-2902-2C49-8404-BBB3E743F752}"/>
    <hyperlink ref="B427" r:id="rId1474" display="https://www.ncbi.nlm.nih.gov/gene/3717" xr:uid="{A33F6841-5348-EB4D-9E7E-FC7669C3CD51}"/>
    <hyperlink ref="B426" r:id="rId1475" display="https://www.ncbi.nlm.nih.gov/gene/182" xr:uid="{D3BA73A8-0AB5-7640-85D5-16917F6769FF}"/>
    <hyperlink ref="B424" r:id="rId1476" display="https://www.ncbi.nlm.nih.gov/gene/9452" xr:uid="{65C77B2F-9E2A-8A47-BDFA-A8DCADF53A3D}"/>
    <hyperlink ref="B423" r:id="rId1477" display="https://www.ncbi.nlm.nih.gov/gene/3696" xr:uid="{2426329D-0739-3347-A6D7-5BDE81B57DAD}"/>
    <hyperlink ref="B421" r:id="rId1478" display="https://www.ncbi.nlm.nih.gov/gene/3693" xr:uid="{8A952963-D9A6-8043-8222-E6CAFE1CA715}"/>
    <hyperlink ref="B420" r:id="rId1479" display="https://www.ncbi.nlm.nih.gov/gene/3688" xr:uid="{6745F246-98B9-B54C-A6C4-6770236A79C6}"/>
    <hyperlink ref="B419" r:id="rId1480" display="https://www.ncbi.nlm.nih.gov/gene/3655" xr:uid="{7BA2D7F6-1CDB-D44D-A30B-E1A009E5F8CF}"/>
    <hyperlink ref="B418" r:id="rId1481" display="https://www.ncbi.nlm.nih.gov/gene/3678" xr:uid="{86B783BC-B5B8-594A-9BFA-EF1B31C00750}"/>
    <hyperlink ref="B417" r:id="rId1482" display="https://www.ncbi.nlm.nih.gov/gene/3659" xr:uid="{D82A3C34-BE42-8340-AFBA-A748CF8F32D7}"/>
    <hyperlink ref="B425" r:id="rId1483" display="https://www.ncbi.nlm.nih.gov/gene/3708" xr:uid="{7BFB2027-725F-3C46-99A9-8BFB5FF46F4C}"/>
    <hyperlink ref="B416" r:id="rId1484" display="https://www.ncbi.nlm.nih.gov/gene/3611" xr:uid="{AB50364E-A245-4A49-B1FD-4F39E7137C74}"/>
    <hyperlink ref="B415" r:id="rId1485" display="https://www.ncbi.nlm.nih.gov/gene/3574" xr:uid="{B5F0119F-583C-F44D-9989-C4F6A0435ABD}"/>
    <hyperlink ref="B414" r:id="rId1486" display="https://www.ncbi.nlm.nih.gov/gene/3570" xr:uid="{221E3D3E-9F9B-BB46-A591-87ED80A81202}"/>
    <hyperlink ref="B413" r:id="rId1487" display="https://www.ncbi.nlm.nih.gov/gene/3569" xr:uid="{F771166C-5332-9849-B0AE-D48A539D7979}"/>
    <hyperlink ref="B412" r:id="rId1488" display="https://www.ncbi.nlm.nih.gov/gene/64806" xr:uid="{9E3C0303-E082-274B-BA26-684F11C413B5}"/>
    <hyperlink ref="B410" r:id="rId1489" display="https://www.ncbi.nlm.nih.gov/gene/50616" xr:uid="{4520E984-57B9-4441-B561-6885ABDAAFB6}"/>
    <hyperlink ref="B407" r:id="rId1490" display="https://www.ncbi.nlm.nih.gov/gene/3605" xr:uid="{BDB946F4-E981-D84E-A098-0BF9254D70F5}"/>
    <hyperlink ref="B409" r:id="rId1491" display="https://www.ncbi.nlm.nih.gov/gene/3553" xr:uid="{0FBB090E-8C76-3E4B-9733-6AF00C009366}"/>
    <hyperlink ref="B408" r:id="rId1492" display="https://www.ncbi.nlm.nih.gov/gene/3552" xr:uid="{F226291B-E834-9441-AF9E-4728B173C34F}"/>
    <hyperlink ref="B406" r:id="rId1493" display="https://www.ncbi.nlm.nih.gov/gene/3589" xr:uid="{61ED2759-901F-6D4A-923A-F14256CCBCAD}"/>
    <hyperlink ref="B405" r:id="rId1494" display="https://www.ncbi.nlm.nih.gov/gene/9641" xr:uid="{6A25413D-C255-BE40-B12B-8380D1C06109}"/>
    <hyperlink ref="B402" r:id="rId1495" display="https://www.ncbi.nlm.nih.gov/gene/10643" xr:uid="{80A3715B-3B1A-9B49-BC9C-B35991524CE5}"/>
    <hyperlink ref="B401" r:id="rId1496" display="https://www.ncbi.nlm.nih.gov/gene/10642" xr:uid="{E09C89B0-0CF7-0A4F-A5D2-C6EDBE8D3E85}"/>
    <hyperlink ref="B400" r:id="rId1497" display="https://www.ncbi.nlm.nih.gov/gene/3481" xr:uid="{E9482542-BD65-784C-B3D1-715E8C1BBFEE}"/>
    <hyperlink ref="B399" r:id="rId1498" display="https://www.ncbi.nlm.nih.gov/gene/3480" xr:uid="{B0FC695D-FDE8-5146-BDE5-62CB30F69AA1}"/>
    <hyperlink ref="B398" r:id="rId1499" display="https://www.ncbi.nlm.nih.gov/gene/3479" xr:uid="{9A123C6C-3AF0-7A46-9983-3570F5A66F46}"/>
    <hyperlink ref="B397" r:id="rId1500" display="https://www.ncbi.nlm.nih.gov/gene/3458" xr:uid="{2E444071-E434-D44E-80A1-C57389CD9145}"/>
    <hyperlink ref="B396" r:id="rId1501" display="https://www.ncbi.nlm.nih.gov/gene/3397" xr:uid="{2648BD20-431F-F046-9189-82772B1C5960}"/>
    <hyperlink ref="B395" r:id="rId1502" display="https://www.ncbi.nlm.nih.gov/gene/3383" xr:uid="{C369C75A-C06B-244A-93EE-B6715838FE8B}"/>
    <hyperlink ref="B394" r:id="rId1503" display="https://www.ncbi.nlm.nih.gov/gene/27429" xr:uid="{208AF982-57DA-8140-A9A2-8B32C76FFF84}"/>
    <hyperlink ref="B393" r:id="rId1504" display="https://www.ncbi.nlm.nih.gov/gene/3329" xr:uid="{D6B326C8-7076-1C45-A71A-EE8B2EF5E78D}"/>
    <hyperlink ref="B392" r:id="rId1505" display="https://www.ncbi.nlm.nih.gov/gene/3315" xr:uid="{5812894B-62C4-1E46-B945-4193726E375E}"/>
    <hyperlink ref="B391" r:id="rId1506" display="https://www.ncbi.nlm.nih.gov/gene/3309" xr:uid="{B46F3F8F-B45E-B64B-B8B8-6BB4E82219AF}"/>
    <hyperlink ref="B388" r:id="rId1507" display="https://www.ncbi.nlm.nih.gov/gene/3326" xr:uid="{BE42F60B-6938-3848-951E-FE00F5BA3DA5}"/>
    <hyperlink ref="B387" r:id="rId1508" display="https://www.ncbi.nlm.nih.gov/gene/3320" xr:uid="{6D472E3B-EC38-A645-B35B-D64C53BE7E75}"/>
    <hyperlink ref="B390" r:id="rId1509" display="https://www.ncbi.nlm.nih.gov/gene/3304" xr:uid="{DA71B9CA-CC2A-8E48-A265-7460BBB5DCBA}"/>
    <hyperlink ref="B389" r:id="rId1510" display="https://www.ncbi.nlm.nih.gov/gene/3303" xr:uid="{82E71100-D756-9444-ABE8-3B65CBD6F0F8}"/>
    <hyperlink ref="B386" r:id="rId1511" display="https://www.ncbi.nlm.nih.gov/gene/3297" xr:uid="{E3C7A7D2-772D-8A43-91E0-C32302BA8669}"/>
    <hyperlink ref="B385" r:id="rId1512" display="https://www.ncbi.nlm.nih.gov/gene/78995" xr:uid="{814BB19E-7205-974D-A7B5-4D4443CFAC97}"/>
    <hyperlink ref="B384" r:id="rId1513" display="https://www.ncbi.nlm.nih.gov/gene/3234" xr:uid="{64EDC2D6-761F-2740-90D3-7900CCDEFA04}"/>
    <hyperlink ref="B382" r:id="rId1514" display="https://www.ncbi.nlm.nih.gov/gene/3214" xr:uid="{48601E1F-9DA1-D44B-90CF-A3973FD130CB}"/>
    <hyperlink ref="B381" r:id="rId1515" display="https://www.ncbi.nlm.nih.gov/gene/3213" xr:uid="{69A69859-CB90-4B43-9A68-CF381F0C9825}"/>
    <hyperlink ref="B380" r:id="rId1516" display="https://www.ncbi.nlm.nih.gov/gene/10481" xr:uid="{712FE118-9089-6C4E-BDFE-0320897FFD1B}"/>
    <hyperlink ref="B379" r:id="rId1517" display="https://www.ncbi.nlm.nih.gov/gene/3201" xr:uid="{799FB463-C324-7444-9AF0-16C36AF54DCD}"/>
    <hyperlink ref="B378" r:id="rId1518" display="https://www.ncbi.nlm.nih.gov/gene/3209" xr:uid="{4F83054D-CCE3-3F45-96E4-DBC9B26B28A2}"/>
    <hyperlink ref="B377" r:id="rId1519" display="https://www.ncbi.nlm.nih.gov/gene/6928" xr:uid="{CFF1992E-904D-BC4B-922C-109BB58B2561}"/>
    <hyperlink ref="B376" r:id="rId1520" display="https://www.ncbi.nlm.nih.gov/gene/3162" xr:uid="{D9613026-5B51-A648-A167-1C09B7DEB340}"/>
    <hyperlink ref="B375" r:id="rId1521" display="https://www.ncbi.nlm.nih.gov/gene/3156" xr:uid="{D7F89D5A-B119-3145-99C9-069390C9ED4C}"/>
    <hyperlink ref="B374" r:id="rId1522" display="https://www.ncbi.nlm.nih.gov/gene/3148" xr:uid="{8F6AE46F-1C32-F246-8AF6-1DACFC19362E}"/>
    <hyperlink ref="B373" r:id="rId1523" display="https://www.ncbi.nlm.nih.gov/gene/3146" xr:uid="{A524A567-3738-5C41-9ADB-457A0729FEE4}"/>
    <hyperlink ref="B372" r:id="rId1524" display="https://www.ncbi.nlm.nih.gov/gene/3099" xr:uid="{BB4983AB-48CE-DF4F-9D0E-04EED0AA5C5C}"/>
    <hyperlink ref="B371" r:id="rId1525" display="https://www.ncbi.nlm.nih.gov/gene/28996" xr:uid="{7268ADA5-EC7E-3142-A5DE-BB4D600F0362}"/>
    <hyperlink ref="B370" r:id="rId1526" display="https://www.ncbi.nlm.nih.gov/gene/3091" xr:uid="{3965A8E8-3063-554B-82A2-7C0349246936}"/>
    <hyperlink ref="B369" r:id="rId1527" display="https://www.ncbi.nlm.nih.gov/gene/3090" xr:uid="{A82E24F9-6A77-B046-BD5B-ACD4DB451612}"/>
    <hyperlink ref="B368" r:id="rId1528" display="https://www.ncbi.nlm.nih.gov/gene/3082" xr:uid="{6F5DD845-3E6A-0F4B-B7DF-4959925B1CBE}"/>
    <hyperlink ref="B367" r:id="rId1529" display="https://www.ncbi.nlm.nih.gov/gene/23462" xr:uid="{B08B351E-BB52-CC4B-967F-F26C79F81448}"/>
    <hyperlink ref="B366" r:id="rId1530" display="https://www.ncbi.nlm.nih.gov/gene/113510" xr:uid="{FB878A9B-9CE6-A44D-83FF-F966DB945B99}"/>
    <hyperlink ref="B365" r:id="rId1531" display="https://www.ncbi.nlm.nih.gov/gene/79654" xr:uid="{CEBCD35F-A644-BF45-913A-151B552B0D35}"/>
    <hyperlink ref="B364" r:id="rId1532" display="https://www.ncbi.nlm.nih.gov/gene/9759" xr:uid="{1C95359A-4BD0-0441-93E9-1036E247F44F}"/>
    <hyperlink ref="B363" r:id="rId1533" display="https://www.ncbi.nlm.nih.gov/gene/8841" xr:uid="{181C3BE9-5863-C94A-90FB-AA2B11CD8369}"/>
    <hyperlink ref="B362" r:id="rId1534" display="https://www.ncbi.nlm.nih.gov/gene/3065" xr:uid="{5BFC2AE3-1812-FF43-A7FC-AC9A2C8C8913}"/>
    <hyperlink ref="B361" r:id="rId1535" display="https://www.ncbi.nlm.nih.gov/gene/54985" xr:uid="{522CA165-474A-754E-A4FE-AE44741E69B7}"/>
    <hyperlink ref="B360" r:id="rId1536" display="https://www.ncbi.nlm.nih.gov/gene/1839" xr:uid="{7FF32409-FE84-E943-A033-B1DE148ED97D}"/>
    <hyperlink ref="B359" r:id="rId1537" display="https://www.ncbi.nlm.nih.gov/gene/9563" xr:uid="{442D1E73-7FC4-224D-85EC-D7B3305B1DDE}"/>
    <hyperlink ref="B358" r:id="rId1538" display="https://www.ncbi.nlm.nih.gov/gene/3014" xr:uid="{5BEE41FC-20B3-B845-9B55-E3F81E29F82E}"/>
    <hyperlink ref="B357" r:id="rId1539" display="https://www.ncbi.nlm.nih.gov/gene/2952" xr:uid="{01A5A54D-0690-4C4A-A45A-BA02C904BE7E}"/>
    <hyperlink ref="B356" r:id="rId1540" display="https://www.ncbi.nlm.nih.gov/gene/2950" xr:uid="{E2D89790-4D61-6E41-81EC-23AE784B2503}"/>
    <hyperlink ref="B354" r:id="rId1541" display="https://www.ncbi.nlm.nih.gov/gene/2944" xr:uid="{B1CEED8F-D41E-C448-ACA0-7699FF7D7BC6}"/>
    <hyperlink ref="B353" r:id="rId1542" display="https://www.ncbi.nlm.nih.gov/gene/373156" xr:uid="{9E4BBE91-9C99-584B-AD6E-B4BA61C4E844}"/>
    <hyperlink ref="B352" r:id="rId1543" display="https://www.ncbi.nlm.nih.gov/gene/2938" xr:uid="{C0B7F35E-05EF-5145-AFD6-D400593D3727}"/>
    <hyperlink ref="B351" r:id="rId1544" display="https://www.ncbi.nlm.nih.gov/gene/2937" xr:uid="{031F0468-EE81-0643-8429-CD485C65FBCD}"/>
    <hyperlink ref="B350" r:id="rId1545" display="https://www.ncbi.nlm.nih.gov/gene/2936" xr:uid="{CDBF5982-6E9A-3C49-AE3F-6AC148ADCF51}"/>
    <hyperlink ref="B349" r:id="rId1546" display="https://www.ncbi.nlm.nih.gov/gene/2934" xr:uid="{A77CDABD-F54E-754A-AA65-135754A31D4D}"/>
    <hyperlink ref="B338" r:id="rId1547" display="https://www.ncbi.nlm.nih.gov/gene/27165" xr:uid="{B5463F31-E892-FD4E-98E1-F3BBA0AD5ED7}"/>
    <hyperlink ref="B337" r:id="rId1548" display="https://www.ncbi.nlm.nih.gov/gene/2744" xr:uid="{FFCC2828-61F3-C347-AFF9-417CFE2B3161}"/>
    <hyperlink ref="B348" r:id="rId1549" display="https://www.ncbi.nlm.nih.gov/gene/2932" xr:uid="{B89AC07C-025D-A84C-9172-787A4046DAA8}"/>
    <hyperlink ref="B347" r:id="rId1550" display="https://www.ncbi.nlm.nih.gov/gene/26585" xr:uid="{A4816F20-AD40-954B-819A-F9FE82D806A3}"/>
    <hyperlink ref="B346" r:id="rId1551" display="https://www.ncbi.nlm.nih.gov/gene/9687" xr:uid="{643A0C67-C25D-CD49-954B-0780F3695D10}"/>
    <hyperlink ref="B345" r:id="rId1552" display="https://www.ncbi.nlm.nih.gov/gene/2879" xr:uid="{31183B2D-45DB-1B46-B7C9-CE3B16499F65}"/>
    <hyperlink ref="B344" r:id="rId1553" display="https://www.ncbi.nlm.nih.gov/gene/2878" xr:uid="{03266D48-B798-D543-A855-538B040541C5}"/>
    <hyperlink ref="B343" r:id="rId1554" display="https://www.ncbi.nlm.nih.gov/gene/9052" xr:uid="{DC1F9C6A-8C9D-F14F-96CB-F648F19EA420}"/>
    <hyperlink ref="B342" r:id="rId1555" display="https://www.ncbi.nlm.nih.gov/gene/65056" xr:uid="{BB814E7F-4C48-074A-95FF-BB9B00039096}"/>
    <hyperlink ref="B341" r:id="rId1556" display="https://www.ncbi.nlm.nih.gov/gene/55204" xr:uid="{D109088B-ECCA-AD4A-9717-0406CBCA2EA7}"/>
    <hyperlink ref="B340" r:id="rId1557" display="https://www.ncbi.nlm.nih.gov/gene/64083" xr:uid="{0B0D56C4-0362-6D4D-8992-E28F1A7B5A98}"/>
    <hyperlink ref="B339" r:id="rId1558" display="https://www.ncbi.nlm.nih.gov/gene/84572" xr:uid="{3AC9527F-27FD-3149-82A0-2FF374CB17A2}"/>
    <hyperlink ref="B336" r:id="rId1559" display="https://www.ncbi.nlm.nih.gov/gene/2736" xr:uid="{980787F5-36B2-6B4F-AC76-2ECFC048DC4A}"/>
    <hyperlink ref="B335" r:id="rId1560" display="https://www.ncbi.nlm.nih.gov/gene/2735" xr:uid="{E88D9246-28AA-8147-87E8-234545831A23}"/>
    <hyperlink ref="B334" r:id="rId1561" display="https://www.ncbi.nlm.nih.gov/gene/2697" xr:uid="{1376527C-F603-5940-B732-E5F86A1A0C5D}"/>
    <hyperlink ref="B333" r:id="rId1562" display="https://www.ncbi.nlm.nih.gov/gene/2678" xr:uid="{7C51053A-36FB-E94F-9FFA-389099524BFF}"/>
    <hyperlink ref="B332" r:id="rId1563" display="https://www.ncbi.nlm.nih.gov/gene/79893" xr:uid="{D9DB41F8-795D-8346-B8E1-6163960F06D2}"/>
    <hyperlink ref="B331" r:id="rId1564" display="https://www.ncbi.nlm.nih.gov/gene/2674" xr:uid="{ED1BF2DA-5A86-4048-B117-E254233C3C88}"/>
    <hyperlink ref="B330" r:id="rId1565" display="https://www.ncbi.nlm.nih.gov/gene/9518" xr:uid="{3BCECD3E-7233-BD4A-9F47-3ECE6143FC37}"/>
    <hyperlink ref="B329" r:id="rId1566" display="https://www.ncbi.nlm.nih.gov/gene/2730" xr:uid="{2723924B-7A74-A34F-8F0E-1365A1B115E8}"/>
    <hyperlink ref="B328" r:id="rId1567" display="https://www.ncbi.nlm.nih.gov/gene/2729" xr:uid="{602584CE-B383-F941-B03A-3877AF1F2D97}"/>
    <hyperlink ref="B327" r:id="rId1568" display="https://www.ncbi.nlm.nih.gov/gene/2621" xr:uid="{F6E6E274-1A96-6E4E-896C-2DE06190C37D}"/>
    <hyperlink ref="B326" r:id="rId1569" display="https://www.ncbi.nlm.nih.gov/gene/90480" xr:uid="{5C6CB7D4-8618-4D42-BC73-7C71C0892C35}"/>
    <hyperlink ref="B325" r:id="rId1570" display="https://www.ncbi.nlm.nih.gov/gene/1647" xr:uid="{90C278FE-A12A-CB4C-8D99-3AD2DEFFC6AF}"/>
    <hyperlink ref="B324" r:id="rId1571" display="https://www.ncbi.nlm.nih.gov/gene/2551" xr:uid="{B9346327-ADD4-4542-85EC-9802C995EC9B}"/>
    <hyperlink ref="B323" r:id="rId1572" display="https://www.ncbi.nlm.nih.gov/gene/2539" xr:uid="{413819AE-5A36-5748-B2A6-F6DF09CC11D7}"/>
    <hyperlink ref="B322" r:id="rId1573" display="https://www.ncbi.nlm.nih.gov/gene/8325" xr:uid="{B3C58F24-F565-3343-B37D-D26944F85FEE}"/>
    <hyperlink ref="B321" r:id="rId1574" display="https://www.ncbi.nlm.nih.gov/gene/8880" xr:uid="{DDDB61CD-7408-AA40-A5D2-288A438180CF}"/>
    <hyperlink ref="B320" r:id="rId1575" display="https://www.ncbi.nlm.nih.gov/gene/11167" xr:uid="{089ADED3-4C43-4043-9EB3-83302AA5DC4F}"/>
    <hyperlink ref="B319" r:id="rId1576" display="https://www.ncbi.nlm.nih.gov/gene/27086" xr:uid="{D4747B85-B72D-DD4D-BAD6-5AC94892981D}"/>
    <hyperlink ref="B318" r:id="rId1577" display="https://www.ncbi.nlm.nih.gov/gene/2309" xr:uid="{36183712-78C2-8E42-9624-998A8102D174}"/>
    <hyperlink ref="B317" r:id="rId1578" display="https://www.ncbi.nlm.nih.gov/gene/2308" xr:uid="{27350CF8-CCEB-3649-B1EC-BA9A4B3943E3}"/>
    <hyperlink ref="B316" r:id="rId1579" display="https://www.ncbi.nlm.nih.gov/gene/2305" xr:uid="{FD81549D-33C0-0544-9596-D1EF3B8E8F31}"/>
    <hyperlink ref="B315" r:id="rId1580" display="https://www.ncbi.nlm.nih.gov/gene/2303" xr:uid="{FD6AFC26-E019-1E4E-A159-A2EB6C1D0182}"/>
    <hyperlink ref="B314" r:id="rId1581" display="https://www.ncbi.nlm.nih.gov/gene/8061" xr:uid="{969C793D-7AC1-FC48-A79D-4D234C91FE05}"/>
    <hyperlink ref="B313" r:id="rId1582" display="https://www.ncbi.nlm.nih.gov/gene/2354" xr:uid="{D90BA5AC-480A-D34C-ACD6-AE94757AF21A}"/>
    <hyperlink ref="B312" r:id="rId1583" display="https://www.ncbi.nlm.nih.gov/gene/2353" xr:uid="{1735BC95-75AD-ED40-B0D2-2D5CFFB49B6F}"/>
    <hyperlink ref="B311" r:id="rId1584" display="https://www.ncbi.nlm.nih.gov/gene/2350" xr:uid="{1C5A61C3-716F-2742-BEAE-258FF4B60C01}"/>
    <hyperlink ref="B310" r:id="rId1585" display="https://www.ncbi.nlm.nih.gov/gene/2348" xr:uid="{59F503B6-6025-3B4B-8A04-2C5F9143888E}"/>
    <hyperlink ref="B309" r:id="rId1586" display="https://www.ncbi.nlm.nih.gov/gene/2335" xr:uid="{7B0A378F-1E70-A448-9A70-68D842BC0EB0}"/>
    <hyperlink ref="B307" r:id="rId1587" display="https://www.ncbi.nlm.nih.gov/gene/2316" xr:uid="{820C3556-1DC2-7C4A-93D2-17E91FE8B70D}"/>
    <hyperlink ref="B306" r:id="rId1588" display="https://www.ncbi.nlm.nih.gov/gene/2271" xr:uid="{5F46DD12-BD19-4F46-92E1-0DA49EE44891}"/>
    <hyperlink ref="B305" r:id="rId1589" display="https://www.ncbi.nlm.nih.gov/gene/2263" xr:uid="{D756C8EE-F428-0E4C-90DF-BD0C2F385FEE}"/>
    <hyperlink ref="B304" r:id="rId1590" display="https://www.ncbi.nlm.nih.gov/gene/2247" xr:uid="{B214BA08-F763-0C4C-9688-F55F2BDA3D78}"/>
    <hyperlink ref="B303" r:id="rId1591" display="https://www.ncbi.nlm.nih.gov/gene/2246" xr:uid="{73C0D0DB-D741-FA4C-A6A2-97BC58A53B55}"/>
    <hyperlink ref="B302" r:id="rId1592" display="https://www.ncbi.nlm.nih.gov/gene/2237" xr:uid="{51FBDEDF-9149-C246-93C8-170721ADACBA}"/>
    <hyperlink ref="B301" r:id="rId1593" display="https://www.ncbi.nlm.nih.gov/gene/114907" xr:uid="{F892E0C0-970E-AD47-BEA3-E736C63EAF02}"/>
    <hyperlink ref="B300" r:id="rId1594" display="https://www.ncbi.nlm.nih.gov/gene/2197" xr:uid="{1C44E2B1-5624-664B-9292-6283ACC65A72}"/>
    <hyperlink ref="B299" r:id="rId1595" display="https://www.ncbi.nlm.nih.gov/gene/2195" xr:uid="{01C98EBE-2AB4-914B-BFF3-47E483E85EFE}"/>
    <hyperlink ref="B298" r:id="rId1596" display="https://www.ncbi.nlm.nih.gov/gene/2194" xr:uid="{607326B5-C650-D14A-AB8D-18B5B97E20EA}"/>
    <hyperlink ref="B297" r:id="rId1597" display="https://www.ncbi.nlm.nih.gov/gene/356" xr:uid="{F1FBD05B-B010-9741-B3D8-1AF49B23BA44}"/>
    <hyperlink ref="B296" r:id="rId1598" display="https://www.ncbi.nlm.nih.gov/gene/355" xr:uid="{2963246E-BC41-4445-8936-E3CB73902F64}"/>
    <hyperlink ref="B295" r:id="rId1599" display="https://www.ncbi.nlm.nih.gov/gene/2191" xr:uid="{F87671BA-B2FB-554C-B370-7AACBC6F880A}"/>
    <hyperlink ref="B294" r:id="rId1600" display="https://www.ncbi.nlm.nih.gov/gene/57697" xr:uid="{1A412628-FACD-F24B-B1D4-57A3B5FDE1BB}"/>
    <hyperlink ref="B293" r:id="rId1601" display="https://www.ncbi.nlm.nih.gov/gene/55120" xr:uid="{692B1EEC-8966-1C4F-A468-5FDFB5D72CFC}"/>
    <hyperlink ref="B292" r:id="rId1602" display="https://www.ncbi.nlm.nih.gov/gene/55215" xr:uid="{DED168A4-4BCC-3D45-8353-683918EED91E}"/>
    <hyperlink ref="B291" r:id="rId1603" display="https://www.ncbi.nlm.nih.gov/gene/2189" xr:uid="{70CEC650-6C3A-4440-A4A8-8A8246FDA97C}"/>
    <hyperlink ref="B290" r:id="rId1604" display="https://www.ncbi.nlm.nih.gov/gene/2188" xr:uid="{A6B1E198-20A7-BC48-8067-64899AA711CC}"/>
    <hyperlink ref="B289" r:id="rId1605" display="https://www.ncbi.nlm.nih.gov/gene/2178" xr:uid="{B1A9A71F-0480-AB4A-B811-4EDBD78F55AB}"/>
    <hyperlink ref="B288" r:id="rId1606" display="https://www.ncbi.nlm.nih.gov/gene/2177" xr:uid="{9C86FCF5-1AF1-8043-BB4E-6251F86D58C9}"/>
    <hyperlink ref="B287" r:id="rId1607" display="https://www.ncbi.nlm.nih.gov/gene/2176" xr:uid="{7C3CB00A-9EBA-4843-91E4-4AE719194D23}"/>
    <hyperlink ref="B286" r:id="rId1608" display="https://www.ncbi.nlm.nih.gov/gene/2187" xr:uid="{D9D5E3D4-5D5E-9641-ACF3-56D6F342E51D}"/>
    <hyperlink ref="B285" r:id="rId1609" display="https://www.ncbi.nlm.nih.gov/gene/2175" xr:uid="{EE0987B3-275C-494B-96E8-AF15F3176656}"/>
    <hyperlink ref="B284" r:id="rId1610" display="https://www.ncbi.nlm.nih.gov/gene/22909" xr:uid="{5358B1D5-87AF-3643-A625-93B677777070}"/>
    <hyperlink ref="B16" r:id="rId1611" display="https://www.ncbi.nlm.nih.gov/gene/23172" xr:uid="{C9359EB0-2393-0144-85E9-5E3C5EF2F1B6}"/>
    <hyperlink ref="B283" r:id="rId1612" display="https://www.ncbi.nlm.nih.gov/gene/222584" xr:uid="{72867D18-576C-9E4A-9067-6BE4CB9D35C9}"/>
    <hyperlink ref="B282" r:id="rId1613" display="https://www.ncbi.nlm.nih.gov/gene/23201" xr:uid="{BC125E69-7756-5C4A-A2B3-FE962D395ABF}"/>
    <hyperlink ref="B281" r:id="rId1614" display="https://www.ncbi.nlm.nih.gov/gene/8772" xr:uid="{65874DB1-6788-6846-A783-3F3246E2315D}"/>
    <hyperlink ref="B280" r:id="rId1615" display="https://www.ncbi.nlm.nih.gov/gene/91442" xr:uid="{AF0605B9-7922-584C-AAF3-EE58A7EE7823}"/>
    <hyperlink ref="B279" r:id="rId1616" display="https://www.ncbi.nlm.nih.gov/gene/80233" xr:uid="{974A3241-5757-4049-B3CF-D1DE1BC3D413}"/>
    <hyperlink ref="B278" r:id="rId1617" display="https://www.ncbi.nlm.nih.gov/gene/7430" xr:uid="{0BBBADC8-8BD2-F648-B789-6CE288BF82F8}"/>
    <hyperlink ref="B277" r:id="rId1618" display="https://www.ncbi.nlm.nih.gov/gene/2146" xr:uid="{D378FAF8-1B6A-B74E-884A-F5CFD5DE8197}"/>
    <hyperlink ref="B276" r:id="rId1619" display="https://www.ncbi.nlm.nih.gov/gene/9156" xr:uid="{AA8FFEAE-8063-1C46-B83E-7FAD7E18FFB2}"/>
    <hyperlink ref="B275" r:id="rId1620" display="https://www.ncbi.nlm.nih.gov/gene/2113" xr:uid="{54D87209-5940-DA4D-946D-6B037A536BC9}"/>
    <hyperlink ref="B241" r:id="rId1621" display="https://www.ncbi.nlm.nih.gov/gene/1909" xr:uid="{27F70BB4-EB61-A045-82C3-0FA98D6F4881}"/>
    <hyperlink ref="B274" r:id="rId1622" display="https://www.ncbi.nlm.nih.gov/gene/2081" xr:uid="{8FBA7661-0E60-3246-AAB4-742CCB8C530B}"/>
    <hyperlink ref="B273" r:id="rId1623" display="https://www.ncbi.nlm.nih.gov/gene/1161" xr:uid="{501D795C-4B0D-9947-9D3F-166992E14C95}"/>
    <hyperlink ref="B272" r:id="rId1624" display="https://www.ncbi.nlm.nih.gov/gene/2074" xr:uid="{3729177D-CF44-9043-B661-C7A6E76B7A8B}"/>
    <hyperlink ref="B271" r:id="rId1625" display="https://www.ncbi.nlm.nih.gov/gene/2073" xr:uid="{2D686A39-EE5F-304C-8AE3-3B750D119373}"/>
    <hyperlink ref="B270" r:id="rId1626" display="https://www.ncbi.nlm.nih.gov/gene/2072" xr:uid="{F9617F05-FFA5-BB41-AB2E-08E76AE69D07}"/>
    <hyperlink ref="B269" r:id="rId1627" display="https://www.ncbi.nlm.nih.gov/gene/2071" xr:uid="{D0287BF5-157D-8342-804A-A669D5B6AF10}"/>
    <hyperlink ref="B268" r:id="rId1628" display="https://www.ncbi.nlm.nih.gov/gene/2068" xr:uid="{BF7B5D3D-E230-174F-B28D-DBFACBC89EC2}"/>
    <hyperlink ref="B267" r:id="rId1629" display="https://www.ncbi.nlm.nih.gov/gene/2067" xr:uid="{E38B71EC-D75E-E641-8459-F18007992DB1}"/>
    <hyperlink ref="B266" r:id="rId1630" display="https://www.ncbi.nlm.nih.gov/gene/2066" xr:uid="{D3CF73BD-98AB-D44C-AF57-5E28519C23E0}"/>
    <hyperlink ref="B265" r:id="rId1631" display="https://www.ncbi.nlm.nih.gov/gene/2065" xr:uid="{EFC3E063-0EA2-C34B-8DE2-611F21A53AAA}"/>
    <hyperlink ref="B264" r:id="rId1632" display="https://www.ncbi.nlm.nih.gov/gene/2064" xr:uid="{09084483-3634-CC40-B47C-297B31240B15}"/>
    <hyperlink ref="B263" r:id="rId1633" display="https://www.ncbi.nlm.nih.gov/gene/1969" xr:uid="{0DD2E141-68D5-1E46-ADEC-9E9C4479A6E1}"/>
    <hyperlink ref="B262" r:id="rId1634" display="https://www.ncbi.nlm.nih.gov/gene/4072" xr:uid="{66CC1088-3D03-294E-A09E-F8F6F54F777A}"/>
    <hyperlink ref="B261" r:id="rId1635" display="https://www.ncbi.nlm.nih.gov/gene/2033" xr:uid="{E17EC8AD-A351-F248-A8B1-FD87985C515F}"/>
    <hyperlink ref="B260" r:id="rId1636" display="https://www.ncbi.nlm.nih.gov/gene/5168" xr:uid="{9C5412BB-7A42-9E42-8693-627234CC3805}"/>
    <hyperlink ref="B259" r:id="rId1637" display="https://www.ncbi.nlm.nih.gov/gene/2023" xr:uid="{41622A99-A051-F941-B8AB-4B99B847822C}"/>
    <hyperlink ref="B258" r:id="rId1638" display="https://www.ncbi.nlm.nih.gov/gene/2022" xr:uid="{282A3EE6-74AF-5643-98C6-D79C48249BE8}"/>
    <hyperlink ref="B257" r:id="rId1639" display="https://www.ncbi.nlm.nih.gov/gene/2018" xr:uid="{7C0C813E-A30A-F54E-B54E-D40F3BAEE98C}"/>
    <hyperlink ref="B256" r:id="rId1640" display="https://www.ncbi.nlm.nih.gov/gene/56946" xr:uid="{D8287DAC-1F9B-AF43-A535-4118E65DA43C}"/>
    <hyperlink ref="B255" r:id="rId1641" display="https://www.ncbi.nlm.nih.gov/gene/146956" xr:uid="{6692EC31-49FA-9C4E-9978-13B21D9D14E5}"/>
    <hyperlink ref="B253" r:id="rId1642" display="https://www.ncbi.nlm.nih.gov/gene/1978" xr:uid="{AD96276F-904D-8843-BE55-793716DA8391}"/>
    <hyperlink ref="B252" r:id="rId1643" display="https://www.ncbi.nlm.nih.gov/gene/1977" xr:uid="{C9676BD5-810C-134E-9C1B-B94F70CD4C32}"/>
    <hyperlink ref="B251" r:id="rId1644" display="https://www.ncbi.nlm.nih.gov/gene/8666" xr:uid="{7A65926C-83F2-3942-B92D-84664F6A1D61}"/>
    <hyperlink ref="B250" r:id="rId1645" display="https://www.ncbi.nlm.nih.gov/gene/8661" xr:uid="{00BDCCBA-9395-2440-BF3E-0D1FCA494E78}"/>
    <hyperlink ref="B249" r:id="rId1646" display="https://www.ncbi.nlm.nih.gov/gene/1965" xr:uid="{741EB627-7054-CE4A-82D2-09C93A2F3FB1}"/>
    <hyperlink ref="B248" r:id="rId1647" display="https://www.ncbi.nlm.nih.gov/gene/9451" xr:uid="{64B35C53-9165-A942-B7E6-6FAFA94C7086}"/>
    <hyperlink ref="B247" r:id="rId1648" display="https://www.ncbi.nlm.nih.gov/gene/10938" xr:uid="{E9663A48-9430-E84B-A5D3-F52D48130DC0}"/>
    <hyperlink ref="B246" r:id="rId1649" display="https://www.ncbi.nlm.nih.gov/gene/1958" xr:uid="{8B5912A9-1445-0843-9769-DDF97D012908}"/>
    <hyperlink ref="B243" r:id="rId1650" display="https://www.ncbi.nlm.nih.gov/gene/1956" xr:uid="{CAB5F61B-1EAA-9D4F-BB89-26BD24634E59}"/>
    <hyperlink ref="B245" r:id="rId1651" display="https://www.ncbi.nlm.nih.gov/gene/112399" xr:uid="{40B33C9A-EAAD-AA4A-97DD-62719046965D}"/>
    <hyperlink ref="B244" r:id="rId1652" display="https://www.ncbi.nlm.nih.gov/gene/54583" xr:uid="{254A813A-E17E-AA4B-9F36-8A36A20E4904}"/>
    <hyperlink ref="B242" r:id="rId1653" display="https://www.ncbi.nlm.nih.gov/gene/1950" xr:uid="{4CE98CDB-A077-6C4B-AA81-A0590AE0A725}"/>
    <hyperlink ref="B240" r:id="rId1654" display="https://www.ncbi.nlm.nih.gov/gene/144455" xr:uid="{2140BB21-63B4-4F45-99D3-FA9B2AFCE0DC}"/>
    <hyperlink ref="B239" r:id="rId1655" display="https://www.ncbi.nlm.nih.gov/gene/1874" xr:uid="{2C469C9F-6BB7-1C47-AFFF-0FB9B9186E6A}"/>
    <hyperlink ref="B238" r:id="rId1656" display="https://www.ncbi.nlm.nih.gov/gene/1870" xr:uid="{9762C534-B6E4-4840-BFDF-496165C69EF1}"/>
    <hyperlink ref="B237" r:id="rId1657" display="https://www.ncbi.nlm.nih.gov/gene/1869" xr:uid="{17131149-A9C6-2D4A-B5AA-D24C19D47C72}"/>
    <hyperlink ref="B236" r:id="rId1658" display="https://www.ncbi.nlm.nih.gov/gene/8445" xr:uid="{1E9815D8-D136-B84A-B591-1E3CFCFFCDD3}"/>
    <hyperlink ref="B235" r:id="rId1659" display="https://www.ncbi.nlm.nih.gov/gene/8655" xr:uid="{F8C5046F-5C6A-614F-B9CB-5F8C07A55AE8}"/>
    <hyperlink ref="B234" r:id="rId1660" display="https://www.ncbi.nlm.nih.gov/gene/1857" xr:uid="{16F614CA-9528-EA4E-9E14-52FAA9FF85E2}"/>
    <hyperlink ref="B233" r:id="rId1661" display="https://www.ncbi.nlm.nih.gov/gene/1856" xr:uid="{37D73172-DA48-6B41-89FF-7F5EDDC21D75}"/>
    <hyperlink ref="B232" r:id="rId1662" display="https://www.ncbi.nlm.nih.gov/gene/1848" xr:uid="{656F6654-4860-9243-895B-71D2331E3E70}"/>
    <hyperlink ref="B231" r:id="rId1663" display="https://www.ncbi.nlm.nih.gov/gene/1843" xr:uid="{B46255B7-156A-BC45-9A90-2B4989D228C6}"/>
    <hyperlink ref="B230" r:id="rId1664" display="https://www.ncbi.nlm.nih.gov/gene/90527" xr:uid="{D3C9FB27-A5FE-5144-984D-7AB33E551A55}"/>
    <hyperlink ref="B229" r:id="rId1665" display="https://www.ncbi.nlm.nih.gov/gene/1828" xr:uid="{921C1544-D25C-064E-B962-6000DE6683C2}"/>
    <hyperlink ref="B228" r:id="rId1666" display="https://www.ncbi.nlm.nih.gov/gene/55332" xr:uid="{E00AA1C1-1DA9-A34F-9067-A0EAB1492EC7}"/>
    <hyperlink ref="B227" r:id="rId1667" display="https://www.ncbi.nlm.nih.gov/gene/9046" xr:uid="{4F2E8628-46AD-8244-BACD-B4E0BC50A2B2}"/>
    <hyperlink ref="B226" r:id="rId1668" display="https://www.ncbi.nlm.nih.gov/gene/1786" xr:uid="{A340949D-149C-6846-88AC-DE254D36E336}"/>
    <hyperlink ref="B225" r:id="rId1669" display="https://www.ncbi.nlm.nih.gov/gene/27122" xr:uid="{DDB6C768-7D19-D04C-8489-012B1E7589B9}"/>
    <hyperlink ref="B224" r:id="rId1670" display="https://www.ncbi.nlm.nih.gov/gene/22943" xr:uid="{DB13CE57-A7E6-DC4A-B3DB-1B45ACA378CB}"/>
    <hyperlink ref="B223" r:id="rId1671" display="https://www.ncbi.nlm.nih.gov/gene/9077" xr:uid="{F878C61A-D9A5-8E4B-8755-174578A98AF6}"/>
    <hyperlink ref="B222" r:id="rId1672" display="https://www.ncbi.nlm.nih.gov/gene/23405" xr:uid="{C44A28F8-CD3B-EA45-9285-CB05485E010F}"/>
    <hyperlink ref="B221" r:id="rId1673" display="https://www.ncbi.nlm.nih.gov/gene/81624" xr:uid="{9D52D1ED-2E52-F146-8C98-DB02F2DA51E3}"/>
    <hyperlink ref="B220" r:id="rId1674" display="https://www.ncbi.nlm.nih.gov/gene/1719" xr:uid="{843A012B-C302-8B40-8294-68C0AF48EE66}"/>
    <hyperlink ref="B219" r:id="rId1675" display="https://www.ncbi.nlm.nih.gov/gene/79139" xr:uid="{8234EED5-4A5E-5B49-AA5D-AE1A8B9999B5}"/>
    <hyperlink ref="B218" r:id="rId1676" display="https://www.ncbi.nlm.nih.gov/gene/780" xr:uid="{179128BF-3796-F944-9D76-A892FF773A5C}"/>
    <hyperlink ref="B217" r:id="rId1677" display="https://www.ncbi.nlm.nih.gov/gene/1649" xr:uid="{54055806-8563-D04F-92B6-AE7363AEB276}"/>
    <hyperlink ref="B216" r:id="rId1678" display="https://www.ncbi.nlm.nih.gov/gene/220042" xr:uid="{E035FB0E-0FC4-7348-9488-76A6882383CC}"/>
    <hyperlink ref="B215" r:id="rId1679" display="https://www.ncbi.nlm.nih.gov/gene/1643" xr:uid="{A9E16F3E-D02A-DC4F-BCB7-DEFBA00EB7A2}"/>
    <hyperlink ref="B214" r:id="rId1680" display="https://www.ncbi.nlm.nih.gov/gene/1642" xr:uid="{CC441E62-947A-4746-88A5-CE1FF689E4E9}"/>
    <hyperlink ref="B213" r:id="rId1681" display="https://www.ncbi.nlm.nih.gov/gene/64421" xr:uid="{45DC6910-CA84-9E4C-8034-BBF882E7C5DA}"/>
    <hyperlink ref="B212" r:id="rId1682" display="https://www.ncbi.nlm.nih.gov/gene/64858" xr:uid="{83367B0F-6BBA-5547-8181-6BD49911C771}"/>
    <hyperlink ref="B211" r:id="rId1683" display="https://www.ncbi.nlm.nih.gov/gene/9937" xr:uid="{487E6975-6504-3E48-94F3-021F48474B95}"/>
    <hyperlink ref="B208" r:id="rId1684" display="https://www.ncbi.nlm.nih.gov/gene/1612" xr:uid="{B622B291-FC84-A64D-83FA-B2CFDA8D3C27}"/>
    <hyperlink ref="B210" r:id="rId1685" display="https://www.ncbi.nlm.nih.gov/gene/1616" xr:uid="{DBC3BE01-26DF-4645-AC96-80593BFC73BF}"/>
    <hyperlink ref="B209" r:id="rId1686" display="https://www.ncbi.nlm.nih.gov/gene/1613" xr:uid="{7886B5BC-42B8-7346-9624-FB2824A73F91}"/>
    <hyperlink ref="B207" r:id="rId1687" display="https://www.ncbi.nlm.nih.gov/gene/51339" xr:uid="{465BB9A7-7D5F-0947-A895-0D28152D7A98}"/>
    <hyperlink ref="B136" r:id="rId1688" display="https://www.ncbi.nlm.nih.gov/gene/3491" xr:uid="{4644816C-8215-984D-B82D-A7E0187F0B7D}"/>
    <hyperlink ref="B206" r:id="rId1689" display="https://www.ncbi.nlm.nih.gov/gene/1571" xr:uid="{C4733F92-C00D-B346-A19E-5A398154CF25}"/>
    <hyperlink ref="B205" r:id="rId1690" display="https://www.ncbi.nlm.nih.gov/gene/1545" xr:uid="{3A5ED0A9-A432-114E-9683-249E54D42A0D}"/>
    <hyperlink ref="B204" r:id="rId1691" display="https://www.ncbi.nlm.nih.gov/gene/7852" xr:uid="{E827E50E-E838-CA4E-9D98-E605683B3042}"/>
    <hyperlink ref="B203" r:id="rId1692" display="https://www.ncbi.nlm.nih.gov/gene/3576" xr:uid="{373A81C3-972D-9849-8530-693B8C62086C}"/>
    <hyperlink ref="B202" r:id="rId1693" display="https://www.ncbi.nlm.nih.gov/gene/6387" xr:uid="{E61B9360-500D-D842-BA3A-A099749C3969}"/>
    <hyperlink ref="B201" r:id="rId1694" display="https://www.ncbi.nlm.nih.gov/gene/3627" xr:uid="{C73D31F0-1718-DF44-BFF9-3E4D0E4CACD1}"/>
    <hyperlink ref="B200" r:id="rId1695" display="https://www.ncbi.nlm.nih.gov/gene/50624" xr:uid="{B3039478-3324-FF46-B6B2-8C47587F1469}"/>
    <hyperlink ref="B199" r:id="rId1696" display="https://www.ncbi.nlm.nih.gov/gene/8451" xr:uid="{5E6B6A0F-52C1-8447-9D3D-1331B13EEB4D}"/>
    <hyperlink ref="B198" r:id="rId1697" display="https://www.ncbi.nlm.nih.gov/gene/8452" xr:uid="{694B9C20-E421-1946-9E15-F8358C92FFAA}"/>
    <hyperlink ref="B197" r:id="rId1698" display="https://www.ncbi.nlm.nih.gov/gene/79004" xr:uid="{6F04C124-6C6C-2A42-B308-2D9AB3538BF1}"/>
    <hyperlink ref="B196" r:id="rId1699" display="https://www.ncbi.nlm.nih.gov/gene/1499" xr:uid="{07530561-FF42-7147-BE43-F8BB62894D0D}"/>
    <hyperlink ref="B195" r:id="rId1700" display="https://www.ncbi.nlm.nih.gov/gene/1495" xr:uid="{B885181B-433A-7844-B5A6-611B1A4C402A}"/>
    <hyperlink ref="B194" r:id="rId1701" display="https://www.ncbi.nlm.nih.gov/gene/1436" xr:uid="{942F059E-4DF1-724B-A943-842CC9461B49}"/>
    <hyperlink ref="B193" r:id="rId1702" display="https://www.ncbi.nlm.nih.gov/gene/1435" xr:uid="{469A3B4E-EEF4-3840-A226-4E90D27D2B1E}"/>
    <hyperlink ref="B192" r:id="rId1703" display="https://www.ncbi.nlm.nih.gov/gene/1410" xr:uid="{0F7210A5-D83A-7848-B12E-F66948DD5EED}"/>
    <hyperlink ref="B191" r:id="rId1704" display="https://www.ncbi.nlm.nih.gov/gene/1385" xr:uid="{0570908E-B996-C241-8320-CA598E6E4336}"/>
    <hyperlink ref="B190" r:id="rId1705" display="https://www.ncbi.nlm.nih.gov/gene/1376" xr:uid="{C28F5129-ABB5-D24C-9009-33C76F3DFBF2}"/>
    <hyperlink ref="B189" r:id="rId1706" display="https://www.ncbi.nlm.nih.gov/gene/1347" xr:uid="{FFEAABE4-00DC-714C-B25C-50FD977C6098}"/>
    <hyperlink ref="B188" r:id="rId1707" display="https://www.ncbi.nlm.nih.gov/gene/10063" xr:uid="{5FE9AA81-96B5-C24E-B0D7-1B554A910B1D}"/>
    <hyperlink ref="B187" r:id="rId1708" display="https://www.ncbi.nlm.nih.gov/gene/1293" xr:uid="{73CDB8B8-6824-FB4E-836C-FB69E15AAC03}"/>
    <hyperlink ref="B186" r:id="rId1709" display="https://www.ncbi.nlm.nih.gov/gene/1281" xr:uid="{46986D5E-0F41-D441-A081-BD1D7A659D2D}"/>
    <hyperlink ref="B184" r:id="rId1710" display="https://www.ncbi.nlm.nih.gov/gene/1301" xr:uid="{D1B7B239-7CB6-954B-B38A-A28354588B5D}"/>
    <hyperlink ref="B185" r:id="rId1711" display="https://www.ncbi.nlm.nih.gov/gene/1277" xr:uid="{80FB9185-3671-5E4A-A984-E0301EC41310}"/>
    <hyperlink ref="B183" r:id="rId1712" display="https://www.ncbi.nlm.nih.gov/gene/1191" xr:uid="{21EC0FA3-FA56-2E4E-A86C-A36B82933A7C}"/>
    <hyperlink ref="B182" r:id="rId1713" display="https://www.ncbi.nlm.nih.gov/gene/81037" xr:uid="{9891501C-4D57-9B43-82B5-315C37433302}"/>
    <hyperlink ref="B181" r:id="rId1714" display="https://www.ncbi.nlm.nih.gov/gene/9575" xr:uid="{1E2D3F96-DFFA-5A4F-A289-06C17476ADF3}"/>
    <hyperlink ref="B180" r:id="rId1715" display="https://www.ncbi.nlm.nih.gov/gene/1201" xr:uid="{E4E2DF35-EAE7-A44D-8975-D6EDB412A636}"/>
    <hyperlink ref="B179" r:id="rId1716" display="https://www.ncbi.nlm.nih.gov/gene/1192" xr:uid="{3C3D4600-F602-6243-A490-EDF6F57A7A6C}"/>
    <hyperlink ref="B178" r:id="rId1717" display="https://www.ncbi.nlm.nih.gov/gene/1366" xr:uid="{F5E6859F-92F4-BC4A-B7C2-59847B5B8E2F}"/>
    <hyperlink ref="B177" r:id="rId1718" display="https://www.ncbi.nlm.nih.gov/gene/1364" xr:uid="{D5DE030B-07F6-4B4D-BB91-5C2E0A00B793}"/>
    <hyperlink ref="B176" r:id="rId1719" display="https://www.ncbi.nlm.nih.gov/gene/1365" xr:uid="{8F853305-3D82-F143-9E3D-84C6699E434B}"/>
    <hyperlink ref="B175" r:id="rId1720" display="https://www.ncbi.nlm.nih.gov/gene/9076" xr:uid="{2EDB165F-353C-0B4C-98B2-9FE988C29497}"/>
    <hyperlink ref="B174" r:id="rId1721" display="https://www.ncbi.nlm.nih.gov/gene/57650" xr:uid="{AD6D522D-1202-5F4A-AB38-905CEB848C97}"/>
    <hyperlink ref="B173" r:id="rId1722" display="https://www.ncbi.nlm.nih.gov/gene/1147" xr:uid="{7C4E83DE-7439-5645-83FF-A70A9381B6E0}"/>
    <hyperlink ref="B172" r:id="rId1723" display="https://www.ncbi.nlm.nih.gov/gene/25978" xr:uid="{A959D0A9-CF65-004B-966E-9FC5DD33CD21}"/>
    <hyperlink ref="B171" r:id="rId1724" display="https://www.ncbi.nlm.nih.gov/gene/11200" xr:uid="{A3128498-AA13-5344-91D7-FFF5C12FA050}"/>
    <hyperlink ref="B170" r:id="rId1725" display="https://www.ncbi.nlm.nih.gov/gene/1111" xr:uid="{2BF45850-7ED1-D64A-883F-088794665CA6}"/>
    <hyperlink ref="B169" r:id="rId1726" display="https://www.ncbi.nlm.nih.gov/gene/1108" xr:uid="{FE3BC70D-DE9F-9C49-9C8D-696783DCA225}"/>
    <hyperlink ref="B168" r:id="rId1727" display="https://www.ncbi.nlm.nih.gov/gene/8837" xr:uid="{B5016C4A-FDC3-AD47-A165-042DB45AF7AC}"/>
    <hyperlink ref="B167" r:id="rId1728" display="https://www.ncbi.nlm.nih.gov/gene/1051" xr:uid="{3848AF60-7AEF-DD40-B028-8672D8D81589}"/>
    <hyperlink ref="B166" r:id="rId1729" display="https://www.ncbi.nlm.nih.gov/gene/1031" xr:uid="{1940B106-7355-0843-843C-1F46ECB1058B}"/>
    <hyperlink ref="B165" r:id="rId1730" display="https://www.ncbi.nlm.nih.gov/gene/1029" xr:uid="{DC4727C1-1E0B-A94C-9627-DA0E3CB8824F}"/>
    <hyperlink ref="B164" r:id="rId1731" display="https://www.ncbi.nlm.nih.gov/gene/1028" xr:uid="{E92FC610-0EFC-5C48-9A4A-31A2A366C261}"/>
    <hyperlink ref="B163" r:id="rId1732" display="https://www.ncbi.nlm.nih.gov/gene/1027" xr:uid="{01C1370D-A8C5-B849-ABD5-D98E5623F921}"/>
    <hyperlink ref="B162" r:id="rId1733" display="https://www.ncbi.nlm.nih.gov/gene/1026" xr:uid="{70239D08-30F5-4140-A5BB-5E2373F26BD3}"/>
    <hyperlink ref="B161" r:id="rId1734" display="https://www.ncbi.nlm.nih.gov/gene/1022" xr:uid="{1F408C75-A998-E343-BE22-600A79ED1327}"/>
    <hyperlink ref="B160" r:id="rId1735" display="https://www.ncbi.nlm.nih.gov/gene/1020" xr:uid="{AB0210EE-734D-6542-8A35-8E3D0016FF95}"/>
    <hyperlink ref="B159" r:id="rId1736" display="https://www.ncbi.nlm.nih.gov/gene/1019" xr:uid="{F75770BF-45ED-9048-A5A0-C0DE34D1DF92}"/>
    <hyperlink ref="B158" r:id="rId1737" display="https://www.ncbi.nlm.nih.gov/gene/1017" xr:uid="{8C7F27BF-FEF2-874D-AE8E-BB6A411E080B}"/>
    <hyperlink ref="B157" r:id="rId1738" display="https://www.ncbi.nlm.nih.gov/gene/51755" xr:uid="{C2D17BBC-AC9C-3C42-832E-9D10A07BE4BA}"/>
    <hyperlink ref="B156" r:id="rId1739" display="https://www.ncbi.nlm.nih.gov/gene/1000" xr:uid="{69A2B477-EB12-D74F-95CF-A39456D61DC7}"/>
    <hyperlink ref="B155" r:id="rId1740" display="https://www.ncbi.nlm.nih.gov/gene/999" xr:uid="{67675E89-A954-704E-9396-A5ED5A0ACC71}"/>
    <hyperlink ref="B154" r:id="rId1741" display="https://www.ncbi.nlm.nih.gov/gene/64866" xr:uid="{FA12808F-701A-9340-9C59-A80C89CDC729}"/>
    <hyperlink ref="B153" r:id="rId1742" display="https://www.ncbi.nlm.nih.gov/gene/8317" xr:uid="{92BF1FC5-1835-E447-B2BB-CCF30B8B1511}"/>
    <hyperlink ref="B152" r:id="rId1743" display="https://www.ncbi.nlm.nih.gov/gene/998" xr:uid="{FD8C9AEC-F0D5-9246-9B03-824E4D80AEF0}"/>
    <hyperlink ref="B151" r:id="rId1744" display="https://www.ncbi.nlm.nih.gov/gene/11140" xr:uid="{B4BBE2F3-FC19-E240-8732-60FD3E3F6E04}"/>
    <hyperlink ref="B150" r:id="rId1745" display="https://www.ncbi.nlm.nih.gov/gene/926" xr:uid="{F0CCE818-5549-744F-9A39-15A728983BE5}"/>
    <hyperlink ref="B149" r:id="rId1746" display="https://www.ncbi.nlm.nih.gov/gene/925" xr:uid="{89B46E64-ED85-014F-8ECA-32456B3F1870}"/>
    <hyperlink ref="B148" r:id="rId1747" display="https://www.ncbi.nlm.nih.gov/gene/1604" xr:uid="{948A0AD6-3CCA-964A-A0E5-B4C335594750}"/>
    <hyperlink ref="B147" r:id="rId1748" display="https://www.ncbi.nlm.nih.gov/gene/960" xr:uid="{304D33E7-560B-A34A-93F6-7166FAC3BAE0}"/>
    <hyperlink ref="B146" r:id="rId1749" display="https://www.ncbi.nlm.nih.gov/gene/959" xr:uid="{3C70D8D7-4A42-AF4C-8497-FCF9240F58CE}"/>
    <hyperlink ref="B145" r:id="rId1750" display="https://www.ncbi.nlm.nih.gov/gene/958" xr:uid="{A886F432-E32F-A84D-A486-CC6DBED21C25}"/>
    <hyperlink ref="B144" r:id="rId1751" display="https://www.ncbi.nlm.nih.gov/gene/29126" xr:uid="{2A5852E9-8846-5642-92F2-8AC3F55BE8AA}"/>
    <hyperlink ref="B143" r:id="rId1752" display="https://www.ncbi.nlm.nih.gov/gene/100133941" xr:uid="{A9B5B633-19B0-9E48-B056-7EA6BF0138C0}"/>
    <hyperlink ref="B142" r:id="rId1753" display="https://www.ncbi.nlm.nih.gov/gene/10803" xr:uid="{3E5AE588-15B7-A947-89F2-FB6C55A56056}"/>
    <hyperlink ref="B141" r:id="rId1754" display="https://www.ncbi.nlm.nih.gov/gene/10983" xr:uid="{3DB76793-21BA-2143-BE3A-B9B0BED5C16B}"/>
    <hyperlink ref="B140" r:id="rId1755" display="https://www.ncbi.nlm.nih.gov/gene/898" xr:uid="{E4685B94-FB1D-B54E-91CF-6BC1F9A6D1B5}"/>
    <hyperlink ref="B139" r:id="rId1756" display="https://www.ncbi.nlm.nih.gov/gene/595" xr:uid="{07239D53-5EDE-0742-82AB-670C47A52561}"/>
    <hyperlink ref="B138" r:id="rId1757" display="https://www.ncbi.nlm.nih.gov/gene/890" xr:uid="{0821C834-29FA-5E48-B4A8-1779D12C68EE}"/>
    <hyperlink ref="B137" r:id="rId1758" display="https://www.ncbi.nlm.nih.gov/gene/1490" xr:uid="{1CBE18C7-4E7F-D34B-B23A-DAD91E45B64B}"/>
    <hyperlink ref="B135" r:id="rId1759" display="https://www.ncbi.nlm.nih.gov/gene/6352" xr:uid="{BC95F93F-905B-0840-9D15-A89DCF1D29F5}"/>
    <hyperlink ref="B134" r:id="rId1760" display="https://www.ncbi.nlm.nih.gov/gene/6370" xr:uid="{3A2A3CC2-4DC0-9949-81A1-A03030113B11}"/>
    <hyperlink ref="B133" r:id="rId1761" display="https://www.ncbi.nlm.nih.gov/gene/6347" xr:uid="{47D1699F-2B18-6A4C-8285-1280A7AE2C0D}"/>
    <hyperlink ref="B132" r:id="rId1762" display="https://www.ncbi.nlm.nih.gov/gene/26112" xr:uid="{85161E89-A839-1C4F-857A-5EE4D27E7223}"/>
    <hyperlink ref="B131" r:id="rId1763" display="https://www.ncbi.nlm.nih.gov/gene/875" xr:uid="{E1D8876D-23B6-F64F-9562-6C1302FF94F2}"/>
    <hyperlink ref="B130" r:id="rId1764" display="https://www.ncbi.nlm.nih.gov/gene/112464" xr:uid="{EFDA59E6-E447-B94B-B892-259D36E5D51A}"/>
    <hyperlink ref="B129" r:id="rId1765" display="https://www.ncbi.nlm.nih.gov/gene/857" xr:uid="{F341C5DB-C466-3843-9C98-EF55EF2660D8}"/>
    <hyperlink ref="B128" r:id="rId1766" display="https://www.ncbi.nlm.nih.gov/gene/842" xr:uid="{A382FB59-480E-5A4C-81FE-F555E58F80AF}"/>
    <hyperlink ref="B127" r:id="rId1767" display="https://www.ncbi.nlm.nih.gov/gene/841" xr:uid="{6F5C76E7-4A68-8341-9624-32F476CB92CE}"/>
    <hyperlink ref="B126" r:id="rId1768" display="https://www.ncbi.nlm.nih.gov/gene/840" xr:uid="{EEB42ACD-563C-1748-B26F-43FD46A43A4D}"/>
    <hyperlink ref="B125" r:id="rId1769" display="https://www.ncbi.nlm.nih.gov/gene/839" xr:uid="{68024A18-08F7-274F-AB16-73633574EA10}"/>
    <hyperlink ref="B124" r:id="rId1770" display="https://www.ncbi.nlm.nih.gov/gene/837" xr:uid="{56229B3C-18B4-964A-909C-C2B6F1486C04}"/>
    <hyperlink ref="B123" r:id="rId1771" display="https://www.ncbi.nlm.nih.gov/gene/836" xr:uid="{133F0378-E659-5745-843C-82F73FEF651B}"/>
    <hyperlink ref="B122" r:id="rId1772" display="https://www.ncbi.nlm.nih.gov/gene/835" xr:uid="{275B3BD8-89E4-8446-84FA-C6E1119406B2}"/>
    <hyperlink ref="B121" r:id="rId1773" display="https://www.ncbi.nlm.nih.gov/gene/23581" xr:uid="{4A6A3623-0EA5-D441-9FF9-341BEEF3A2FC}"/>
    <hyperlink ref="B120" r:id="rId1774" display="https://www.ncbi.nlm.nih.gov/gene/100506742" xr:uid="{9802FC89-D96B-AC4F-AAFE-462FFA273330}"/>
    <hyperlink ref="B119" r:id="rId1775" display="https://www.ncbi.nlm.nih.gov/gene/29775" xr:uid="{58434A64-7E39-3C41-97B8-907506F087C1}"/>
    <hyperlink ref="B117" r:id="rId1776" display="https://www.ncbi.nlm.nih.gov/gene/823" xr:uid="{E9BD8E63-ACD2-4140-BADF-78D23420DBA8}"/>
    <hyperlink ref="B116" r:id="rId1777" display="https://www.ncbi.nlm.nih.gov/gene/817" xr:uid="{7085D82F-7F30-6D4B-951B-837238D82059}"/>
    <hyperlink ref="B118" r:id="rId1778" display="https://www.ncbi.nlm.nih.gov/gene/826" xr:uid="{906F4898-2DAB-5847-BC28-F379FE7D5F4E}"/>
    <hyperlink ref="B115" r:id="rId1779" display="https://www.ncbi.nlm.nih.gov/gene/790" xr:uid="{7F819370-3463-1B4B-978C-F329B5AC6AE4}"/>
    <hyperlink ref="B114" r:id="rId1780" display="https://www.ncbi.nlm.nih.gov/gene/708" xr:uid="{A2166DB6-9253-FB44-9EF4-0783ED2B12AD}"/>
    <hyperlink ref="B113" r:id="rId1781" display="https://www.ncbi.nlm.nih.gov/gene/682" xr:uid="{9402E78B-A74E-0245-A433-3ADE3F492348}"/>
    <hyperlink ref="B112" r:id="rId1782" display="https://www.ncbi.nlm.nih.gov/gene/83990" xr:uid="{BD8F13A1-4F1A-7D45-84AD-C4366CF863A7}"/>
    <hyperlink ref="B111" r:id="rId1783" display="https://www.ncbi.nlm.nih.gov/gene/65980" xr:uid="{79CD7D6E-A726-ED4B-BE5D-BDEED0E622FA}"/>
    <hyperlink ref="B110" r:id="rId1784" display="https://www.ncbi.nlm.nih.gov/gene/675" xr:uid="{CD1336A5-C91A-CF4D-BF5A-3BEE537A43FA}"/>
    <hyperlink ref="B109" r:id="rId1785" display="https://www.ncbi.nlm.nih.gov/gene/672" xr:uid="{8CB2D883-EE13-C94B-8C2B-C1C3A9025BD4}"/>
    <hyperlink ref="B108" r:id="rId1786" display="https://www.ncbi.nlm.nih.gov/gene/666" xr:uid="{70717D2C-77B0-CD4A-A704-1092B1FA82DB}"/>
    <hyperlink ref="B107" r:id="rId1787" display="https://www.ncbi.nlm.nih.gov/gene/664" xr:uid="{E69D3C44-47F5-6D45-BD0D-57CF611214D9}"/>
    <hyperlink ref="B106" r:id="rId1788" display="https://www.ncbi.nlm.nih.gov/gene/657" xr:uid="{17C2BE8E-77FE-AE4B-B57B-5858F2B6EF7C}"/>
    <hyperlink ref="B105" r:id="rId1789" display="https://www.ncbi.nlm.nih.gov/gene/652" xr:uid="{52C203AB-FBED-814C-A36A-2C519D1CC2C3}"/>
    <hyperlink ref="B104" r:id="rId1790" display="https://www.ncbi.nlm.nih.gov/gene/648" xr:uid="{1BC65778-990B-AB45-8407-5EEBCA0ED5A2}"/>
    <hyperlink ref="B103" r:id="rId1791" display="https://www.ncbi.nlm.nih.gov/gene/641" xr:uid="{D7A28493-8205-594E-B782-042C6070A16E}"/>
    <hyperlink ref="B102" r:id="rId1792" display="https://www.ncbi.nlm.nih.gov/gene/79444" xr:uid="{05AE0222-698F-5846-8C5A-E16ED99BF5BA}"/>
    <hyperlink ref="B101" r:id="rId1793" display="https://www.ncbi.nlm.nih.gov/gene/332" xr:uid="{803A68C7-A378-A24B-B648-D0215291BEFE}"/>
    <hyperlink ref="B100" r:id="rId1794" display="https://www.ncbi.nlm.nih.gov/gene/330" xr:uid="{A8933FBA-0701-3C46-8E19-882879598146}"/>
    <hyperlink ref="B99" r:id="rId1795" display="https://www.ncbi.nlm.nih.gov/gene/329" xr:uid="{588AEE1A-8358-3646-B1C8-36F393D226EA}"/>
    <hyperlink ref="B98" r:id="rId1796" display="https://www.ncbi.nlm.nih.gov/gene/274" xr:uid="{3AD32A0E-960B-2B47-B871-7304791105DE}"/>
    <hyperlink ref="B97" r:id="rId1797" display="https://www.ncbi.nlm.nih.gov/gene/638" xr:uid="{87D2402D-C69C-A542-906D-086339B19181}"/>
    <hyperlink ref="B96" r:id="rId1798" display="https://www.ncbi.nlm.nih.gov/gene/637" xr:uid="{14ABD457-C1E3-9E4B-9A16-26CA994B399F}"/>
    <hyperlink ref="B95" r:id="rId1799" display="https://www.ncbi.nlm.nih.gov/gene/8553" xr:uid="{FC96B57A-C655-EF4F-B9E9-7CBA6B182EC3}"/>
    <hyperlink ref="B94" r:id="rId1800" display="https://www.ncbi.nlm.nih.gov/gene/27018" xr:uid="{79CA2D80-F7C5-3E4D-8ADD-7B876D158756}"/>
    <hyperlink ref="B93" r:id="rId1801" display="https://www.ncbi.nlm.nih.gov/gene/8678" xr:uid="{CE7BAD1A-FED0-744F-BFEB-3ED3D775A77A}"/>
    <hyperlink ref="B92" r:id="rId1802" display="https://www.ncbi.nlm.nih.gov/gene/599" xr:uid="{8836BC3A-E54C-C74C-843B-CF5610575EE1}"/>
    <hyperlink ref="B91" r:id="rId1803" display="https://www.ncbi.nlm.nih.gov/gene/10018" xr:uid="{0417F420-A16B-5245-B614-A38E1E61221D}"/>
    <hyperlink ref="B90" r:id="rId1804" display="https://www.ncbi.nlm.nih.gov/gene/598" xr:uid="{2910C16A-A642-584D-AD97-3F9467D00357}"/>
    <hyperlink ref="B88" r:id="rId1805" display="https://www.ncbi.nlm.nih.gov/gene/596" xr:uid="{DDCE3335-C543-044E-B3B6-C1C4E0A14B7A}"/>
    <hyperlink ref="B87" r:id="rId1806" display="https://www.ncbi.nlm.nih.gov/gene/586" xr:uid="{A4F5594F-6B84-8A4D-9E8D-B989AF1128B9}"/>
    <hyperlink ref="B86" r:id="rId1807" display="https://www.ncbi.nlm.nih.gov/gene/27113" xr:uid="{F2381737-D40B-C548-9753-486719B5EE31}"/>
    <hyperlink ref="B85" r:id="rId1808" display="https://www.ncbi.nlm.nih.gov/gene/581" xr:uid="{166ABD52-1D46-E04A-A99E-CDF2DBCA083D}"/>
    <hyperlink ref="B84" r:id="rId1809" display="https://www.ncbi.nlm.nih.gov/gene/580" xr:uid="{C7683F8C-556E-424C-B0A3-173DD79B99D8}"/>
    <hyperlink ref="B83" r:id="rId1810" display="https://www.ncbi.nlm.nih.gov/gene/8314" xr:uid="{753D6F4F-2038-1744-9E71-CCD9D44CBB1C}"/>
    <hyperlink ref="B82" r:id="rId1811" display="https://www.ncbi.nlm.nih.gov/gene/578" xr:uid="{0B489521-49DE-F640-B22E-893175543636}"/>
    <hyperlink ref="B81" r:id="rId1812" display="https://www.ncbi.nlm.nih.gov/gene/9531" xr:uid="{698A2D90-6B8E-A446-A08B-C11EA5C9B5F2}"/>
    <hyperlink ref="B80" r:id="rId1813" display="https://www.ncbi.nlm.nih.gov/gene/572" xr:uid="{B0001EBE-2C17-6F46-913E-B5F7F6289025}"/>
    <hyperlink ref="B79" r:id="rId1814" display="https://www.ncbi.nlm.nih.gov/gene/558" xr:uid="{FA51F20F-19DD-974A-B67D-AF65C3010384}"/>
    <hyperlink ref="B78" r:id="rId1815" display="https://www.ncbi.nlm.nih.gov/gene/6790" xr:uid="{97ED065D-029E-0945-98D8-71A31FA538CA}"/>
    <hyperlink ref="B77" r:id="rId1816" display="https://www.ncbi.nlm.nih.gov/gene/84126" xr:uid="{54ACA3D1-2D86-FE47-9A2D-81745F3591DF}"/>
    <hyperlink ref="B76" r:id="rId1817" display="https://www.ncbi.nlm.nih.gov/gene/545" xr:uid="{C65A8D15-F521-5C4C-8068-31FB487B5568}"/>
    <hyperlink ref="B75" r:id="rId1818" display="https://www.ncbi.nlm.nih.gov/gene/540" xr:uid="{07911B67-CB16-A94B-B977-3B831F810D10}"/>
    <hyperlink ref="B74" r:id="rId1819" display="https://www.ncbi.nlm.nih.gov/gene/538" xr:uid="{9865965A-DEC5-4E41-8782-A532C7470477}"/>
    <hyperlink ref="B68" r:id="rId1820" display="https://www.ncbi.nlm.nih.gov/gene/533" xr:uid="{CA446EED-4BF2-7E47-A26C-6E82BDDF0F40}"/>
    <hyperlink ref="B73" r:id="rId1821" display="https://www.ncbi.nlm.nih.gov/gene/529" xr:uid="{4E6598CD-94F5-E147-B160-DAA1EEF96127}"/>
    <hyperlink ref="B69" r:id="rId1822" display="https://www.ncbi.nlm.nih.gov/gene/9114" xr:uid="{DC1C3108-F099-F04B-8280-2659C4B27EB0}"/>
    <hyperlink ref="B72" r:id="rId1823" display="https://www.ncbi.nlm.nih.gov/gene/528" xr:uid="{B3E96C90-43DF-444E-A367-E03C685B0676}"/>
    <hyperlink ref="B71" r:id="rId1824" display="https://www.ncbi.nlm.nih.gov/gene/526" xr:uid="{E4033EA9-C75A-0345-A924-7E539F640C36}"/>
    <hyperlink ref="B70" r:id="rId1825" display="https://www.ncbi.nlm.nih.gov/gene/523" xr:uid="{097C233E-8747-6641-8FA5-60723B020E09}"/>
    <hyperlink ref="B67" r:id="rId1826" display="https://www.ncbi.nlm.nih.gov/gene/481" xr:uid="{E31BB8B5-A92F-7C4C-8416-EBFB4F5337C0}"/>
    <hyperlink ref="B65" r:id="rId1827" display="https://www.ncbi.nlm.nih.gov/gene/23200" xr:uid="{33322F32-2543-1147-A686-BA8021A780D4}"/>
    <hyperlink ref="B64" r:id="rId1828" display="https://www.ncbi.nlm.nih.gov/gene/23300" xr:uid="{A956D43D-B705-F748-ACA6-ED35AD4ED7D4}"/>
    <hyperlink ref="B63" r:id="rId1829" display="https://www.ncbi.nlm.nih.gov/gene/472" xr:uid="{CF91F0C4-5880-E747-B77C-F0CFD11D7BBE}"/>
    <hyperlink ref="B62" r:id="rId1830" display="https://www.ncbi.nlm.nih.gov/gene/10533" xr:uid="{AC80DE1D-0E5E-484E-AA11-67E7B3553668}"/>
    <hyperlink ref="B61" r:id="rId1831" display="https://www.ncbi.nlm.nih.gov/gene/9474" xr:uid="{5F6588FB-25EF-994A-AB97-7A96ACA948CB}"/>
    <hyperlink ref="B60" r:id="rId1832" display="https://www.ncbi.nlm.nih.gov/gene/22863" xr:uid="{9E97A5B5-64C6-5A48-BBCB-EF0DBF12C1F7}"/>
    <hyperlink ref="B59" r:id="rId1833" display="https://www.ncbi.nlm.nih.gov/gene/9140" xr:uid="{2F26F9CD-1221-3A49-90A3-B581CD53F3AE}"/>
    <hyperlink ref="B57" r:id="rId1834" display="https://www.ncbi.nlm.nih.gov/gene/468" xr:uid="{D3E30976-0F0E-F447-BA98-66FF6B623864}"/>
    <hyperlink ref="B56" r:id="rId1835" display="https://www.ncbi.nlm.nih.gov/gene/467" xr:uid="{6C34D294-952E-4D44-B604-849F25B73D0F}"/>
    <hyperlink ref="B55" r:id="rId1836" display="https://www.ncbi.nlm.nih.gov/gene/1386" xr:uid="{486B5F8A-F6E6-374C-A3B9-D7505BEE916A}"/>
    <hyperlink ref="B54" r:id="rId1837" display="https://www.ncbi.nlm.nih.gov/gene/445" xr:uid="{1D53E8D1-2A11-C940-9DBC-72CCBBA5B5EE}"/>
    <hyperlink ref="B53" r:id="rId1838" display="https://www.ncbi.nlm.nih.gov/gene/405" xr:uid="{5ECD5859-BB3D-D345-8B07-57977435D58D}"/>
    <hyperlink ref="B52" r:id="rId1839" display="https://www.ncbi.nlm.nih.gov/gene/10550" xr:uid="{ED4D1D83-FC09-CE42-B821-487F7522D312}"/>
    <hyperlink ref="B51" r:id="rId1840" display="https://www.ncbi.nlm.nih.gov/gene/25820" xr:uid="{3932C1B2-40A7-1C43-9755-7C0E96D6B1FB}"/>
    <hyperlink ref="B50" r:id="rId1841" display="https://www.ncbi.nlm.nih.gov/gene/10620" xr:uid="{1C98C81A-B76F-CC41-BD8F-4B34E5EFEF5B}"/>
    <hyperlink ref="B49" r:id="rId1842" display="https://www.ncbi.nlm.nih.gov/gene/8289" xr:uid="{78F088EB-336E-1D4C-862F-60DF90860E6E}"/>
    <hyperlink ref="B48" r:id="rId1843" display="https://www.ncbi.nlm.nih.gov/gene/397" xr:uid="{16EAC963-AA55-994E-9AF9-82B5C012566F}"/>
    <hyperlink ref="B47" r:id="rId1844" display="https://www.ncbi.nlm.nih.gov/gene/374" xr:uid="{6AA80BBA-EB64-5644-8BB8-99AA5C8AF56E}"/>
    <hyperlink ref="B46" r:id="rId1845" display="https://www.ncbi.nlm.nih.gov/gene/359" xr:uid="{E33EE6B0-EFFD-9243-B790-A671D32573EC}"/>
    <hyperlink ref="B45" r:id="rId1846" display="https://www.ncbi.nlm.nih.gov/gene/328" xr:uid="{86A300E4-0861-B246-9E93-CEAFC45885C6}"/>
    <hyperlink ref="B44" r:id="rId1847" display="https://www.ncbi.nlm.nih.gov/gene/324" xr:uid="{37CA9254-6B52-984C-958A-7D3A61A029D4}"/>
    <hyperlink ref="B43" r:id="rId1848" display="https://www.ncbi.nlm.nih.gov/gene/317" xr:uid="{4777BBA6-876B-1241-9BA7-C5B17FDFFFA6}"/>
    <hyperlink ref="B42" r:id="rId1849" display="https://www.ncbi.nlm.nih.gov/gene/307" xr:uid="{5EB1CBCA-96BC-F343-9228-AE44AE68AB6F}"/>
    <hyperlink ref="B41" r:id="rId1850" display="https://www.ncbi.nlm.nih.gov/gene/306" xr:uid="{29840D60-C5C2-1041-B0D0-033DBC56D1AC}"/>
    <hyperlink ref="B40" r:id="rId1851" display="https://www.ncbi.nlm.nih.gov/gene/302" xr:uid="{33A74759-35B5-0A41-9FFB-13B9DE668956}"/>
    <hyperlink ref="B39" r:id="rId1852" display="https://www.ncbi.nlm.nih.gov/gene/27063" xr:uid="{CA6684D9-A475-A340-BBB6-0EFD9ABB5D1F}"/>
    <hyperlink ref="B38" r:id="rId1853" display="https://www.ncbi.nlm.nih.gov/gene/267" xr:uid="{571A457E-E6F2-E74E-8C25-19B06DA73836}"/>
    <hyperlink ref="B37" r:id="rId1854" display="https://www.ncbi.nlm.nih.gov/gene/55626" xr:uid="{13AF5534-1BB6-E845-89EE-52A4F0770C65}"/>
    <hyperlink ref="B36" r:id="rId1855" display="https://www.ncbi.nlm.nih.gov/gene/221120" xr:uid="{F0810F18-7771-D249-9210-4A7244563B8D}"/>
    <hyperlink ref="B35" r:id="rId1856" display="https://www.ncbi.nlm.nih.gov/gene/226" xr:uid="{D0790F07-CB86-E848-82D5-D306210E1EF6}"/>
    <hyperlink ref="B34" r:id="rId1857" display="https://www.ncbi.nlm.nih.gov/gene/218" xr:uid="{406BAA4F-78D7-B74D-A5C4-790DA0DE1C5B}"/>
    <hyperlink ref="B33" r:id="rId1858" display="https://www.ncbi.nlm.nih.gov/gene/216" xr:uid="{0D9D1D83-9236-0B44-BF5B-7AC3D7F45636}"/>
    <hyperlink ref="B32" r:id="rId1859" display="https://www.ncbi.nlm.nih.gov/gene/208" xr:uid="{7710881E-5209-6D49-BEA3-BB180D97E9D2}"/>
    <hyperlink ref="B31" r:id="rId1860" display="https://www.ncbi.nlm.nih.gov/gene/84335" xr:uid="{67B46B3C-F53D-9947-B54E-94BDF0F322DB}"/>
    <hyperlink ref="B30" r:id="rId1861" display="https://www.ncbi.nlm.nih.gov/gene/207" xr:uid="{0DA58B4B-5FD9-494C-ADAF-71D72F03ED60}"/>
    <hyperlink ref="B29" r:id="rId1862" display="https://www.ncbi.nlm.nih.gov/gene/8644" xr:uid="{80722666-9058-6745-9A8D-63189E4568C1}"/>
    <hyperlink ref="B28" r:id="rId1863" display="https://www.ncbi.nlm.nih.gov/gene/1646" xr:uid="{13C4BB8C-C75C-334E-8564-B9B312F40F79}"/>
    <hyperlink ref="B27" r:id="rId1864" display="https://www.ncbi.nlm.nih.gov/gene/1645" xr:uid="{24BE642A-ABB2-434F-A154-4B35C52C5752}"/>
    <hyperlink ref="B26" r:id="rId1865" display="https://www.ncbi.nlm.nih.gov/gene/57016" xr:uid="{CC8E34A8-FCE7-9940-90D3-952D77CE1EA5}"/>
    <hyperlink ref="B25" r:id="rId1866" display="https://www.ncbi.nlm.nih.gov/gene/9131" xr:uid="{FBFDB37A-C6D7-8741-823E-4B356CC3893F}"/>
    <hyperlink ref="B24" r:id="rId1867" display="https://www.ncbi.nlm.nih.gov/gene/155465" xr:uid="{2A8BA05A-08E8-EB44-B93E-5A5237A3952B}"/>
    <hyperlink ref="B23" r:id="rId1868" display="https://www.ncbi.nlm.nih.gov/gene/8754" xr:uid="{8449F80F-34A0-6E43-8F7C-8F579407A29C}"/>
    <hyperlink ref="B22" r:id="rId1869" display="https://www.ncbi.nlm.nih.gov/gene/6868" xr:uid="{2621256C-FE18-084C-812E-3E6E0B61CD91}"/>
    <hyperlink ref="B21" r:id="rId1870" display="https://www.ncbi.nlm.nih.gov/gene/102" xr:uid="{DDB96423-ACDD-D740-BFBC-4AC724589037}"/>
    <hyperlink ref="B20" r:id="rId1871" display="https://www.ncbi.nlm.nih.gov/gene/130399" xr:uid="{E0237D99-2079-144E-A48B-3BD5796B700E}"/>
    <hyperlink ref="B19" r:id="rId1872" display="https://www.ncbi.nlm.nih.gov/gene/81" xr:uid="{3D31A910-868B-4941-81AF-BBBAF863168A}"/>
    <hyperlink ref="B18" r:id="rId1873" display="https://www.ncbi.nlm.nih.gov/gene/59" xr:uid="{C512EDC1-8BBD-234C-9CEE-99D538F8E3B3}"/>
    <hyperlink ref="B17" r:id="rId1874" display="https://www.ncbi.nlm.nih.gov/gene/55902" xr:uid="{52071147-1B22-464E-9B15-B6135AD7D347}"/>
    <hyperlink ref="B15" r:id="rId1875" display="https://www.ncbi.nlm.nih.gov/gene/25" xr:uid="{65C4516C-DAB9-BB4C-9CAA-1C5EF39CB0D1}"/>
    <hyperlink ref="B14" r:id="rId1876" display="https://www.ncbi.nlm.nih.gov/gene/11057" xr:uid="{3A695A93-620A-D44E-8CBC-D3B2FFB5FBA9}"/>
    <hyperlink ref="B13" r:id="rId1877" display="https://www.ncbi.nlm.nih.gov/gene/9429" xr:uid="{585EAA7B-B9C5-A740-BEF5-1425BE18D188}"/>
    <hyperlink ref="B12" r:id="rId1878" display="https://www.ncbi.nlm.nih.gov/gene/10061" xr:uid="{CDBFE7EA-5E4F-544D-A2DA-80A975433992}"/>
    <hyperlink ref="B11" r:id="rId1879" display="https://www.ncbi.nlm.nih.gov/gene/225" xr:uid="{2BE82636-0620-F148-B793-B4E24BEC50A5}"/>
    <hyperlink ref="B10" r:id="rId1880" display="https://www.ncbi.nlm.nih.gov/gene/10057" xr:uid="{B9FCE237-AAE8-3646-8CFC-FC95E8C88F75}"/>
    <hyperlink ref="B9" r:id="rId1881" display="https://www.ncbi.nlm.nih.gov/gene/10257" xr:uid="{8FBA7598-D0BB-0D46-A5A6-C5EE998C3D18}"/>
    <hyperlink ref="B8" r:id="rId1882" display="https://www.ncbi.nlm.nih.gov/gene/8714" xr:uid="{29126A2E-3C6B-6C48-B09B-6D9203A21FC5}"/>
    <hyperlink ref="B7" r:id="rId1883" display="https://www.ncbi.nlm.nih.gov/gene/1244" xr:uid="{B6B49DE3-AA7D-BC4C-83EA-6375F17088EA}"/>
    <hyperlink ref="B6" r:id="rId1884" display="https://www.ncbi.nlm.nih.gov/gene/4363" xr:uid="{EB0E9F24-DDDA-8D4E-ACEC-870EBA37C80E}"/>
    <hyperlink ref="B5" r:id="rId1885" display="https://www.ncbi.nlm.nih.gov/gene/340273" xr:uid="{1D2E0BA3-7CF3-2A45-8918-FD186471D3CA}"/>
    <hyperlink ref="B4" r:id="rId1886" display="https://www.ncbi.nlm.nih.gov/gene/5243" xr:uid="{52C72307-E088-1F49-9F9C-B592ACD1F46E}"/>
    <hyperlink ref="B3" r:id="rId1887" display="https://www.ncbi.nlm.nih.gov/gene/10351" xr:uid="{FD13C99F-B548-5541-BB4E-BD74E31C9B05}"/>
    <hyperlink ref="B2" r:id="rId1888" display="https://www.ncbi.nlm.nih.gov/gene/26574" xr:uid="{511FC614-A90B-C942-A552-F1FE5E7F5A0A}"/>
    <hyperlink ref="C703" r:id="rId1889" display="https://www.uniprot.org/uniprot/Q01201" xr:uid="{597714BA-396F-AE48-9242-BB6435FAEE68}"/>
    <hyperlink ref="C374" r:id="rId1890" display="https://www.uniprot.org/uniprot/P26583" xr:uid="{AB426273-3A31-7842-AEB7-7DD2E2770095}"/>
    <hyperlink ref="C351" r:id="rId1891" display="https://www.uniprot.org/uniprot/P48637" xr:uid="{E49B8B79-30D5-E145-BF27-F37F6B0D449F}"/>
    <hyperlink ref="C763" r:id="rId1892" display="https://www.uniprot.org/uniprot/O15245" xr:uid="{7DEF3961-A380-FF4B-A19F-CC2DC214D47D}"/>
    <hyperlink ref="C881" r:id="rId1893" display="https://www.uniprot.org/uniprot/Q13509" xr:uid="{B12653A2-FA42-034F-86F8-53EB50060E2B}"/>
    <hyperlink ref="C141" r:id="rId1894" display="https://www.uniprot.org/uniprot/Q14094" xr:uid="{57095217-D002-A941-AC00-A8B66BB47C06}"/>
    <hyperlink ref="C456" r:id="rId1895" display="https://www.uniprot.org/uniprot/P01130" xr:uid="{F55AE155-01AD-EC45-BCCA-C22EFE57FEC2}"/>
    <hyperlink ref="C283" r:id="rId1896" display="https://www.uniprot.org/uniprot/Q5T0W9" xr:uid="{93532960-3D36-7144-949D-97D7F9706EA7}"/>
    <hyperlink ref="C778" r:id="rId1897" display="https://www.uniprot.org/uniprot/O14745" xr:uid="{098B4AB4-024D-7840-A8C6-EF1CA5E7222B}"/>
    <hyperlink ref="C263" r:id="rId1898" display="https://www.uniprot.org/uniprot/P29317" xr:uid="{2D03E509-37B5-D14E-82B4-B83B591015DF}"/>
    <hyperlink ref="C343" r:id="rId1899" display="https://www.uniprot.org/uniprot/Q8NFJ5" xr:uid="{C5440211-5FCB-384D-BAD9-6DB0175AD788}"/>
    <hyperlink ref="C233" r:id="rId1900" display="https://www.uniprot.org/uniprot/O14641" xr:uid="{84990BC0-1EFF-B240-896C-F6A310A0C8A6}"/>
    <hyperlink ref="C582" r:id="rId1901" display="https://www.uniprot.org/uniprot/Q13153" xr:uid="{D7269C1B-CF08-7C4F-81B0-9521FFFEC1A8}"/>
    <hyperlink ref="C213" r:id="rId1902" display="https://www.uniprot.org/uniprot/Q96SD1" xr:uid="{3CADEEB3-44AD-894A-BC4F-8061F66711C6}"/>
    <hyperlink ref="C389" r:id="rId1903" display="https://www.uniprot.org/uniprot/P0DMV8" xr:uid="{52AFBA14-2FB6-0B44-B825-E71A233837E2}"/>
    <hyperlink ref="C160" r:id="rId1904" display="https://www.uniprot.org/uniprot/Q00535" xr:uid="{E3D31B97-763A-914F-B6FD-5058B0E0DD5C}"/>
    <hyperlink ref="C118" r:id="rId1905" display="https://www.uniprot.org/uniprot/P04632" xr:uid="{06B48D7F-8979-954B-BCF8-BA9B00D57A45}"/>
    <hyperlink ref="C97" r:id="rId1906" display="https://www.uniprot.org/uniprot/Q13323" xr:uid="{66D02F84-AB9D-3542-B102-716C710E0FD4}"/>
    <hyperlink ref="C513" r:id="rId1907" display="https://www.uniprot.org/uniprot/O60882" xr:uid="{70E04498-F048-6149-805A-8AA1778D5963}"/>
    <hyperlink ref="C511" r:id="rId1908" display="https://www.uniprot.org/uniprot/Q99542" xr:uid="{4D534C09-DE13-DA4D-BD5B-753112274E10}"/>
    <hyperlink ref="C514" r:id="rId1909" display="https://www.uniprot.org/uniprot/P09237" xr:uid="{DEB65E95-1013-5246-8111-DCDCCB864C3E}"/>
    <hyperlink ref="C889" r:id="rId1910" display="https://www.uniprot.org/uniprot/Q16763" xr:uid="{7CF1592C-092E-664E-BE7B-4FAE4C79751B}"/>
    <hyperlink ref="C245" r:id="rId1911" display="https://www.uniprot.org/uniprot/Q9H6Z9" xr:uid="{E7256A96-58FB-5043-9BED-D4AB188E4BC2}"/>
    <hyperlink ref="C304" r:id="rId1912" display="https://www.uniprot.org/uniprot/P09038" xr:uid="{3546AF89-86BA-C84F-8D84-3BB5F387A307}"/>
    <hyperlink ref="C396" r:id="rId1913" display="https://www.uniprot.org/uniprot/P41134" xr:uid="{0821D114-6FCB-C947-8EFC-9B20E5D0E4D6}"/>
    <hyperlink ref="C679" r:id="rId1914" display="https://www.uniprot.org/uniprot/Q9NP72" xr:uid="{9BAB2CF2-1CF4-8F4B-90B4-E321822568D4}"/>
    <hyperlink ref="C720" r:id="rId1915" display="https://www.uniprot.org/uniprot/P51449" xr:uid="{7223CFA3-6EF7-DF47-808B-4928CDBDED18}"/>
    <hyperlink ref="C5" r:id="rId1916" display="https://www.uniprot.org/uniprot/Q2M3G0" xr:uid="{88822069-A59B-9F4B-8E34-3FE13888DB76}"/>
    <hyperlink ref="C409" r:id="rId1917" display="https://www.uniprot.org/uniprot/P01584" xr:uid="{68796191-1EDD-404F-9E9D-7A9D86165BEA}"/>
    <hyperlink ref="C412" r:id="rId1918" display="https://www.uniprot.org/uniprot/Q9H293" xr:uid="{2043F81A-1B07-4A4A-8F13-6141FD020887}"/>
    <hyperlink ref="C410" r:id="rId1919" display="https://www.uniprot.org/uniprot/Q9GZX6" xr:uid="{960E4913-1C80-BD44-9929-72CDE4BF44A5}"/>
    <hyperlink ref="C832" r:id="rId1920" display="https://www.uniprot.org/uniprot/Q6N021" xr:uid="{83CA26CF-A516-E54A-9254-2F5FEE0B9909}"/>
    <hyperlink ref="C407" r:id="rId1921" display="https://www.uniprot.org/uniprot/Q16552" xr:uid="{57DBAD28-6E69-2C49-970C-82CC37750169}"/>
    <hyperlink ref="C548" r:id="rId1922" display="https://www.uniprot.org/uniprot/Q9P0J0" xr:uid="{2AB5663D-1678-F047-A43D-7F3D6DFB6321}"/>
    <hyperlink ref="C201" r:id="rId1923" display="https://www.uniprot.org/uniprot/P02778" xr:uid="{DB2BF661-4F96-4441-B8D3-4F65BCEC1DCB}"/>
    <hyperlink ref="C901" r:id="rId1924" display="https://www.uniprot.org/uniprot/Q9P2H5" xr:uid="{FFA9D79E-34E8-054D-895E-BD59A129BCDE}"/>
    <hyperlink ref="C817" r:id="rId1925" display="https://www.uniprot.org/uniprot/Q86WV6" xr:uid="{C8341C17-99B0-B347-A43E-A5AFC215F32C}"/>
    <hyperlink ref="C130" r:id="rId1926" display="https://www.uniprot.org/uniprot/Q969G5" xr:uid="{818B67F5-ACE2-F64F-947D-151C8B0C51FC}"/>
    <hyperlink ref="C610" r:id="rId1927" display="https://www.uniprot.org/uniprot/O15055" xr:uid="{7698B597-52C1-F143-9C11-61BCABD00A7B}"/>
    <hyperlink ref="C573" r:id="rId1928" display="https://www.uniprot.org/uniprot/O60462" xr:uid="{ABC16634-C9F7-B042-98A8-0336E623BFA1}"/>
    <hyperlink ref="C137" r:id="rId1929" display="https://www.uniprot.org/uniprot/P29279" xr:uid="{84118090-0A61-CB45-9A9C-A5ED15E3569F}"/>
    <hyperlink ref="C41" r:id="rId1930" display="https://www.uniprot.org/uniprot/P12429" xr:uid="{BB45DFE0-E29E-9A4C-BF21-E6F7F7789A6F}"/>
    <hyperlink ref="C735" r:id="rId1931" display="https://www.uniprot.org/uniprot/P26447" xr:uid="{60C06CE8-2AD7-0640-B5E3-E6C78B73DB3D}"/>
    <hyperlink ref="C442" r:id="rId1932" display="https://www.uniprot.org/uniprot/O43474" xr:uid="{666677AE-A4D8-E14B-AC13-69F4E675EF64}"/>
    <hyperlink ref="C543" r:id="rId1933" display="https://www.uniprot.org/uniprot/Q99457" xr:uid="{40AE4CF0-F281-C747-801B-0D159D44FFE1}"/>
    <hyperlink ref="C838" r:id="rId1934" display="https://www.uniprot.org/uniprot/Q15582" xr:uid="{4178C771-1A10-2E42-B280-842158D1B5D7}"/>
    <hyperlink ref="C190" r:id="rId1935" display="https://www.uniprot.org/uniprot/P23786" xr:uid="{7BDDB9AE-0618-DA48-B1F5-69C824ACD856}"/>
    <hyperlink ref="C345" r:id="rId1936" display="https://www.uniprot.org/uniprot/P36969" xr:uid="{4B4F0EFD-AA09-7E45-B81D-FEC0A198D20F}"/>
    <hyperlink ref="C900" r:id="rId1937" display="https://www.uniprot.org/uniprot/Q9UPT9" xr:uid="{DC4062BD-B758-954A-825B-2684AA69085C}"/>
    <hyperlink ref="C189" r:id="rId1938" display="https://www.uniprot.org/uniprot/P14406" xr:uid="{AD21EF4A-CEA9-3643-A795-42755EA09AC5}"/>
    <hyperlink ref="C605" r:id="rId1939" display="https://www.uniprot.org/uniprot/O15530" xr:uid="{F6CD194E-FB4F-DD45-9860-62C3D4C2AA59}"/>
    <hyperlink ref="C604" r:id="rId1940" display="https://www.uniprot.org/uniprot/Q16654" xr:uid="{7E318B18-0228-A341-863D-5D040A3A07F8}"/>
    <hyperlink ref="C528" r:id="rId1941" display="https://www.uniprot.org/uniprot/P00414" xr:uid="{226BAE8F-B1A8-C341-B4F2-990FA36D818B}"/>
    <hyperlink ref="C757" r:id="rId1942" display="https://www.uniprot.org/uniprot/Q9H0K1" xr:uid="{A4DD7CBF-A84B-CD48-B101-B14B86F64EE0}"/>
    <hyperlink ref="C861" r:id="rId1943" display="https://www.uniprot.org/uniprot/Q9NP84" xr:uid="{159F65A8-C9F1-6E4E-93BC-153078B80C64}"/>
    <hyperlink ref="C613" r:id="rId1944" display="https://www.uniprot.org/uniprot/P00558" xr:uid="{381DF54F-8686-9D41-B557-4B5D8901F9D5}"/>
    <hyperlink ref="C102" r:id="rId1945" display="https://www.uniprot.org/uniprot/Q96CA5" xr:uid="{34818A85-08F3-4844-AB9D-A053764C7156}"/>
    <hyperlink ref="C884" r:id="rId1946" display="https://www.uniprot.org/uniprot/Q9BRA2" xr:uid="{D02D448B-602B-0147-A2B2-643B7B1A68C6}"/>
    <hyperlink ref="C928" r:id="rId1947" display="https://www.uniprot.org/uniprot/Q9BYJ9" xr:uid="{52F0FBB8-4052-7546-967C-DBED768EA8C2}"/>
    <hyperlink ref="C742" r:id="rId1948" display="https://www.uniprot.org/uniprot/Q14160" xr:uid="{EF2ED675-E91D-4741-B4E3-CE36F6A526A6}"/>
    <hyperlink ref="C609" r:id="rId1949" display="https://www.uniprot.org/uniprot/Q15121" xr:uid="{F939D1FE-D80C-6F41-99A1-735C7F8A8518}"/>
    <hyperlink ref="C198" r:id="rId1950" display="https://www.uniprot.org/uniprot/Q13618" xr:uid="{0F71D67B-3983-544E-8561-DF24EBB624C3}"/>
    <hyperlink ref="C492" r:id="rId1951" display="https://www.uniprot.org/uniprot/Q9NR56" xr:uid="{B4736B2C-A072-9F46-96EA-ED0C4335C831}"/>
    <hyperlink ref="C650" r:id="rId1952" display="https://www.uniprot.org/uniprot/O60437" xr:uid="{83DEF402-BD93-D946-91B6-A46238C701C8}"/>
    <hyperlink ref="C727" r:id="rId1953" display="https://www.uniprot.org/uniprot/Q15418" xr:uid="{2E706F55-1002-8B41-B16D-706E0EBAD9EF}"/>
    <hyperlink ref="C874" r:id="rId1954" display="https://ebi14.uniprot.org/uniprot/Q12933" xr:uid="{53E2F959-669E-F444-B09E-AE1FD0985DD1}"/>
    <hyperlink ref="C616" r:id="rId1955" display="https://www.uniprot.org/uniprot/O43175" xr:uid="{731B6ACF-31E4-DD4A-92DC-D2C82CE636E0}"/>
    <hyperlink ref="C329" r:id="rId1956" display="https://www.uniprot.org/uniprot/P48507" xr:uid="{FF7FA0EE-18BB-DA45-A6B4-511888AA89B7}"/>
    <hyperlink ref="C256" r:id="rId1957" display="https://www.uniprot.org/uniprot/Q7Z589" xr:uid="{DC4FC5FA-35F9-6E4B-A74C-0CC63DE9D139}"/>
    <hyperlink ref="C299" r:id="rId1958" display="https://www.uniprot.org/uniprot/Q14517" xr:uid="{C0B36C74-F2A9-5641-BD99-8EE00AE4CF8D}"/>
    <hyperlink ref="C501" r:id="rId1959" display="https://www.uniprot.org/uniprot/Q8TCB7" xr:uid="{AEE6C7D0-7354-4147-9C05-F7EF55049AEB}"/>
    <hyperlink ref="C209" r:id="rId1960" display="https://www.uniprot.org/uniprot/O43293" xr:uid="{144DAC0E-41DC-F94A-B860-A86C9102EA79}"/>
    <hyperlink ref="C909" r:id="rId1961" display="https://www.uniprot.org/uniprot/Q8TAF3" xr:uid="{37AEC902-8174-0E4B-9A89-4D11E4DA4105}"/>
    <hyperlink ref="C898" r:id="rId1962" display="https://www.uniprot.org/uniprot/O94782" xr:uid="{02F39A49-6209-6147-BC74-724B7A04EE00}"/>
    <hyperlink ref="C305" r:id="rId1963" display="https://www.uniprot.org/uniprot/P21802" xr:uid="{DAC3D8D5-F7F6-6F41-A144-294453FBB1A2}"/>
    <hyperlink ref="C619" r:id="rId1964" display="https://www.uniprot.org/uniprot/P48736" xr:uid="{9253B5B7-07C7-294A-987D-E60606B556C3}"/>
    <hyperlink ref="C795" r:id="rId1965" display="https://www.uniprot.org/uniprot/P56693" xr:uid="{78E75BDE-C774-E546-9BB3-B6AFFB847312}"/>
    <hyperlink ref="C799" r:id="rId1966" display="https://www.uniprot.org/uniprot/P48436" xr:uid="{AAC7D01E-3024-3F4D-B4B1-68107DBA442B}"/>
    <hyperlink ref="C798" r:id="rId1967" display="https://www.uniprot.org/uniprot/P57073" xr:uid="{47EF0B48-B342-654C-9CBE-9CB8ACF79356}"/>
    <hyperlink ref="C712" r:id="rId1968" display="https://www.uniprot.org/uniprot/Q9H4E5" xr:uid="{4CD42AD4-6686-F24F-9DF4-1CD2A00E4B50}"/>
    <hyperlink ref="C649" r:id="rId1969" display="https://www.uniprot.org/uniprot/Q86YN6" xr:uid="{707F9D57-8CD0-FB4F-A1BD-ED20C9D434D7}"/>
    <hyperlink ref="C185" r:id="rId1970" display="https://www.uniprot.org/uniprot/P02452" xr:uid="{E8C53686-FB83-1444-991C-DA8BD92F36E9}"/>
    <hyperlink ref="C48" r:id="rId1971" display="https://www.uniprot.org/uniprot/P52566" xr:uid="{A7FA0E8E-AC53-1F46-A9DA-8663FEC762EF}"/>
    <hyperlink ref="C415" r:id="rId1972" display="https://www.uniprot.org/uniprot/P13232" xr:uid="{0559A707-9292-EE40-BA3B-1BB0BAC594DD}"/>
    <hyperlink ref="C440" r:id="rId1973" display="https://www.uniprot.org/uniprot/Q15726" xr:uid="{8BD5DE39-7336-2042-BB7B-1FE7459272E7}"/>
    <hyperlink ref="C425" r:id="rId1974" display="https://www.uniprot.org/uniprot/Q14643" xr:uid="{F1A64F01-99E7-954B-83D8-4F295CDEE29E}"/>
    <hyperlink ref="C333" r:id="rId1975" display="https://www.uniprot.org/uniprot/P19440" xr:uid="{8B3A2629-B085-214C-A447-D149A1E439EF}"/>
    <hyperlink ref="C503" r:id="rId1976" display="https://www.uniprot.org/uniprot/Q09328" xr:uid="{DE596EC1-088F-ED46-B4EC-F7374D54CC2F}"/>
    <hyperlink ref="C2" r:id="rId1977" display="https://www.uniprot.org/uniprot/Q9NY61" xr:uid="{CA2B99D5-7343-984F-BEA4-FE4C1678B5E3}"/>
    <hyperlink ref="C324" r:id="rId1978" display="https://www.uniprot.org/uniprot/Q06546" xr:uid="{4382CCC7-E538-594C-998C-B5310E66FA7E}"/>
    <hyperlink ref="C755" r:id="rId1979" display="https://www.uniprot.org/uniprot/P29353" xr:uid="{7AC7A6C7-D6D6-FB40-BDCC-34A7C8F6FADD}"/>
    <hyperlink ref="C567" r:id="rId1980" display="https://www.uniprot.org/uniprot/Q96PH1" xr:uid="{9F414DF3-343E-4641-A724-57DB683050E6}"/>
    <hyperlink ref="C793" r:id="rId1981" display="https://www.uniprot.org/uniprot/P04179" xr:uid="{DCE9E6EB-18ED-4D40-9B65-5E1C74FE253E}"/>
    <hyperlink ref="C759" r:id="rId1982" display="https://www.uniprot.org/uniprot/Q9NTG7" xr:uid="{2DF26082-7481-B74F-AF85-7149DE10AFE0}"/>
    <hyperlink ref="C124" r:id="rId1983" display="https://www.uniprot.org/uniprot/P49662" xr:uid="{B2452218-B9C1-7543-9465-296F6ABAC640}"/>
    <hyperlink ref="C117" r:id="rId1984" display="https://www.uniprot.org/uniprot/P07384" xr:uid="{E30FB810-AC7E-BE40-9DC0-35C1B174EA17}"/>
    <hyperlink ref="C216" r:id="rId1985" display="https://www.uniprot.org/uniprot/Q8IXT1" xr:uid="{5D78445C-A868-BF4F-A6B7-E083D6BBC4E5}"/>
    <hyperlink ref="C849" r:id="rId1986" display="https://www.uniprot.org/uniprot/Q9UKI8" xr:uid="{4106611C-34CA-FF45-AEA2-41A1FA4ACEB6}"/>
    <hyperlink ref="C523" r:id="rId1987" display="https://www.uniprot.org/uniprot/Q13421" xr:uid="{607A0A4E-791F-4543-B31B-7AA07953FBF5}"/>
    <hyperlink ref="C741" r:id="rId1988" display="https://www.uniprot.org/uniprot/Q8N9R8" xr:uid="{B548E84F-5206-034A-9271-C8160BEC81FC}"/>
    <hyperlink ref="C336" r:id="rId1989" display="https://www.uniprot.org/uniprot/P10070" xr:uid="{C5C90062-3350-BD4A-BF68-6E4D52593EB0}"/>
    <hyperlink ref="C718" r:id="rId1990" display="https://www.uniprot.org/uniprot/Q01973" xr:uid="{F7475800-5305-F04E-901A-AE908D84137C}"/>
    <hyperlink ref="C642" r:id="rId1991" display="https://www.uniprot.org/uniprot/Q9UBT6" xr:uid="{D76495F6-D09F-A34B-BF5A-87E823813778}"/>
    <hyperlink ref="C385" r:id="rId1992" display="https://www.uniprot.org/uniprot/Q8N3J3" xr:uid="{5DBE9EE3-B316-6246-8008-BDFF21CC8E30}"/>
    <hyperlink ref="C495" r:id="rId1993" display="https://www.uniprot.org/uniprot/Q9NXL9" xr:uid="{0C5932EC-1343-1943-B54E-DDC69D167ADD}"/>
    <hyperlink ref="C494" r:id="rId1994" display="https://www.uniprot.org/uniprot/Q9UJA3" xr:uid="{4E6EE81B-FC11-444A-9953-D786B6D1FBDC}"/>
    <hyperlink ref="C77" r:id="rId1995" display="https://www.uniprot.org/uniprot/Q8WXE1" xr:uid="{8E5E41B6-CC09-2E47-90FD-0B06DA09DC0D}"/>
    <hyperlink ref="C35" r:id="rId1996" display="https://www.uniprot.org/uniprot/P04075" xr:uid="{63E0BCA2-F4CB-5A4C-AFEA-EF130A5FA4FF}"/>
    <hyperlink ref="C257" r:id="rId1997" display="https://www.uniprot.org/uniprot/Q04743" xr:uid="{66401EE1-648F-6340-A6B2-E313164BC52E}"/>
    <hyperlink ref="C936" r:id="rId1998" display="https://www.uniprot.org/uniprot/O60315" xr:uid="{DE2F3C55-2B70-E545-AEAB-4840CE61243C}"/>
    <hyperlink ref="C431" r:id="rId1999" display="https://www.uniprot.org/uniprot/Q92831" xr:uid="{69E8ABC5-B1E7-F148-95C6-277AF57770E2}"/>
    <hyperlink ref="C937" r:id="rId2000" display="https://www.uniprot.org/uniprot/P52747" xr:uid="{9793476B-1CEF-534B-8630-B02B7DEFB5B3}"/>
    <hyperlink ref="C167" r:id="rId2001" display="https://www.uniprot.org/uniprot/P17676" xr:uid="{2BC4316E-B5ED-F54E-B4DB-9A5755893389}"/>
    <hyperlink ref="C144" r:id="rId2002" display="https://www.uniprot.org/uniprot/Q9NZQ7" xr:uid="{ABC7E891-D63B-3643-B911-2E2DCB408295}"/>
    <hyperlink ref="C363" r:id="rId2003" display="https://www.uniprot.org/uniprot/O15379" xr:uid="{53B3A907-26F1-874C-B118-49EC005D7B20}"/>
    <hyperlink ref="C46" r:id="rId2004" display="https://www.uniprot.org/uniprot/P41181" xr:uid="{6B329F7A-F8C6-D14E-900F-813EFDF8C2B8}"/>
    <hyperlink ref="C436" r:id="rId2005" display="https://www.uniprot.org/uniprot/P29375" xr:uid="{0F4A3F68-9A75-BA4E-A5DD-CEC1BA4B1663}"/>
    <hyperlink ref="C625" r:id="rId2006" display="https://www.uniprot.org/uniprot/Q8TC59" xr:uid="{BB4EA87E-467B-554E-8C39-3027EDF57DBF}"/>
    <hyperlink ref="C724" r:id="rId2007" display="https://www.uniprot.org/uniprot/P61927" xr:uid="{2867659F-D4D0-C948-8776-D4A8F57C48AD}"/>
    <hyperlink ref="C723" r:id="rId2008" display="https://www.uniprot.org/uniprot/Q9Y3U8" xr:uid="{72F51E45-246A-0A47-B405-553575C0278A}"/>
    <hyperlink ref="C152" r:id="rId2009" display="https://www.uniprot.org/uniprot/P60953" xr:uid="{E5421EE4-5675-9A4A-8DDE-96FD4FE55236}"/>
    <hyperlink ref="C684" r:id="rId2010" display="https://www.uniprot.org/uniprot/P40792" xr:uid="{6A11586C-26F0-B241-A55A-2350B004F0B9}"/>
    <hyperlink ref="C682" r:id="rId2011" display="https://www.uniprot.org/uniprot/P51149" xr:uid="{1C88D2EB-4688-6141-8D1C-21625114B1AE}"/>
    <hyperlink ref="C681" r:id="rId2012" display="https://www.uniprot.org/uniprot/P51148" xr:uid="{3809D02F-B716-D446-93E7-7003B563449A}"/>
    <hyperlink ref="C393" r:id="rId2013" display="https://www.uniprot.org/uniprot/P10809" xr:uid="{F94F78C2-2E57-1C4B-B803-BDE4B27BC4BC}"/>
    <hyperlink ref="C153" r:id="rId2014" display="http://www.uniprot.org/uniprot/O00311" xr:uid="{43CF0541-B113-2A4E-A41E-6C8040C51725}"/>
    <hyperlink ref="C840" r:id="rId2015" display="https://www.uniprot.org/uniprot/P37173" xr:uid="{7DEFB92F-716E-F044-87FE-43869AEED745}"/>
    <hyperlink ref="C839" r:id="rId2016" display="https://www.uniprot.org/uniprot/P36897" xr:uid="{27C3A0F1-7247-F548-BA43-62A8E4517FED}"/>
    <hyperlink ref="C188" r:id="rId2017" display="https://www.uniprot.org/uniprot/Q14061" xr:uid="{E7CA6418-2B05-C24C-982B-52239C632886}"/>
    <hyperlink ref="C197" r:id="rId2018" display="https://www.uniprot.org/uniprot/Q9H467" xr:uid="{BA4F2A3E-1C17-B442-A1FE-AAD8ECE48FCF}"/>
    <hyperlink ref="C772" r:id="rId2019" display="https://www.uniprot.org/uniprot/Q6P5W5" xr:uid="{BE199F31-9A5E-6748-8551-BEAD9328C90F}"/>
    <hyperlink ref="C21" r:id="rId2020" display="https://www.uniprot.org/uniprot/O14672" xr:uid="{7BDE8175-BC40-9D4F-82D6-EABECB661F89}"/>
    <hyperlink ref="C550" r:id="rId2021" display="https://www.uniprot.org/uniprot/Q96PU5" xr:uid="{74205BCD-40F9-5B4B-A8A5-7A44D5F5F203}"/>
    <hyperlink ref="C549" r:id="rId2022" display="https://www.uniprot.org/uniprot/P46934" xr:uid="{050671C2-77D3-9D48-828A-BB77557C6D0D}"/>
    <hyperlink ref="C802" r:id="rId2023" display="https://www.uniprot.org/uniprot/P10451" xr:uid="{B63DD58F-9620-2B4D-958E-5268A72D7624}"/>
    <hyperlink ref="C833" r:id="rId2024" display="https://www.uniprot.org/uniprot/Q00059" xr:uid="{675E68E6-C377-8049-80AC-139C94E16E80}"/>
    <hyperlink ref="C230" r:id="rId2025" display="https://www.uniprot.org/uniprot/Q1HG43" xr:uid="{33FF02D1-8F5F-A446-80DE-A3EB0C3D8608}"/>
    <hyperlink ref="C395" r:id="rId2026" display="https://www.uniprot.org/uniprot/P05362" xr:uid="{2406AE18-BB2E-ED49-96BA-A28AB1FF514D}"/>
    <hyperlink ref="C244" r:id="rId2027" display="https://www.uniprot.org/uniprot/Q9GZT9" xr:uid="{CF8934C4-608E-B544-AAED-1F6002B45824}"/>
    <hyperlink ref="C694" r:id="rId2028" display="https://www.uniprot.org/uniprot/Q9NS23" xr:uid="{E0DED8FA-CA7C-6C46-A20F-D7F977DA9F89}"/>
    <hyperlink ref="C369" r:id="rId2029" display="https://www.uniprot.org/uniprot/Q14526" xr:uid="{CAD5A04C-EB4A-0B48-9930-989D97BBA284}"/>
    <hyperlink ref="C870" r:id="rId2030" display="https://www.uniprot.org/uniprot/Q96A56" xr:uid="{E00A8397-AAA1-2D4B-B3DC-9EB5527BF3EC}"/>
    <hyperlink ref="C228" r:id="rId2031" display="https://www.uniprot.org/uniprot/Q8N682" xr:uid="{20694F6C-0D89-394B-85AA-F6110F62CCC4}"/>
    <hyperlink ref="C107" r:id="rId2032" display="https://www.uniprot.org/uniprot/Q12983" xr:uid="{B75F1542-ECD4-F34A-AE6D-E96A90617450}"/>
    <hyperlink ref="C62" r:id="rId2033" display="https://www.uniprot.org/uniprot/O95352" xr:uid="{9D64F13C-DBD8-BE47-B626-007BDD978E87}"/>
    <hyperlink ref="C878" r:id="rId2034" display="https://www.uniprot.org/uniprot/Q6PJ69" xr:uid="{355548CC-A63D-674A-9E86-AF40867D8538}"/>
    <hyperlink ref="C822" r:id="rId2035" display="https://www.uniprot.org/uniprot/Q15750" xr:uid="{6B52C8B1-B22A-2647-94D3-BEC04F9D7D8C}"/>
    <hyperlink ref="C482" r:id="rId2036" display="https://www.uniprot.org/uniprot/O43318" xr:uid="{F69F8F90-B1A6-9840-A9D3-C0D66D28F686}"/>
    <hyperlink ref="C903" r:id="rId2037" display="https://www.uniprot.org/uniprot/Q9P2Y5" xr:uid="{F5CA82AD-4EA0-0B48-9ED9-658847566075}"/>
    <hyperlink ref="C307" r:id="rId2038" display="https://www.uniprot.org/uniprot/P21333" xr:uid="{C027E1C0-1E47-0F4B-9EAD-ECBE0EA57213}"/>
    <hyperlink ref="C309" r:id="rId2039" display="https://www.uniprot.org/uniprot/P02751" xr:uid="{A23B394C-99FF-1F43-AF7C-3694AC975264}"/>
    <hyperlink ref="C624" r:id="rId2040" display="https://www.uniprot.org/uniprot/Q9BXM7" xr:uid="{E50B715B-C86B-E947-BF6C-2C7DAD7A2C34}"/>
    <hyperlink ref="C208" r:id="rId2041" display="https://www.uniprot.org/uniprot/P53355" xr:uid="{2247E96F-D7B8-0F48-BB9C-3CEE4413B97A}"/>
    <hyperlink ref="C750" r:id="rId2042" display="https://www.uniprot.org/uniprot/Q9Y6P5" xr:uid="{D6D16C86-1B5F-3A4B-84EA-D5834CB4F583}"/>
    <hyperlink ref="C788" r:id="rId2043" display="https://www.uniprot.org/uniprot/P17405" xr:uid="{86EBBB16-9362-D14E-AEA3-8B10FC37DC68}"/>
    <hyperlink ref="C674" r:id="rId2044" display="https://www.uniprot.org/uniprot/P43115" xr:uid="{400C3E39-7FD7-FA46-93B6-3D78B4FD296E}"/>
    <hyperlink ref="C98" r:id="rId2045" display="https://www.uniprot.org/uniprot/O00499" xr:uid="{CA937E4D-22A8-B24E-B3E4-4E447526810B}"/>
    <hyperlink ref="C756" r:id="rId2046" display="https://www.uniprot.org/uniprot/Q8NEM2" xr:uid="{7B2E29AC-21BC-F44E-A98D-791DDE59BA29}"/>
    <hyperlink ref="C455" r:id="rId2047" display="https://www.uniprot.org/uniprot/P06239" xr:uid="{065F5BFF-0C95-AA49-BA08-9FAA4090276A}"/>
    <hyperlink ref="C148" r:id="rId2048" display="https://www.uniprot.org/uniprot/P08174" xr:uid="{57FA81D7-F387-9A41-865A-5F3FAD54AD12}"/>
    <hyperlink ref="C149" r:id="rId2049" display="https://www.uniprot.org/uniprot/P01732" xr:uid="{F0F784E5-AD00-D04E-B903-048CD2E786BB}"/>
    <hyperlink ref="C420" r:id="rId2050" display="https://www.uniprot.org/uniprot/P05556" xr:uid="{CA7C4E4C-C26A-874B-8289-3B774D8015E1}"/>
    <hyperlink ref="C678" r:id="rId2051" display="https://www.uniprot.org/uniprot/P49023" xr:uid="{9BBFC0B8-3326-3C48-850B-F6F6F67F0CA8}"/>
    <hyperlink ref="C474" r:id="rId2052" display="https://www.uniprot.org/uniprot/Q9UDY8" xr:uid="{44B35111-A159-C44B-9531-4A3F5D873E01}"/>
    <hyperlink ref="C43" r:id="rId2053" display="https://www.uniprot.org/uniprot/O14727" xr:uid="{D93CFF9F-8F4D-4742-805F-00CFD920C5CE}"/>
    <hyperlink ref="C491" r:id="rId2054" display="https://www.uniprot.org/uniprot/Q9Y2H9" xr:uid="{567B7E4D-A32A-9243-B5A1-9F42D43A0B1D}"/>
    <hyperlink ref="C632" r:id="rId2055" display="https://www.uniprot.org/uniprot/P29590" xr:uid="{12A468CF-C5E8-1B46-BDA4-122162FB814D}"/>
    <hyperlink ref="C648" r:id="rId2056" display="https://www.uniprot.org/uniprot/Q9UBK2" xr:uid="{E9839DE3-C5A6-7944-894E-18C8162495AF}"/>
    <hyperlink ref="C845" r:id="rId2057" display="https://www.uniprot.org/uniprot/Q9NQ88" xr:uid="{68333738-8A32-B048-B6BC-B9E01C555717}"/>
    <hyperlink ref="C129" r:id="rId2058" display="https://www.uniprot.org/uniprot/Q03135" xr:uid="{20D37A1B-C4C6-7646-ACC9-39B3DF54E16C}"/>
    <hyperlink ref="C18" r:id="rId2059" display="https://www.uniprot.org/uniprot/P62736" xr:uid="{751DAFB3-0D81-7E45-BFE6-A4E722FD2F15}"/>
    <hyperlink ref="C397" r:id="rId2060" display="https://www.uniprot.org/uniprot/P01579" xr:uid="{3CE5F8B9-8735-0346-9E93-A5044C4CBA19}"/>
    <hyperlink ref="C311" r:id="rId2061" display="https://www.uniprot.org/uniprot/P14207" xr:uid="{EA591E46-24B0-FF49-B3EC-845723D9E6FB}"/>
    <hyperlink ref="C888" r:id="rId2062" display="https://www.uniprot.org/uniprot/Q86VQ6" xr:uid="{E9804CC8-7E87-0D43-9CD1-CF89962369FA}"/>
    <hyperlink ref="C887" r:id="rId2063" display="https://www.uniprot.org/uniprot/Q9NNW7" xr:uid="{82CF6D47-BF16-A84A-8422-C356ED77D837}"/>
    <hyperlink ref="C886" r:id="rId2064" display="https://www.uniprot.org/uniprot/Q16881" xr:uid="{8EC848E4-8790-5E49-98AA-A533031205BC}"/>
    <hyperlink ref="C105" r:id="rId2065" display="https://www.uniprot.org/uniprot/P12644" xr:uid="{7C1DE139-79A3-E043-9D59-5A1B3DE63FCB}"/>
    <hyperlink ref="C781" r:id="rId2066" display="https://www.uniprot.org/uniprot/Q9BQ83" xr:uid="{BAA1597C-BF3B-554C-9BD3-6C0FC411E3B1}"/>
    <hyperlink ref="C320" r:id="rId2067" display="https://www.uniprot.org/uniprot/Q12841" xr:uid="{082D7D0E-8EAA-AF41-B03A-6C37D43E4C6D}"/>
    <hyperlink ref="C902" r:id="rId2068" display="https://www.uniprot.org/uniprot/Q86T82" xr:uid="{C70CD6CB-8CD2-0343-AA5A-54E77E5DC5E6}"/>
    <hyperlink ref="C225" r:id="rId2069" display="https://www.uniprot.org/uniprot/Q9UBP4" xr:uid="{755EB80A-BAF2-4949-82B0-6777FD29941B}"/>
    <hyperlink ref="C796" r:id="rId2070" display="https://www.uniprot.org/uniprot/Q9H6I2" xr:uid="{7DB33B28-D970-0741-AD91-3FD6EF75BCC9}"/>
    <hyperlink ref="C587" r:id="rId2071" display="https://www.uniprot.org/uniprot/Q6TCH7" xr:uid="{1C7E6F40-E93B-164C-919E-F7355911B091}"/>
    <hyperlink ref="C52" r:id="rId2072" display="https://www.uniprot.org/uniprot/O75915" xr:uid="{33EFEFA7-FAE7-2748-BC34-88944DB736F1}"/>
    <hyperlink ref="C607" r:id="rId2073" display="https://www.uniprot.org/uniprot/Q96GD0" xr:uid="{6F49E83E-3F90-B948-996D-474CC39FB40E}"/>
    <hyperlink ref="C606" r:id="rId2074" display="https://www.uniprot.org/uniprot/O00764" xr:uid="{077B1F92-1E30-9648-87B4-4530781FCE99}"/>
    <hyperlink ref="C731" r:id="rId2075" display="https://www.uniprot.org/uniprot/P62081" xr:uid="{EF456EFA-E02E-8F41-A0B4-0B730CD2CDE8}"/>
    <hyperlink ref="C259" r:id="rId2076" display="https://www.uniprot.org/uniprot/P06733" xr:uid="{583BFB4A-438E-694E-A573-E70139F45905}"/>
    <hyperlink ref="C219" r:id="rId2077" display="https://www.uniprot.org/uniprot/Q9BUN8" xr:uid="{7DF25EFA-4415-784B-B1A4-A58BEC3983BF}"/>
    <hyperlink ref="C596" r:id="rId2078" display="https://www.uniprot.org/uniprot/Q15004" xr:uid="{B29B62AC-1426-974E-BCF6-25FD677293C1}"/>
    <hyperlink ref="C801" r:id="rId2079" display="https://www.uniprot.org/uniprot/P58062" xr:uid="{49E0E819-D19D-C043-83DB-02B5057FCE4D}"/>
    <hyperlink ref="C278" r:id="rId2080" display="https://www.uniprot.org/uniprot/P15311" xr:uid="{839AADD4-2F36-184F-AFAC-3A62A105FE05}"/>
    <hyperlink ref="C556" r:id="rId2081" display="https://www.uniprot.org/uniprot/P35240" xr:uid="{D54BCC90-5CE9-5A43-A1E9-8927B456F85C}"/>
    <hyperlink ref="C51" r:id="rId2082" display="https://www.uniprot.org/uniprot/Q9Y4X5" xr:uid="{03C53D57-AC5C-EB41-B050-8D3FCFC63DFB}"/>
    <hyperlink ref="C626" r:id="rId2083" display="https://www.uniprot.org/uniprot/P14618" xr:uid="{70368212-87AB-6049-B3BD-FFF7D4D9612D}"/>
    <hyperlink ref="C138" r:id="rId2084" display="https://www.uniprot.org/uniprot/P20248" xr:uid="{FCE9EB59-B46C-9B44-B784-A1D3A3065090}"/>
    <hyperlink ref="C433" r:id="rId2085" display="https://www.uniprot.org/uniprot/Q9H7Z6" xr:uid="{7DF7E5C7-7CD0-0A49-86AD-8AEE8263D512}"/>
    <hyperlink ref="C721" r:id="rId2086" display="https://www.uniprot.org/uniprot/P27694" xr:uid="{09B8E099-07E9-F349-A81A-535B7905643A}"/>
    <hyperlink ref="C631" r:id="rId2087" display="https://www.uniprot.org/uniprot/P40967" xr:uid="{BF003D4E-2D54-3F40-8DB3-8C7BE80D6C0F}"/>
    <hyperlink ref="C379" r:id="rId2088" display="https://www.uniprot.org/uniprot/Q00056" xr:uid="{61074F7B-05FF-A84E-8463-8D733980C19B}"/>
    <hyperlink ref="C381" r:id="rId2089" display="https://www.uniprot.org/uniprot/P14651" xr:uid="{9E2A4C63-0AF0-A04B-A79E-71B16DD0B239}"/>
    <hyperlink ref="C534" r:id="rId2090" display="https://www.uniprot.org/uniprot/Q9HC84" xr:uid="{A58353D8-097D-D34C-95E1-027E0D0E0C48}"/>
    <hyperlink ref="C247" r:id="rId2091" display="https://www.uniprot.org/uniprot/Q9H4M9" xr:uid="{011530CB-0190-E34B-982C-EDB949F56AC2}"/>
    <hyperlink ref="C111" r:id="rId2092" display="https://www.uniprot.org/uniprot/Q9H8M2" xr:uid="{C759020B-1160-F84A-8C5D-F43EC87033C9}"/>
    <hyperlink ref="C234" r:id="rId2093" display="https://www.uniprot.org/uniprot/Q92997" xr:uid="{02AA55B0-86CA-5D4D-BC91-95501D52EE12}"/>
    <hyperlink ref="C229" r:id="rId2094" display="https://www.uniprot.org/uniprot/Q02413" xr:uid="{FDD83B08-E519-D945-BEF6-00840B74F700}"/>
    <hyperlink ref="C842" r:id="rId2095" display="https://www.uniprot.org/uniprot/Q08188" xr:uid="{CE75417E-1CDC-9548-8313-D79E6673A051}"/>
    <hyperlink ref="C447" r:id="rId2096" display="https://www.uniprot.org/uniprot/P04264" xr:uid="{88C59963-554C-F74D-9378-1B4ED11F98B1}"/>
    <hyperlink ref="C38" r:id="rId2097" display="https://www.uniprot.org/uniprot/Q9UKV5" xr:uid="{082AC4D3-3952-F54B-9950-92000627CECE}"/>
    <hyperlink ref="C851" r:id="rId2098" display="https://www.uniprot.org/uniprot/O43711" xr:uid="{52DC7C67-331C-7C46-849B-5FFB9AA0AB93}"/>
    <hyperlink ref="C747" r:id="rId2099" display="https://www.uniprot.org/uniprot/P05120" xr:uid="{CBD41FC5-4A45-0141-AA05-9380D76EC512}"/>
    <hyperlink ref="C467" r:id="rId2100" display="https://www.uniprot.org/uniprot/Q32MZ4" xr:uid="{316B9EAC-46EE-F242-A056-5C1FB42F6CB7}"/>
    <hyperlink ref="C416" r:id="rId2101" display="https://www.uniprot.org/uniprot/Q13418" xr:uid="{8434662E-F022-7541-8508-C17B1A87C20C}"/>
    <hyperlink ref="C367" r:id="rId2102" display="https://www.uniprot.org/uniprot/Q9Y5J3" xr:uid="{81288E99-53B6-074B-8ADC-5A4BFB3C60AA}"/>
    <hyperlink ref="C249" r:id="rId2103" display="https://www.uniprot.org/uniprot/P05198" xr:uid="{33C7E0F4-E905-1546-9A47-ABC1BAE5893C}"/>
    <hyperlink ref="C340" r:id="rId2104" display="https://www.uniprot.org/uniprot/Q9H4A6" xr:uid="{94141B78-15E9-814B-839D-FE21DB3F03BD}"/>
    <hyperlink ref="C322" r:id="rId2105" display="https://www.uniprot.org/uniprot/Q9H461" xr:uid="{16D6D9A2-FADB-A24E-8198-1F072E176311}"/>
    <hyperlink ref="C854" r:id="rId2106" display="https://www.uniprot.org/uniprot/Q5BJF2" xr:uid="{967CF9DB-727C-8345-B72B-529FE0A65AD7}"/>
    <hyperlink ref="C855" r:id="rId2107" display="https://www.uniprot.org/uniprot/Q9Y2Y6" xr:uid="{D9D2F53B-1B5D-174A-B2EC-939D1E2DEF9E}"/>
    <hyperlink ref="C852" r:id="rId2108" display="https://www.uniprot.org/uniprot/Q6UW68" xr:uid="{A9D2A6C9-1785-BA40-A8ED-95569B121AF3}"/>
    <hyperlink ref="C683" r:id="rId2109" display="https://www.uniprot.org/uniprot/P61006" xr:uid="{8F552A4B-7980-314F-98A3-32991C6E625D}"/>
    <hyperlink ref="C808" r:id="rId2110" display="https://www.uniprot.org/uniprot/Q01130" xr:uid="{1319583E-7112-CD41-98C2-EFEA898791A0}"/>
    <hyperlink ref="C768" r:id="rId2111" display="https://www.uniprot.org/uniprot/P11166" xr:uid="{1E78E807-37A0-7541-A0CA-E7525969EE5E}"/>
    <hyperlink ref="C56" r:id="rId2112" display="https://www.uniprot.org/uniprot/P18847" xr:uid="{014EB0EE-E2FA-3E47-B5BB-A58EABF0A637}"/>
    <hyperlink ref="C103" r:id="rId2113" display="https://www.uniprot.org/uniprot/P54132" xr:uid="{88F9691D-100E-9F44-92AE-A0B7F78CBF25}"/>
    <hyperlink ref="C432" r:id="rId2114" display="https://www.uniprot.org/uniprot/Q92993" xr:uid="{B3A2CE81-2F68-9647-BC06-FBDAD64920F0}"/>
    <hyperlink ref="C64" r:id="rId2115" display="https://www.uniprot.org/uniprot/O43313" xr:uid="{9C1C7461-7BB1-E34C-8D76-2E8037C4472D}"/>
    <hyperlink ref="C879" r:id="rId2116" display="https://www.uniprot.org/uniprot/Q15645" xr:uid="{2C98C8C7-0A64-B246-8513-35F240370756}"/>
    <hyperlink ref="C308" r:id="rId2117" display="https://www.uniprot.org/uniprot/P35916" xr:uid="{5D7050EF-A9F7-CE49-89C9-4334857A2CBB}"/>
    <hyperlink ref="C693" r:id="rId2118" display="https://www.uniprot.org/uniprot/Q6NSI4" xr:uid="{13B00551-330D-BB4C-97DC-8EEEA9BC944B}"/>
    <hyperlink ref="C593" r:id="rId2119" display="https://www.uniprot.org/uniprot/Q6ZW49" xr:uid="{832C01D8-0384-FD4E-8A92-958D30C5F30D}"/>
    <hyperlink ref="C444" r:id="rId2120" display="https://www.uniprot.org/uniprot/Q9UMN6" xr:uid="{5E14F399-24A1-D747-A0BE-BCD452695702}"/>
    <hyperlink ref="C445" r:id="rId2121" display="https://www.uniprot.org/uniprot/Q8NEZ4" xr:uid="{782A05BB-91CD-EF46-ADC0-30C0784E4E6E}"/>
    <hyperlink ref="C16" r:id="rId2122" display="https://www.uniprot.org/uniprot/Q15018" xr:uid="{735D213F-B0DF-1C46-9FC2-C1731B1A6A5C}"/>
    <hyperlink ref="C94" r:id="rId2123" display="https://www.uniprot.org/uniprot/Q00994" xr:uid="{40CAEA1C-9FE7-5247-986E-C0F8C657EF8B}"/>
    <hyperlink ref="C338" r:id="rId2124" display="https://www.uniprot.org/uniprot/Q9UI32" xr:uid="{52045D65-FF4D-6543-B0F9-2EBD41B7D960}"/>
    <hyperlink ref="C337" r:id="rId2125" display="https://www.uniprot.org/uniprot/O94925" xr:uid="{F2A7467B-B03E-B849-A606-1D25F5434D1D}"/>
    <hyperlink ref="C348" r:id="rId2126" display="https://www.uniprot.org/uniprot/P49841" xr:uid="{63B23E94-A01C-4744-9612-F92B5232520D}"/>
    <hyperlink ref="C829" r:id="rId2127" display="https://www.uniprot.org/uniprot/Q15561" xr:uid="{999D4B41-E357-F44B-A340-1ACCFF5BB24F}"/>
    <hyperlink ref="C827" r:id="rId2128" display="https://www.uniprot.org/uniprot/P28347" xr:uid="{12621AC3-012F-8E48-88A4-503E069F4F5E}"/>
    <hyperlink ref="C740" r:id="rId2129" display="https://www.uniprot.org/uniprot/Q9H4B6" xr:uid="{197BBDA3-21B1-1F46-B104-274AD04C7288}"/>
    <hyperlink ref="C711" r:id="rId2130" display="https://www.uniprot.org/uniprot/P61586" xr:uid="{194DF4F9-79C3-D94E-BC7B-44277957AECB}"/>
    <hyperlink ref="C913" r:id="rId2131" display="https://www.uniprot.org/uniprot/Q9GZV5" xr:uid="{B084021B-649D-6C42-BE92-CF1F358D1502}"/>
    <hyperlink ref="C885" r:id="rId2132" display="https://www.uniprot.org/uniprot/O43396" xr:uid="{97554D9D-1074-8840-95DB-86773F81B273}"/>
    <hyperlink ref="C58" r:id="rId2133" display="https://www.uniprot.org/uniprot/P18850" xr:uid="{034741D6-243C-A54F-A555-C8247830265D}"/>
    <hyperlink ref="C583" r:id="rId2134" display="https://www.uniprot.org/uniprot/Q9P286" xr:uid="{08E6039F-CA1C-0C4E-89D9-9C051CFE151F}"/>
    <hyperlink ref="C280" r:id="rId2135" display="https://www.uniprot.org/uniprot/Q9BTP7" xr:uid="{B3A68706-9C60-5A48-8BD1-9E7073214875}"/>
    <hyperlink ref="C279" r:id="rId2136" display="https://www.uniprot.org/uniprot/Q0VG06" xr:uid="{48C7ADD3-05E6-B44E-A85B-BF96E106E78B}"/>
    <hyperlink ref="C241" r:id="rId2137" display="https://www.uniprot.org/uniprot/P25101" xr:uid="{D18708B1-B316-CD49-A318-AF7E718AED84}"/>
    <hyperlink ref="C174" r:id="rId2138" display="https://www.uniprot.org/uniprot/Q8TCG1" xr:uid="{C28A7269-A2A8-3E47-9421-CDA70469998B}"/>
    <hyperlink ref="C938" r:id="rId2139" display="https://www.uniprot.org/uniprot/P35789" xr:uid="{308D711B-C366-3D48-833E-514872288193}"/>
    <hyperlink ref="C935" r:id="rId2140" display="https://www.uniprot.org/uniprot/P37275" xr:uid="{68205B66-C56B-CB43-94AE-870D39BB27E5}"/>
    <hyperlink ref="C933" r:id="rId2141" display="https://www.uniprot.org/uniprot/P25490" xr:uid="{65C5845D-563B-AD40-9D5D-2B71637342F0}"/>
    <hyperlink ref="C932" r:id="rId2142" display="https://www.uniprot.org/uniprot/P63104" xr:uid="{25E66951-B985-0341-A59F-D95B87E058DE}"/>
    <hyperlink ref="C931" r:id="rId2143" display="https://www.uniprot.org/uniprot/P27348" xr:uid="{6905CECE-0BDB-CA43-A43E-4DC3F1F92BE0}"/>
    <hyperlink ref="C930" r:id="rId2144" display="https://www.uniprot.org/uniprot/Q04917" xr:uid="{D7FF36D3-B45B-1F4D-986B-409E3442DBF4}"/>
    <hyperlink ref="C929" r:id="rId2145" display="https://www.uniprot.org/uniprot/P61981" xr:uid="{C8CA5303-B33A-1A40-A34B-F0D4ADF265A5}"/>
    <hyperlink ref="C927" r:id="rId2146" display="https://www.uniprot.org/uniprot/P67809" xr:uid="{9FE64982-83DF-6840-8D27-23ED1B138E87}"/>
    <hyperlink ref="C926" r:id="rId2147" display="https://www.uniprot.org/uniprot/P46937" xr:uid="{347AEE6B-4A2A-3B43-A516-58C7EA5C3634}"/>
    <hyperlink ref="C925" r:id="rId2148" display="https://www.uniprot.org/uniprot/P12956" xr:uid="{A485BF25-C3B9-974F-B420-4DF9A2817A03}"/>
    <hyperlink ref="C924" r:id="rId2149" display="https://www.uniprot.org/uniprot/P13010" xr:uid="{36D3E433-BC7D-7044-B4A4-6AEBCD83CC8A}"/>
    <hyperlink ref="C923" r:id="rId2150" display="https://www.uniprot.org/uniprot/Q13426" xr:uid="{A7E2BE9D-AC4A-5D48-BB70-6E8B1739D4B4}"/>
    <hyperlink ref="C922" r:id="rId2151" display="https://www.uniprot.org/uniprot/O43542" xr:uid="{74CB171E-D9AF-6245-8E97-D298152B6B74}"/>
    <hyperlink ref="C921" r:id="rId2152" display="https://www.uniprot.org/uniprot/O43543" xr:uid="{37A8FAE6-C116-8B4A-8881-2ADC05A1559B}"/>
    <hyperlink ref="C920" r:id="rId2153" display="https://www.uniprot.org/uniprot/P18887" xr:uid="{A2A51BF3-DF42-1C4C-8E27-3529253130CC}"/>
    <hyperlink ref="C919" r:id="rId2154" display="https://www.uniprot.org/uniprot/O14980" xr:uid="{2DCC810B-C1ED-4544-9064-868953346481}"/>
    <hyperlink ref="C918" r:id="rId2155" display="https://www.uniprot.org/uniprot/Q01831" xr:uid="{15555D4A-83F6-2C4D-AF49-E37C3FDD0610}"/>
    <hyperlink ref="C917" r:id="rId2156" display="https://www.uniprot.org/uniprot/P23025" xr:uid="{13F5B8D0-98C1-A14A-90C3-1B73F3D6C779}"/>
    <hyperlink ref="C916" r:id="rId2157" display="https://www.uniprot.org/uniprot/P98170" xr:uid="{5FC42769-5EFD-4B42-BF68-FF54CC7FDF4D}"/>
    <hyperlink ref="C915" r:id="rId2158" display="https://www.uniprot.org/uniprot/P17861" xr:uid="{A8298ECE-C9EF-2942-A54E-1109221D5173}"/>
    <hyperlink ref="C914" r:id="rId2159" display="https://www.uniprot.org/uniprot/Q6GPH4" xr:uid="{50D7FCC3-1A6D-A146-8581-7179D9BFB73B}"/>
    <hyperlink ref="C912" r:id="rId2160" display="https://www.uniprot.org/uniprot/O00308" xr:uid="{7D38CC34-1EF4-EA4B-AD75-371F41647B24}"/>
    <hyperlink ref="C911" r:id="rId2161" display="https://www.uniprot.org/uniprot/Q9NZC7" xr:uid="{E233BE2F-3F34-F140-8E6C-C85F3059076F}"/>
    <hyperlink ref="C910" r:id="rId2162" display="https://www.uniprot.org/uniprot/Q14508" xr:uid="{70995663-9C32-C844-B25F-477640D2B04E}"/>
    <hyperlink ref="C908" r:id="rId2163" display="https://www.uniprot.org/uniprot/P08670" xr:uid="{890791C0-EB0E-F74F-9D7F-01E760396548}"/>
    <hyperlink ref="C907" r:id="rId2164" display="https://www.uniprot.org/uniprot/P40337" xr:uid="{2A762CB2-C3CE-FD46-A61D-D5F435CC446F}"/>
    <hyperlink ref="C906" r:id="rId2165" display="https://www.uniprot.org/uniprot/P15692" xr:uid="{3489BB7E-8C91-EB4D-8E7C-2CBF9ED1C898}"/>
    <hyperlink ref="C905" r:id="rId2166" display="https://www.uniprot.org/uniprot/P21796" xr:uid="{19CAC30C-1D59-6D4D-B7BF-234D57A51329}"/>
    <hyperlink ref="C904" r:id="rId2167" display="https://www.uniprot.org/uniprot/P19320" xr:uid="{543D07D4-78BF-3045-AFCF-1BBC1FED5F96}"/>
    <hyperlink ref="C899" r:id="rId2168" display="https://www.uniprot.org/uniprot/Q92995" xr:uid="{0849F00B-4C23-6443-B40B-36085A8D6E45}"/>
    <hyperlink ref="C897" r:id="rId2169" display="https://www.uniprot.org/uniprot/O94763" xr:uid="{350008F3-1178-C642-B72A-756A51696990}"/>
    <hyperlink ref="C896" r:id="rId2170" display="https://www.uniprot.org/uniprot/P13051" xr:uid="{51A78F8C-EB19-F942-BA1A-F17371D968A2}"/>
    <hyperlink ref="C895" r:id="rId2171" display="https://www.uniprot.org/uniprot/Q96RL1" xr:uid="{62E1D77E-362C-0F43-8980-C3BF483D66DD}"/>
    <hyperlink ref="C894" r:id="rId2172" display="https://www.uniprot.org/uniprot/Q16739" xr:uid="{D8F56D86-EE03-6C43-872F-D567FEE3D0E0}"/>
    <hyperlink ref="C893" r:id="rId2173" display="https://www.uniprot.org/uniprot/P55851" xr:uid="{65301D40-2568-EB4D-ABA6-3C25E0529F4D}"/>
    <hyperlink ref="C892" r:id="rId2174" display="https://www.uniprot.org/uniprot/P09936" xr:uid="{43804D40-39E9-4243-B480-F50DAB9179DF}"/>
    <hyperlink ref="C891" r:id="rId2175" display="https://www.uniprot.org/uniprot/O95071" xr:uid="{E5056BF9-E6B6-8543-B51F-094034627E9A}"/>
    <hyperlink ref="C890" r:id="rId2176" display="https://www.uniprot.org/uniprot/Q9NPD8" xr:uid="{F077158A-D9A4-EA4C-B574-26A0B0E5BE9E}"/>
    <hyperlink ref="C883" r:id="rId2177" display="https://www.uniprot.org/uniprot/P10599" xr:uid="{35EB6DE8-7A84-CC46-ACE1-C5F1028A3F65}"/>
    <hyperlink ref="C882" r:id="rId2178" display="https://www.uniprot.org/uniprot/Q15672" xr:uid="{B3EE4C14-E6EB-674F-94AE-DD39ACA9B018}"/>
    <hyperlink ref="C880" r:id="rId2179" display="https://www.uniprot.org/uniprot/Q12816" xr:uid="{A70B1445-EAF0-FC4C-A17A-13E7F2E34245}"/>
    <hyperlink ref="C877" r:id="rId2180" display="https://www.uniprot.org/uniprot/P14373" xr:uid="{2671DD49-DA3B-1445-92EA-24D8BE74FA2E}"/>
    <hyperlink ref="C876" r:id="rId2181" display="https://www.uniprot.org/uniprot/Q92519" xr:uid="{5F60B71B-9D5E-4649-8952-1CECEB8FDE25}"/>
    <hyperlink ref="C875" r:id="rId2182" display="https://www.uniprot.org/uniprot/Q12931" xr:uid="{7C9DA62D-CB44-924A-90E0-47AC673DC861}"/>
    <hyperlink ref="C873" r:id="rId2183" display="https://www.uniprot.org/uniprot/P13693" xr:uid="{FC2257F7-240A-7345-A192-C392415B1D68}"/>
    <hyperlink ref="C872" r:id="rId2184" display="https://www.uniprot.org/uniprot/O15350" xr:uid="{0E349D5B-FA80-0B42-AC60-3E8EBBE1BF76}"/>
    <hyperlink ref="C871" r:id="rId2185" display="https://www.uniprot.org/uniprot/Q9H3D4" xr:uid="{4BB99014-DD9F-344B-ABE6-7929D25B7699}"/>
    <hyperlink ref="C869" r:id="rId2186" display="https://www.uniprot.org/uniprot/Q12888" xr:uid="{8D0C542E-77FC-F44C-A437-3513C22DD926}"/>
    <hyperlink ref="C868" r:id="rId2187" display="https://www.uniprot.org/uniprot/P04637" xr:uid="{ED6C37A4-C410-924A-9F94-F9012C191108}"/>
    <hyperlink ref="C867" r:id="rId2188" display="https://www.uniprot.org/uniprot/Q92547" xr:uid="{A50C3542-915F-5648-AADF-25D9584226CB}"/>
    <hyperlink ref="C866" r:id="rId2189" display="https://www.uniprot.org/uniprot/O95985" xr:uid="{893137FF-6C93-C046-ACB8-A837C3F5D92E}"/>
    <hyperlink ref="C865" r:id="rId2190" display="https://www.uniprot.org/uniprot/Q13472" xr:uid="{7ACC6B72-BF2B-A54C-BA36-2E8D24D82C0F}"/>
    <hyperlink ref="C864" r:id="rId2191" display="https://www.uniprot.org/uniprot/P11388" xr:uid="{78C629D1-F72E-F043-A3FB-FF07143E9E04}"/>
    <hyperlink ref="C863" r:id="rId2192" display="https://www.uniprot.org/uniprot/P11387" xr:uid="{004DDDA8-CD8A-4F4C-9948-882BFE2A4D67}"/>
    <hyperlink ref="C862" r:id="rId2193" display="https://www.uniprot.org/uniprot/P50591" xr:uid="{ABD0FAB9-C529-254D-8C9F-09DCC1BB5AC5}"/>
    <hyperlink ref="C860" r:id="rId2194" display="https://www.uniprot.org/uniprot/O14763" xr:uid="{7704509F-BA70-FD4C-A187-C6324C29089F}"/>
    <hyperlink ref="C859" r:id="rId2195" display="https://www.uniprot.org/uniprot/O00220" xr:uid="{BEFA83AC-9922-5B48-BD21-F6B9D84731E7}"/>
    <hyperlink ref="C857" r:id="rId2196" display="https://www.uniprot.org/uniprot/O95379" xr:uid="{BA31F19B-5DB3-0241-A414-587F41629062}"/>
    <hyperlink ref="C856" r:id="rId2197" display="https://www.uniprot.org/uniprot/P01375" xr:uid="{2B9AF29A-5C3E-394E-BF4B-4609A830B508}"/>
    <hyperlink ref="C853" r:id="rId2198" display="https://www.uniprot.org/uniprot/Q6PEY1" xr:uid="{4922DA66-236A-254E-B96B-7A3563BB67FD}"/>
    <hyperlink ref="C850" r:id="rId2199" display="https://www.uniprot.org/uniprot/O00206" xr:uid="{9758A986-DFEB-7D4E-B8BD-0A43D22D72E0}"/>
    <hyperlink ref="C848" r:id="rId2200" display="https://www.uniprot.org/uniprot/P35625" xr:uid="{7FE368EA-7933-874E-80A0-30CE3E34F25E}"/>
    <hyperlink ref="C847" r:id="rId2201" display="https://www.uniprot.org/uniprot/P16035" xr:uid="{44D15CD2-56DC-C94B-87F4-16850ED96CAA}"/>
    <hyperlink ref="C846" r:id="rId2202" display="https://www.uniprot.org/uniprot/Q9UNS1" xr:uid="{5AF6A7B0-7612-A142-90A3-DBA4B65BE431}"/>
    <hyperlink ref="C844" r:id="rId2203" display="https://www.uniprot.org/uniprot/P35590" xr:uid="{FBC966AD-A7D6-3944-B8F8-1114591BC78C}"/>
    <hyperlink ref="C843" r:id="rId2204" display="https://www.uniprot.org/uniprot/P07996" xr:uid="{EF4DC3F1-D3D4-3A45-BA8F-9F36203DE383}"/>
    <hyperlink ref="C841" r:id="rId2205" display="https://www.uniprot.org/uniprot/P21980" xr:uid="{9BFF447B-2452-9849-9329-75AD40896336}"/>
    <hyperlink ref="C837" r:id="rId2206" display="https://www.uniprot.org/uniprot/P10600" xr:uid="{7A0636C1-5BB7-8E49-95E0-7BCD16E432E8}"/>
    <hyperlink ref="C836" r:id="rId2207" display="https://www.uniprot.org/uniprot/P61812" xr:uid="{91F89D0A-A506-ED4B-8928-FE865466B786}"/>
    <hyperlink ref="C835" r:id="rId2208" display="https://www.uniprot.org/uniprot/P01137" xr:uid="{A7BE890E-08B5-524F-AADC-BF98579C893F}"/>
    <hyperlink ref="C834" r:id="rId2209" display="https://www.uniprot.org/uniprot/P02786" xr:uid="{9EC29C45-2D3D-8843-89C7-2F0DA86ED9CC}"/>
    <hyperlink ref="C831" r:id="rId2210" display="https://www.uniprot.org/uniprot/Q8NFU7" xr:uid="{F8FF009A-26FD-C846-A5CB-4AA196F08F32}"/>
    <hyperlink ref="C830" r:id="rId2211" display="https://www.uniprot.org/uniprot/O14746" xr:uid="{80C8AA7A-02AB-CA48-B6A9-BBCB545AFB78}"/>
    <hyperlink ref="C826" r:id="rId2212" display="https://www.uniprot.org/uniprot/Q13207" xr:uid="{671C0FD1-AB1F-9E46-A8BB-31EC6EC6E53C}"/>
    <hyperlink ref="C825" r:id="rId2213" display="https://www.uniprot.org/uniprot/Q15813" xr:uid="{06FF760C-3DB3-F64A-B331-0A5215C65F6F}"/>
    <hyperlink ref="C824" r:id="rId2214" display="https://www.uniprot.org/uniprot/Q03518" xr:uid="{5210C351-D762-CA45-AFDF-0D41E68A5F80}"/>
    <hyperlink ref="C823" r:id="rId2215" display="https://www.uniprot.org/uniprot/Q8N5C8" xr:uid="{182F9860-9710-394C-8830-558BA120F1D2}"/>
    <hyperlink ref="C821" r:id="rId2216" display="https://www.uniprot.org/uniprot/Q9UGT4" xr:uid="{428AF529-0C2A-864B-B8A0-DC907E8D6D34}"/>
    <hyperlink ref="C819" r:id="rId2217" display="https://www.uniprot.org/uniprot/Q9UEE5" xr:uid="{A7D8FC28-B996-564D-A6D7-49B17F212B43}"/>
    <hyperlink ref="C818" r:id="rId2218" display="https://www.uniprot.org/uniprot/Q15831" xr:uid="{3B2CC85E-19EA-6D46-97BB-58DD518993C9}"/>
    <hyperlink ref="C816" r:id="rId2219" display="https://www.uniprot.org/uniprot/Q13586" xr:uid="{944820B4-A735-7E4A-B7D7-E58516FE2A53}"/>
    <hyperlink ref="C815" r:id="rId2220" display="https://www.uniprot.org/uniprot/P42226" xr:uid="{82FB3817-442C-9C47-B978-746B63A7447D}"/>
    <hyperlink ref="C814" r:id="rId2221" display="https://www.uniprot.org/uniprot/P51692" xr:uid="{6C2C84A3-518D-5446-9FFF-2530DA46FDC7}"/>
    <hyperlink ref="C813" r:id="rId2222" display="https://www.uniprot.org/uniprot/P42229" xr:uid="{258BF330-3F05-B045-9923-D93565324ACE}"/>
    <hyperlink ref="C812" r:id="rId2223" display="https://www.uniprot.org/uniprot/P40763" xr:uid="{84CDC7B8-5BB5-164D-8019-7B4085981991}"/>
    <hyperlink ref="C811" r:id="rId2224" display="https://www.uniprot.org/uniprot/P42224" xr:uid="{DAD27A0A-0B85-9047-9AE9-E1FEC258A1E6}"/>
    <hyperlink ref="C810" r:id="rId2225" display="https://www.uniprot.org/uniprot/P15907" xr:uid="{3123C122-ECF7-594E-9961-46ECBDE55F52}"/>
    <hyperlink ref="C809" r:id="rId2226" display="https://www.uniprot.org/uniprot/Q08170" xr:uid="{8B508013-7AD4-D841-9A3E-19F77D5A0F22}"/>
    <hyperlink ref="C806" r:id="rId2227" display="https://www.uniprot.org/uniprot/Q96SB4" xr:uid="{7556F286-4447-A44A-9D2B-71F7849F075C}"/>
    <hyperlink ref="C805" r:id="rId2228" display="https://www.uniprot.org/uniprot/Q12772" xr:uid="{D3D4DCE6-EA8E-2A43-AD42-AFD2CD35B695}"/>
    <hyperlink ref="C804" r:id="rId2229" display="https://www.uniprot.org/uniprot/P12931" xr:uid="{3DEF4A7F-C056-7444-A4DE-22B4ED3C425F}"/>
    <hyperlink ref="C803" r:id="rId2230" display="https://www.uniprot.org/uniprot/Q13501" xr:uid="{A10EF1D7-989E-0845-82D2-9B54E4D0BB5B}"/>
    <hyperlink ref="C800" r:id="rId2231" display="https://www.uniprot.org/uniprot/P09486" xr:uid="{D18131EB-F084-3A44-99C7-DB6FA89DAC0D}"/>
    <hyperlink ref="C797" r:id="rId2232" display="https://www.uniprot.org/uniprot/P48431" xr:uid="{04F7B1EA-9C18-1040-9B82-9DD082B89233}"/>
    <hyperlink ref="C794" r:id="rId2233" display="https://www.uniprot.org/uniprot/O00570" xr:uid="{F345F7B9-03D7-AE44-975A-7FB518660606}"/>
    <hyperlink ref="C792" r:id="rId2234" display="https://www.uniprot.org/uniprot/P00441" xr:uid="{824B2A76-30A4-C14D-9A4B-82FB61E639ED}"/>
    <hyperlink ref="C791" r:id="rId2235" display="https://www.uniprot.org/uniprot/O43623" xr:uid="{72804F09-9D5A-954B-BD2E-02F88305EDD4}"/>
    <hyperlink ref="C790" r:id="rId2236" display="https://www.uniprot.org/uniprot/O95863" xr:uid="{B0C0C689-3831-5147-A962-ED78B499C7DB}"/>
    <hyperlink ref="C789" r:id="rId2237" display="https://www.uniprot.org/uniprot/Q9HAU4" xr:uid="{9534301B-CF84-AC48-B701-1A4EE0C77254}"/>
    <hyperlink ref="C787" r:id="rId2238" display="https://www.uniprot.org/uniprot/Q99835" xr:uid="{A4127313-B135-2F42-AC22-6773236F490A}"/>
    <hyperlink ref="C786" r:id="rId2239" display="https://www.uniprot.org/uniprot/Q969G3" xr:uid="{407D9F6A-0419-E64E-B72D-B581B7D078FB}"/>
    <hyperlink ref="C785" r:id="rId2240" display="https://www.uniprot.org/uniprot/P51532" xr:uid="{983DBCC2-3AAB-4742-925D-A55163968461}"/>
    <hyperlink ref="C784" r:id="rId2241" display="https://www.uniprot.org/uniprot/P51531" xr:uid="{B019AD45-178A-AC46-B7CF-D211602349C8}"/>
    <hyperlink ref="C783" r:id="rId2242" display="https://www.uniprot.org/uniprot/Q13485" xr:uid="{D0FB4568-807C-AB41-A71A-2523E3F26480}"/>
    <hyperlink ref="C782" r:id="rId2243" display="https://www.uniprot.org/uniprot/Q8IY92" xr:uid="{D6BDEC18-7353-3C4A-B5AF-80DA581F4D7A}"/>
    <hyperlink ref="C780" r:id="rId2244" display="https://www.uniprot.org/uniprot/Q7Z7L1" xr:uid="{E4519770-AF31-E247-9E8D-9E864BAE635A}"/>
    <hyperlink ref="C779" r:id="rId2245" display="https://www.uniprot.org/uniprot/Q9NPD5" xr:uid="{C4BE574A-14D1-1F48-8251-4121F5236F4F}"/>
    <hyperlink ref="C776" r:id="rId2246" display="https://www.uniprot.org/uniprot/Q9UPY5" xr:uid="{5339A455-020F-F54F-B233-1B8E7A418D37}"/>
    <hyperlink ref="C775" r:id="rId2247" display="https://www.uniprot.org/uniprot/Q96NT5" xr:uid="{8931CB2D-DA8B-2243-9B54-84C979DC76A0}"/>
    <hyperlink ref="C774" r:id="rId2248" display="https://www.uniprot.org/uniprot/Q9NP59" xr:uid="{0C00CCA3-3B18-2040-AF94-E09A78BAEE67}"/>
    <hyperlink ref="C773" r:id="rId2249" display="https://www.uniprot.org/uniprot/P08195" xr:uid="{BBA32228-F021-4C4E-BE90-AC5378F78CA2}"/>
    <hyperlink ref="C771" r:id="rId2250" display="https://www.uniprot.org/uniprot/O15432" xr:uid="{8D7B9267-C266-384A-A1C3-7A94E4095F65}"/>
    <hyperlink ref="C770" r:id="rId2251" display="https://www.uniprot.org/uniprot/O15431" xr:uid="{B7815E14-2CA0-D34C-9FBC-17AC4B622B82}"/>
    <hyperlink ref="C769" r:id="rId2252" display="https://www.uniprot.org/uniprot/Q8TDB8" xr:uid="{6ED65EBD-7755-C04D-B51C-76EA9DFE1A8C}"/>
    <hyperlink ref="C767" r:id="rId2253" display="https://www.uniprot.org/uniprot/O14975" xr:uid="{09D33DF5-CFD2-174C-B513-537C32BDB382}"/>
    <hyperlink ref="C766" r:id="rId2254" display="https://www.uniprot.org/uniprot/P53007" xr:uid="{272238B1-72BE-784C-91F0-0A3BD071D363}"/>
    <hyperlink ref="C765" r:id="rId2255" display="https://www.uniprot.org/uniprot/O75751" xr:uid="{67C64C53-718D-2F49-A9FB-7CDA11C01A1D}"/>
    <hyperlink ref="C764" r:id="rId2256" display="https://www.uniprot.org/uniprot/O15244" xr:uid="{6AD478D0-304D-A04D-8532-F177E4C11708}"/>
    <hyperlink ref="C762" r:id="rId2257" display="https://www.uniprot.org/uniprot/Q15758" xr:uid="{0CB1981C-B8B1-2E4D-B3A1-AB6918A2843B}"/>
    <hyperlink ref="C761" r:id="rId2258" display="https://www.uniprot.org/uniprot/P41440" xr:uid="{6B40F77A-2F0E-1947-B041-2A85210EC744}"/>
    <hyperlink ref="C760" r:id="rId2259" display="https://www.uniprot.org/uniprot/Q15475" xr:uid="{D0C61FCB-3ECB-E04D-ABEC-4318DE3FF4F3}"/>
    <hyperlink ref="C758" r:id="rId2260" display="https://www.uniprot.org/uniprot/Q96EB6" xr:uid="{9D5334E4-D12F-9645-B952-FF47D70C854C}"/>
    <hyperlink ref="C754" r:id="rId2261" display="https://www.uniprot.org/uniprot/O00141" xr:uid="{F33F0497-5D15-094A-BD4E-9BEB66049DEE}"/>
    <hyperlink ref="C753" r:id="rId2262" display="https://www.uniprot.org/uniprot/Q5T4F7" xr:uid="{E02BC060-C5DF-BB4F-BC10-ACCADEA8428F}"/>
    <hyperlink ref="C752" r:id="rId2263" display="https://www.uniprot.org/uniprot/P31947" xr:uid="{B9C60381-2996-BD47-9648-723207A9019C}"/>
    <hyperlink ref="C751" r:id="rId2264" display="https://www.uniprot.org/uniprot/Q9BYW2" xr:uid="{2D2A2651-E1F0-2E41-B2F1-AE8766D201A7}"/>
    <hyperlink ref="C749" r:id="rId2265" display="https://www.uniprot.org/uniprot/P05121" xr:uid="{184C19E5-BF16-3C49-98A3-E99B8D0F8112}"/>
    <hyperlink ref="C748" r:id="rId2266" display="https://www.uniprot.org/uniprot/P29508" xr:uid="{52EF5255-FFB5-E241-BE7F-9C131140D3BB}"/>
    <hyperlink ref="C746" r:id="rId2267" display="https://www.uniprot.org/uniprot/Q9P0U3" xr:uid="{8D301CAD-3CCF-F449-900B-C07868654164}"/>
    <hyperlink ref="C745" r:id="rId2268" display="https://www.uniprot.org/uniprot/O14521" xr:uid="{5371EAC2-BEB8-D745-BCFC-C3B64FAB400C}"/>
    <hyperlink ref="C744" r:id="rId2269" display="https://www.uniprot.org/uniprot/Q99643" xr:uid="{D8C0F3CC-D41C-6F4E-BEEE-52CE6129B61F}"/>
    <hyperlink ref="C743" r:id="rId2270" display="https://www.uniprot.org/uniprot/P21912" xr:uid="{7A0A9D2C-6BE7-5140-9618-F9A90DD842C9}"/>
    <hyperlink ref="C739" r:id="rId2271" display="https://www.uniprot.org/uniprot/P21673" xr:uid="{7CBF48AC-8F4A-5442-94C7-911DA9A52376}"/>
    <hyperlink ref="C738" r:id="rId2272" display="https://www.uniprot.org/uniprot/P04271" xr:uid="{C363E9E2-A06A-0F4F-9E80-5B48FAB9449F}"/>
    <hyperlink ref="C736" r:id="rId2273" display="https://www.uniprot.org/uniprot/P31151" xr:uid="{73C3C964-69E5-A440-AC2A-3E072F32498B}"/>
    <hyperlink ref="C734" r:id="rId2274" display="https://www.uniprot.org/uniprot/Q13761" xr:uid="{558DCC7C-5CE8-0F41-8950-483CF3CC1ABE}"/>
    <hyperlink ref="C733" r:id="rId2275" display="https://www.uniprot.org/uniprot/P31350" xr:uid="{B4C431FB-2ABB-BA48-9515-D264C93DB89B}"/>
    <hyperlink ref="C732" r:id="rId2276" display="https://www.uniprot.org/uniprot/P08865" xr:uid="{441DB5C3-F308-1A44-B9F7-62FC97D68D38}"/>
    <hyperlink ref="C730" r:id="rId2277" display="https://www.uniprot.org/uniprot/Q9UBS0" xr:uid="{83C847BE-97EC-5A46-A5F8-291249A68F3F}"/>
    <hyperlink ref="C729" r:id="rId2278" display="https://www.uniprot.org/uniprot/P23443" xr:uid="{BFD4125A-3CD6-0745-A289-3A7E58D4A722}"/>
    <hyperlink ref="C728" r:id="rId2279" display="https://www.uniprot.org/uniprot/P51812" xr:uid="{A967FC9F-5011-F149-BDD7-E2096AD1B99F}"/>
    <hyperlink ref="C726" r:id="rId2280" display="https://www.uniprot.org/uniprot/P62701" xr:uid="{BE1336EA-08A3-2043-97E9-B62A18D91195}"/>
    <hyperlink ref="C725" r:id="rId2281" display="https://www.uniprot.org/uniprot/P60866" xr:uid="{AD6FC8A7-0102-D140-ADAB-BB62066CBE2E}"/>
    <hyperlink ref="C719" r:id="rId2282" display="https://www.uniprot.org/uniprot/Q01974" xr:uid="{5F043479-D01A-DC4C-9B7B-C9C9BC12E700}"/>
    <hyperlink ref="C717" r:id="rId2283" display="https://www.uniprot.org/uniprot/Q99496" xr:uid="{DC839970-2471-874C-A8A9-116A8EF55308}"/>
    <hyperlink ref="C716" r:id="rId2284" display="https://www.uniprot.org/uniprot/O00584" xr:uid="{E9BC8EA4-BF74-0049-B33D-4547BB6DFFD6}"/>
    <hyperlink ref="C715" r:id="rId2285" display="https://www.uniprot.org/uniprot/Q9Y572" xr:uid="{5F80C01F-9AB6-014E-9DD4-90DD557CF633}"/>
    <hyperlink ref="C714" r:id="rId2286" display="https://www.uniprot.org/uniprot/Q13546" xr:uid="{57CF4430-C351-4644-80F8-ADE58FBE2B31}"/>
    <hyperlink ref="C713" r:id="rId2287" display="https://www.uniprot.org/uniprot/Q5UIP0" xr:uid="{F3FAB040-27DA-F84A-968C-FE36C6ECAC04}"/>
    <hyperlink ref="C710" r:id="rId2288" display="https://www.uniprot.org/uniprot/Q9UGC6" xr:uid="{D589B976-78FA-F845-8606-09A414C1131F}"/>
    <hyperlink ref="C709" r:id="rId2289" display="https://www.uniprot.org/uniprot/O43665" xr:uid="{8708154E-8B2B-6347-97B6-BB5AFEBEC967}"/>
    <hyperlink ref="C708" r:id="rId2290" display="https://www.uniprot.org/uniprot/P35250" xr:uid="{4087A639-752B-9343-833C-BA4F0ECE6EDE}"/>
    <hyperlink ref="C707" r:id="rId2291" display="https://www.uniprot.org/uniprot/P35251" xr:uid="{2B53BEB7-15FA-5C4E-B09F-6EEF8BBBA833}"/>
    <hyperlink ref="C706" r:id="rId2292" display="https://www.uniprot.org/uniprot/O60673" xr:uid="{0ECA99D7-8047-C64D-8A7F-53E221BCC180}"/>
    <hyperlink ref="C705" r:id="rId2293" display="https://www.uniprot.org/uniprot/Q9UBZ9" xr:uid="{57790C5B-4322-384B-873A-9C1F4F14314C}"/>
    <hyperlink ref="C704" r:id="rId2294" display="https://www.uniprot.org/uniprot/P07949" xr:uid="{7D4688F6-B3B6-B24C-B568-2D5DB8D8A810}"/>
    <hyperlink ref="C702" r:id="rId2295" display="https://www.uniprot.org/uniprot/Q04206" xr:uid="{4ECE94B3-E7C7-FB4F-B59A-3182611848B1}"/>
    <hyperlink ref="C701" r:id="rId2296" display="https://www.uniprot.org/uniprot/O94761" xr:uid="{057DA371-459E-F847-970B-E57067C48B7E}"/>
    <hyperlink ref="C700" r:id="rId2297" display="https://www.uniprot.org/uniprot/P46063" xr:uid="{044E6389-9604-A24E-962C-102B3B1991DD}"/>
    <hyperlink ref="C699" r:id="rId2298" display="https://www.uniprot.org/uniprot/Q6XE24" xr:uid="{1367700F-D6D5-014A-A4AA-6F1453692F1F}"/>
    <hyperlink ref="C698" r:id="rId2299" display="https://www.uniprot.org/uniprot/P98179" xr:uid="{278BB66C-A637-8F48-9DB4-C1FE8FC0C122}"/>
    <hyperlink ref="C697" r:id="rId2300" display="https://www.uniprot.org/uniprot/Q96I25" xr:uid="{7152B0D6-C2FE-BE40-83DA-740B432D5803}"/>
    <hyperlink ref="C696" r:id="rId2301" display="https://www.uniprot.org/uniprot/Q99708" xr:uid="{7F6DCE95-C141-A249-9283-742A8A596D0D}"/>
    <hyperlink ref="C695" r:id="rId2302" display="https://www.uniprot.org/uniprot/P06400" xr:uid="{B0CF81DF-62FD-BB42-99ED-9F37B7D6D6E9}"/>
    <hyperlink ref="C692" r:id="rId2303" display="https://www.uniprot.org/uniprot/Q92698" xr:uid="{0064A630-A52E-4644-B356-69C864B1AD99}"/>
    <hyperlink ref="C691" r:id="rId2304" display="https://www.uniprot.org/uniprot/P43351" xr:uid="{EC29F93E-D1D3-1448-A796-EE40E477B3A9}"/>
    <hyperlink ref="C690" r:id="rId2305" display="https://www.uniprot.org/uniprot/O75771" xr:uid="{18A5AC44-95ED-C340-8CB5-CB147AF6EF4D}"/>
    <hyperlink ref="C689" r:id="rId2306" display="https://www.uniprot.org/uniprot/O43502" xr:uid="{B6481325-C919-EE4A-83C8-F5EF05B2C076}"/>
    <hyperlink ref="C688" r:id="rId2307" display="https://www.uniprot.org/uniprot/O15315" xr:uid="{9F738AFF-85F6-E94E-8270-AACE2B6C4811}"/>
    <hyperlink ref="C687" r:id="rId2308" display="https://www.uniprot.org/uniprot/Q06609" xr:uid="{8618E92B-051F-1648-8E44-BF7336BC6C8E}"/>
    <hyperlink ref="C686" r:id="rId2309" display="https://www.uniprot.org/uniprot/Q92878" xr:uid="{5612D427-3A82-5C44-8219-A5C976DB5452}"/>
    <hyperlink ref="C685" r:id="rId2310" display="https://www.uniprot.org/uniprot/P54727" xr:uid="{DA8F1C69-01AC-684E-81F7-7F3449B52CC1}"/>
    <hyperlink ref="C680" r:id="rId2311" display="https://www.uniprot.org/uniprot/P57735" xr:uid="{37210F27-7BC5-6142-BCD4-80F3845FDE68}"/>
    <hyperlink ref="C677" r:id="rId2312" display="https://www.uniprot.org/uniprot/P26045" xr:uid="{9142A9D7-4AA2-5148-91B7-71633D11B846}"/>
    <hyperlink ref="C676" r:id="rId2313" display="https://www.uniprot.org/uniprot/Q05397" xr:uid="{ED839157-3286-814C-93BE-96588EF9D12D}"/>
    <hyperlink ref="C675" r:id="rId2314" display="https://www.uniprot.org/uniprot/P35354" xr:uid="{D8A202E8-0BDA-C940-8A2B-8F1FA1EBC286}"/>
    <hyperlink ref="C673" r:id="rId2315" display="https://www.uniprot.org/uniprot/P60484" xr:uid="{4BC65231-229A-3643-8878-6F031CEF42E1}"/>
    <hyperlink ref="C672" r:id="rId2316" display="https://www.uniprot.org/uniprot/Q13635" xr:uid="{EE4A4702-0D52-824F-8C02-415D48760C6E}"/>
    <hyperlink ref="C671" r:id="rId2317" display="https://www.uniprot.org/uniprot/P25105" xr:uid="{122B6B5F-8FC2-8743-8F50-43A415D813CC}"/>
    <hyperlink ref="C670" r:id="rId2318" display="https://www.uniprot.org/uniprot/P28065" xr:uid="{D41B90DE-F9CC-7647-9438-627B84B2D78C}"/>
    <hyperlink ref="C669" r:id="rId2319" display="https://www.uniprot.org/uniprot/P40306" xr:uid="{C3057DC1-D776-E742-933E-C3877C84A5E6}"/>
    <hyperlink ref="C668" r:id="rId2320" display="https://www.uniprot.org/uniprot/P07477" xr:uid="{A5D3A80D-1A5F-2A46-AB37-B8D0BE34FFF4}"/>
    <hyperlink ref="C667" r:id="rId2321" display="https://www.uniprot.org/uniprot/Q9NZ81" xr:uid="{A1BFC9BB-B0CA-6E49-AE2F-E42D2AF605D0}"/>
    <hyperlink ref="C666" r:id="rId2322" display="https://www.uniprot.org/uniprot/O43490" xr:uid="{CFA88660-3A68-0240-AACB-91AEAD66CAB4}"/>
    <hyperlink ref="C665" r:id="rId2323" display="https://www.uniprot.org/uniprot/O75569" xr:uid="{2E6DB1DC-034D-DB4E-A4C4-893C4EFDE864}"/>
    <hyperlink ref="C664" r:id="rId2324" display="https://www.uniprot.org/uniprot/Q13976" xr:uid="{F4C57764-D559-9445-B7F2-C7EB3AC76C74}"/>
    <hyperlink ref="C663" r:id="rId2325" display="https://www.uniprot.org/uniprot/P78527" xr:uid="{1DE0AFDF-A011-9542-A4F8-39387C8FD911}"/>
    <hyperlink ref="C662" r:id="rId2326" display="https://www.uniprot.org/uniprot/Q05655" xr:uid="{275C77CC-9235-0A40-B357-F0CE5CF160FA}"/>
    <hyperlink ref="C661" r:id="rId2327" display="https://www.uniprot.org/uniprot/P05771" xr:uid="{AB96E044-0809-BD4E-AE0E-243242327AC5}"/>
    <hyperlink ref="C660" r:id="rId2328" display="https://www.uniprot.org/uniprot/P17252" xr:uid="{614BA6BD-CDC7-7E4E-AD64-323BCEBA674B}"/>
    <hyperlink ref="C659" r:id="rId2329" display="https://www.uniprot.org/uniprot/P10644" xr:uid="{7E52C500-697E-4441-B763-3A784FD5EAFF}"/>
    <hyperlink ref="C658" r:id="rId2330" display="https://www.uniprot.org/uniprot/O43741" xr:uid="{85CD011D-56EB-CA45-8091-EDA6706D3C70}"/>
    <hyperlink ref="C657" r:id="rId2331" display="https://www.uniprot.org/uniprot/Q9Y478" xr:uid="{1F2FED77-16CA-6740-93F0-8DDB0C8757BE}"/>
    <hyperlink ref="C656" r:id="rId2332" display="https://www.uniprot.org/uniprot/P54646" xr:uid="{930C8C70-9D3C-4145-93D3-F970D6915206}"/>
    <hyperlink ref="C655" r:id="rId2333" display="https://www.uniprot.org/uniprot/Q13131" xr:uid="{8A7245E2-7C2E-7D44-B5A0-09640EFA099F}"/>
    <hyperlink ref="C654" r:id="rId2334" display="https://www.uniprot.org/uniprot/P30048" xr:uid="{55BF08C9-6FD5-8347-BDFA-5B9C64DD43C6}"/>
    <hyperlink ref="C653" r:id="rId2335" display="https://www.uniprot.org/uniprot/P63151" xr:uid="{95028A0E-5986-AB47-942C-49398902F10E}"/>
    <hyperlink ref="C652" r:id="rId2336" display="https://www.uniprot.org/uniprot/P67775" xr:uid="{A03C5D03-A905-554D-A90A-6468B9D14808}"/>
    <hyperlink ref="C651" r:id="rId2337" display="https://www.uniprot.org/uniprot/O15297" xr:uid="{C448706C-18D7-5049-8B00-3CA0A21BBC6E}"/>
    <hyperlink ref="C647" r:id="rId2338" display="https://www.uniprot.org/uniprot/Q01860" xr:uid="{2FFB3635-B08F-7043-9D51-30FCB0633D18}"/>
    <hyperlink ref="C646" r:id="rId2339" display="https://www.uniprot.org/uniprot/Q15063" xr:uid="{059BDB9F-C320-CD40-BEA5-A8747D8428AF}"/>
    <hyperlink ref="C645" r:id="rId2340" display="https://www.uniprot.org/uniprot/O75417" xr:uid="{6FB7AF05-B07D-C44C-9793-C0D279B052E3}"/>
    <hyperlink ref="C644" r:id="rId2341" display="https://www.uniprot.org/uniprot/Q7Z5Q5" xr:uid="{612E0389-4BFF-0F41-A8A2-F90D2FA49889}"/>
    <hyperlink ref="C643" r:id="rId2342" display="https://www.uniprot.org/uniprot/Q9NP87" xr:uid="{9B25AB71-A5A7-1249-95B8-5A4EEDE75C89}"/>
    <hyperlink ref="C641" r:id="rId2343" display="https://www.uniprot.org/uniprot/Q9Y253" xr:uid="{D1F21B42-9EA9-344E-B718-C87E0BD30B50}"/>
    <hyperlink ref="C640" r:id="rId2344" display="https://www.uniprot.org/uniprot/Q9NRF9" xr:uid="{E6CC57AF-F079-9641-81D6-F08D11396C41}"/>
    <hyperlink ref="C639" r:id="rId2345" display="https://www.uniprot.org/uniprot/Q15054" xr:uid="{3F01B84A-0501-6947-95E3-6A55E08F7908}"/>
    <hyperlink ref="C638" r:id="rId2346" display="https://www.uniprot.org/uniprot/P49005" xr:uid="{E5A7480B-A410-C442-864D-C47958914FF9}"/>
    <hyperlink ref="C637" r:id="rId2347" display="https://www.uniprot.org/uniprot/P28340" xr:uid="{7AA41C6D-0CDB-694A-98A4-8E5E0EB91DC9}"/>
    <hyperlink ref="C636" r:id="rId2348" display="https://www.uniprot.org/uniprot/P06746" xr:uid="{EAAEAABF-FDE1-DE4D-8E8E-AF4CC39B6DF2}"/>
    <hyperlink ref="C635" r:id="rId2349" display="https://www.uniprot.org/uniprot/O00592" xr:uid="{3FDFFDF3-62DD-9542-A2DE-603DD5D70200}"/>
    <hyperlink ref="C634" r:id="rId2350" display="https://www.uniprot.org/uniprot/Q96T60" xr:uid="{9916C420-6F3A-F044-8EDC-7D85D1D97CD0}"/>
    <hyperlink ref="C633" r:id="rId2351" display="https://www.uniprot.org/uniprot/P54278" xr:uid="{35FF3FBD-570A-C14E-A272-9C1706EBC9C5}"/>
    <hyperlink ref="C630" r:id="rId2352" display="https://www.uniprot.org/uniprot/Q13794" xr:uid="{3A14DF94-A931-2640-A94E-4D2D22AEAC99}"/>
    <hyperlink ref="C629" r:id="rId2353" display="https://www.uniprot.org/uniprot/Q9NYY3" xr:uid="{5DF5F5CE-E4FC-A849-AAD6-BF1726FD8E0E}"/>
    <hyperlink ref="C628" r:id="rId2354" display="https://www.uniprot.org/uniprot/P53350" xr:uid="{A94A3C5A-84D5-DD46-93EA-A200A1ADAC3E}"/>
    <hyperlink ref="C627" r:id="rId2355" display="https://www.uniprot.org/uniprot/Q9Y263" xr:uid="{A16F12ED-1635-1549-919C-F7734C9C5C3B}"/>
    <hyperlink ref="C623" r:id="rId2356" display="https://www.uniprot.org/uniprot/Q9P1W9" xr:uid="{C04B4F78-A5D0-614C-BE0C-971F31E816BF}"/>
    <hyperlink ref="C622" r:id="rId2357" display="https://www.uniprot.org/uniprot/P11309" xr:uid="{7E6AD8DA-9BB4-C543-A99B-44DC0F485AAC}"/>
    <hyperlink ref="C621" r:id="rId2358" display="https://www.uniprot.org/uniprot/O00459" xr:uid="{1DED64D7-01AB-674D-961B-C4C766960634}"/>
    <hyperlink ref="C620" r:id="rId2359" display="https://www.uniprot.org/uniprot/P27986" xr:uid="{AFB6297E-C41F-A24D-B1EE-65B1E2933731}"/>
    <hyperlink ref="C618" r:id="rId2360" display="https://www.uniprot.org/uniprot/P42338" xr:uid="{1BAAE176-13DC-124F-A4FC-75BA6586901D}"/>
    <hyperlink ref="C617" r:id="rId2361" display="https://www.uniprot.org/uniprot/P42336" xr:uid="{2EDE75A2-3E1D-1342-9896-61479F0ECCF9}"/>
    <hyperlink ref="C615" r:id="rId2362" display="https://www.uniprot.org/uniprot/P35232" xr:uid="{7E87965A-E511-6A41-B59C-87D8A3BC1998}"/>
    <hyperlink ref="C614" r:id="rId2363" display="https://www.uniprot.org/uniprot/O00264" xr:uid="{47AE053E-4DD5-D743-A3E7-A767C7A4C463}"/>
    <hyperlink ref="C612" r:id="rId2364" display="https://www.uniprot.org/uniprot/P52209" xr:uid="{EB2EAEDD-1A47-3946-9735-5AC57D86C250}"/>
    <hyperlink ref="C611" r:id="rId2365" display="https://www.uniprot.org/uniprot/Q16875" xr:uid="{DF008DFC-7F6B-3746-AE77-4A2E007823BF}"/>
    <hyperlink ref="C608" r:id="rId2366" display="https://www.uniprot.org/uniprot/Q5T2W1" xr:uid="{1FFFA856-1D16-934D-99D3-9C8F8CEA4842}"/>
    <hyperlink ref="C603" r:id="rId2367" display="https://www.uniprot.org/uniprot/Q15118" xr:uid="{38936471-FD06-4D40-BB7F-B68612C7E30F}"/>
    <hyperlink ref="C602" r:id="rId2368" display="https://www.uniprot.org/uniprot/P30101" xr:uid="{1C4EE702-7101-B943-A2EC-8B1E304373F0}"/>
    <hyperlink ref="C601" r:id="rId2369" display="https://www.uniprot.org/uniprot/P09619" xr:uid="{F16D8FFB-AFE0-E742-8BEF-3B505263841E}"/>
    <hyperlink ref="C600" r:id="rId2370" display="https://www.uniprot.org/uniprot/P16234" xr:uid="{3281D9A3-5A1A-2347-A2A2-7F600730AB60}"/>
    <hyperlink ref="C599" r:id="rId2371" display="https://www.uniprot.org/uniprot/Q9GZP0" xr:uid="{B0DC4A84-F5B8-9D40-BB3B-8B7C42F4BC7B}"/>
    <hyperlink ref="C598" r:id="rId2372" display="https://www.uniprot.org/uniprot/Q53EL6" xr:uid="{962FD392-64CA-6543-8942-5BEF7A10EB15}"/>
    <hyperlink ref="C597" r:id="rId2373" display="https://www.uniprot.org/uniprot/P12004" xr:uid="{611FC2C2-2D90-2145-8AC0-1F9C34EBCBDF}"/>
    <hyperlink ref="C595" r:id="rId2374" display="https://www.uniprot.org/uniprot/Q96AQ6" xr:uid="{E28C21DF-3386-8543-A52C-2BFE8099A547}"/>
    <hyperlink ref="C594" r:id="rId2375" display="https://www.uniprot.org/uniprot/P40424" xr:uid="{D5957EF8-A149-CC44-A7EF-1E7D81855016}"/>
    <hyperlink ref="C592" r:id="rId2376" display="https://www.uniprot.org/uniprot/Q02962" xr:uid="{DBE4F2C2-6E22-E648-833B-80485FAAB58D}"/>
    <hyperlink ref="C591" r:id="rId2377" display="https://www.uniprot.org/uniprot/Q9UGN5" xr:uid="{24443561-305C-0949-9436-E1E64A390ADF}"/>
    <hyperlink ref="C590" r:id="rId2378" display="https://www.uniprot.org/uniprot/P09874" xr:uid="{3F78E52E-1B3B-BE4E-9839-2E07C6726670}"/>
    <hyperlink ref="C589" r:id="rId2379" display="https://www.uniprot.org/uniprot/Q99497" xr:uid="{4757C9E2-0164-814E-B374-96789EE345F0}"/>
    <hyperlink ref="C588" r:id="rId2380" display="https://www.uniprot.org/uniprot/Q86W56" xr:uid="{21F89E9E-3B86-C048-813D-FC69750667BF}"/>
    <hyperlink ref="C586" r:id="rId2381" display="https://www.uniprot.org/uniprot/O43252" xr:uid="{57E4FE21-9ABA-EB4B-BE62-C0CAFEAB99EC}"/>
    <hyperlink ref="C585" r:id="rId2382" display="https://www.uniprot.org/uniprot/Q8WX93" xr:uid="{EB966887-42CE-FE47-8FD5-504A3CEC2E9F}"/>
    <hyperlink ref="C584" r:id="rId2383" display="https://www.uniprot.org/uniprot/Q86YC2" xr:uid="{9E67CFB0-D3FD-114A-BB02-27F3E4E2C921}"/>
    <hyperlink ref="C581" r:id="rId2384" display="https://www.uniprot.org/uniprot/P07237" xr:uid="{C5F0A71F-042D-A749-8A28-F58214087F93}"/>
    <hyperlink ref="C580" r:id="rId2385" display="https://www.uniprot.org/uniprot/Q96D31" xr:uid="{BB2AA5ED-734C-1049-BAAC-C134646713E2}"/>
    <hyperlink ref="C579" r:id="rId2386" display="https://www.uniprot.org/uniprot/P37198" xr:uid="{F38B575B-A873-F046-8723-21676DC13A8D}"/>
    <hyperlink ref="C578" r:id="rId2387" display="https://www.uniprot.org/uniprot/P30989" xr:uid="{A68C2E5E-A80B-CA4A-894B-ECC64216FCA5}"/>
    <hyperlink ref="C577" r:id="rId2388" display="https://www.uniprot.org/uniprot/P30990" xr:uid="{BA4855AD-89D1-2C43-9530-1891CAD4795D}"/>
    <hyperlink ref="C576" r:id="rId2389" display="https://www.uniprot.org/uniprot/Q16288" xr:uid="{61227441-3EC3-964C-AFA3-08E7402BD850}"/>
    <hyperlink ref="C575" r:id="rId2390" display="https://www.uniprot.org/uniprot/P78549" xr:uid="{8FF918C0-0675-D94E-AC75-8A3BFB78C401}"/>
    <hyperlink ref="C574" r:id="rId2391" display="https://www.uniprot.org/uniprot/P21589" xr:uid="{8085DCC2-FC22-7C45-8DA1-43B8EC230CA4}"/>
    <hyperlink ref="C572" r:id="rId2392" display="https://www.uniprot.org/uniprot/P01111" xr:uid="{DA014373-7747-B949-8E0D-86403B7D7F9D}"/>
    <hyperlink ref="C571" r:id="rId2393" display="https://www.uniprot.org/uniprot/P22736" xr:uid="{0C09E8FF-FB23-C94C-8B8B-34788E6286B8}"/>
    <hyperlink ref="C570" r:id="rId2394" display="https://www.uniprot.org/uniprot/O75469" xr:uid="{A8D9C86B-48AF-0749-B78A-FA6A273D9DE9}"/>
    <hyperlink ref="C569" r:id="rId2395" display="https://www.uniprot.org/uniprot/P15559" xr:uid="{8A0D1E14-0057-7C47-99EE-775103A65654}"/>
    <hyperlink ref="C568" r:id="rId2396" display="https://www.uniprot.org/uniprot/P06748" xr:uid="{DE79D42B-8C00-FE47-B2C7-ED26A98E2251}"/>
    <hyperlink ref="C566" r:id="rId2397" display="https://www.uniprot.org/uniprot/Q9UM47" xr:uid="{966E6637-A207-364E-9363-08ADBED819DA}"/>
    <hyperlink ref="C565" r:id="rId2398" display="https://www.uniprot.org/uniprot/P46531" xr:uid="{9F98E50F-FED4-1548-8748-38D9A83B31A5}"/>
    <hyperlink ref="C564" r:id="rId2399" display="https://www.uniprot.org/uniprot/P29474" xr:uid="{EB024EBC-67FD-1347-8042-075D891930DA}"/>
    <hyperlink ref="C563" r:id="rId2400" display="https://www.uniprot.org/uniprot/P35228" xr:uid="{05903B01-5CC0-6441-B5CF-28AEFF7D7902}"/>
    <hyperlink ref="C562" r:id="rId2401" display="https://www.uniprot.org/uniprot/P29475" xr:uid="{3CCEA9A1-1D4E-B841-B205-F4A09EF55CCA}"/>
    <hyperlink ref="C560" r:id="rId2402" display="https://www.uniprot.org/uniprot/P14543" xr:uid="{CC088E6A-6DEF-DA47-AE65-CCC4C7342118}"/>
    <hyperlink ref="C559" r:id="rId2403" display="https://www.uniprot.org/uniprot/Q00653" xr:uid="{0C50C3D2-BAB0-E74B-A6BF-5BB48AF3486F}"/>
    <hyperlink ref="C558" r:id="rId2404" display="https://www.uniprot.org/uniprot/P19838" xr:uid="{B8499DCD-AB64-784A-B269-7FCAA3FA0106}"/>
    <hyperlink ref="C557" r:id="rId2405" display="https://www.uniprot.org/uniprot/Q16236" xr:uid="{7F56F372-740D-D647-88CA-1DE6CD435445}"/>
    <hyperlink ref="C555" r:id="rId2406" display="https://www.uniprot.org/uniprot/P21359" xr:uid="{91D33765-3B0F-5947-A32E-481C3CFBCE59}"/>
    <hyperlink ref="C554" r:id="rId2407" display="https://www.uniprot.org/uniprot/P48681" xr:uid="{526990A9-E2C7-8C43-A389-0111FF31FB9F}"/>
    <hyperlink ref="C553" r:id="rId2408" display="https://www.uniprot.org/uniprot/Q8NG66" xr:uid="{FFF88C99-4478-044F-9476-8E7F57789866}"/>
    <hyperlink ref="C552" r:id="rId2409" display="https://www.uniprot.org/uniprot/Q969S2" xr:uid="{555D7ABE-11CD-8243-BF31-248528F046C0}"/>
    <hyperlink ref="C551" r:id="rId2410" display="https://www.uniprot.org/uniprot/Q15843" xr:uid="{9649740D-B61A-E64A-821C-197A46461D7A}"/>
    <hyperlink ref="C547" r:id="rId2411" display="https://www.uniprot.org/uniprot/Q9Y6Q9" xr:uid="{2277A2F9-8C96-8C45-A7DA-1DC73A76491B}"/>
    <hyperlink ref="C546" r:id="rId2412" display="https://www.uniprot.org/uniprot/O60934" xr:uid="{958CC2BC-5FDC-B54A-BBEA-C5D364DB243C}"/>
    <hyperlink ref="C545" r:id="rId2413" display="https://www.uniprot.org/uniprot/Q8IVL0" xr:uid="{7B4B8C77-69FC-404C-A119-DD2205E09120}"/>
    <hyperlink ref="C544" r:id="rId2414" display="https://www.uniprot.org/uniprot/O96009" xr:uid="{FDD28DBB-B107-C44F-A473-77430277A96E}"/>
    <hyperlink ref="C542" r:id="rId2415" display="https://www.uniprot.org/uniprot/Q9H9S0" xr:uid="{B039B14C-A3FF-B444-9207-F53F0E4ABB32}"/>
    <hyperlink ref="C541" r:id="rId2416" display="https://www.uniprot.org/uniprot/Q96RE7" xr:uid="{9425E45C-5E09-7A4F-BC9A-93773ECB4DBD}"/>
    <hyperlink ref="C540" r:id="rId2417" display="https://www.uniprot.org/uniprot/P28698" xr:uid="{17F835A0-C4AF-F649-96E7-F0063E9B32F5}"/>
    <hyperlink ref="C539" r:id="rId2418" display="https://www.uniprot.org/uniprot/Q99836" xr:uid="{89722F78-1902-944E-8624-329005C37A0E}"/>
    <hyperlink ref="C538" r:id="rId2419" display="https://www.uniprot.org/uniprot/P01106" xr:uid="{120417BB-5040-E44F-A811-C9FB8BDEA445}"/>
    <hyperlink ref="C537" r:id="rId2420" display="https://www.uniprot.org/uniprot/Q14764" xr:uid="{F1113F6A-2051-A04A-8276-6FF79FCC0746}"/>
    <hyperlink ref="C536" r:id="rId2421" display="https://www.uniprot.org/uniprot/Q9UIF7" xr:uid="{24F303B7-0072-F847-9709-581D8FFA4360}"/>
    <hyperlink ref="C535" r:id="rId2422" display="https://www.uniprot.org/uniprot/Q96NY9" xr:uid="{761E9264-ED56-2349-ABD3-2E80B3FC8128}"/>
    <hyperlink ref="C533" r:id="rId2423" display="https://www.uniprot.org/uniprot/Q8WXI7" xr:uid="{9C3BE35F-97E0-9E43-B54E-3E844A0D9DCC}"/>
    <hyperlink ref="C532" r:id="rId2424" display="https://www.uniprot.org/uniprot/P15941" xr:uid="{8CEFA2A7-1BD4-E64A-8341-180C5B82684D}"/>
    <hyperlink ref="C531" r:id="rId2425" display="https://www.uniprot.org/uniprot/Q9UBK8" xr:uid="{3EBB795B-F47B-3D45-AAC1-0774C29FC85E}"/>
    <hyperlink ref="C530" r:id="rId2426" display="https://www.uniprot.org/uniprot/P42345" xr:uid="{AFA92297-CABF-DF4C-96B4-021F9A3DAFA8}"/>
    <hyperlink ref="C529" r:id="rId2427" display="https://www.uniprot.org/uniprot/Q86UE4" xr:uid="{A3B44960-2E92-FF40-9CDD-20C7C80FF9B5}"/>
    <hyperlink ref="C527" r:id="rId2428" display="https://www.uniprot.org/uniprot/P25713" xr:uid="{88513DB3-923D-8D44-9349-15E51D683426}"/>
    <hyperlink ref="C526" r:id="rId2429" display="https://www.uniprot.org/uniprot/P02795" xr:uid="{FC4B1961-A397-6543-9D73-BFA1CB137824}"/>
    <hyperlink ref="C525" r:id="rId2430" display="https://www.uniprot.org/uniprot/P04731" xr:uid="{EEB7B612-CCBB-8E4F-8547-7EF538F03A58}"/>
    <hyperlink ref="C524" r:id="rId2431" display="https://www.uniprot.org/uniprot/P28360" xr:uid="{491F0952-FB31-5F47-AEC6-52DE8FFE43B7}"/>
    <hyperlink ref="C522" r:id="rId2432" display="https://www.uniprot.org/uniprot/P52701" xr:uid="{E146B8E6-DFA0-874C-A2B8-B1872A04710C}"/>
    <hyperlink ref="C521" r:id="rId2433" display="https://www.uniprot.org/uniprot/O43196" xr:uid="{654C393E-B01F-FB42-8283-D3C62A163981}"/>
    <hyperlink ref="C520" r:id="rId2434" display="https://www.uniprot.org/uniprot/P20585" xr:uid="{3272722F-087A-AC41-9561-F66E0772957B}"/>
    <hyperlink ref="C519" r:id="rId2435" display="https://www.uniprot.org/uniprot/P43246" xr:uid="{4F31FD25-BE28-9644-97E8-9F2406F660E9}"/>
    <hyperlink ref="C518" r:id="rId2436" display="https://www.uniprot.org/uniprot/P49959" xr:uid="{41252A66-5A86-E24A-A5CA-E8FC5F9AF16D}"/>
    <hyperlink ref="C517" r:id="rId2437" display="https://www.uniprot.org/uniprot/Q96BY2" xr:uid="{04DEFF07-88E0-794F-80A5-FF90A7D4F959}"/>
    <hyperlink ref="C516" r:id="rId2438" display="https://www.uniprot.org/uniprot/P51948" xr:uid="{537D8E1D-5483-8744-8DF9-EB10F6273F8C}"/>
    <hyperlink ref="C515" r:id="rId2439" display="https://www.uniprot.org/uniprot/P14780" xr:uid="{68EF9CFD-63FA-5048-98E8-6ADB4CFB53F8}"/>
    <hyperlink ref="C512" r:id="rId2440" display="https://www.uniprot.org/uniprot/P08253" xr:uid="{B5079F7A-F778-DF49-893E-5B7FF2E8CCC7}"/>
    <hyperlink ref="C510" r:id="rId2441" display="https://www.uniprot.org/uniprot/P09238" xr:uid="{A098977A-AF11-C341-8B40-1920960752AB}"/>
    <hyperlink ref="C509" r:id="rId2442" display="https://www.uniprot.org/uniprot/P08473" xr:uid="{82C31877-DE0D-6E49-9DCF-B5B9B6FA8E8B}"/>
    <hyperlink ref="C508" r:id="rId2443" display="https://www.uniprot.org/uniprot/P40692" xr:uid="{E38649BB-8B59-074E-B6D8-DF648840F6E5}"/>
    <hyperlink ref="C507" r:id="rId2444" display="https://www.uniprot.org/uniprot/O75030" xr:uid="{A4774626-FD67-1C4F-B39C-877EDEB00CDE}"/>
    <hyperlink ref="C506" r:id="rId2445" display="https://www.uniprot.org/uniprot/Q9BRT3" xr:uid="{F5EE7769-9DBD-5A44-A7E5-55E20DD23898}"/>
    <hyperlink ref="C505" r:id="rId2446" display="https://www.uniprot.org/uniprot/Q9BPX6" xr:uid="{D3AD3D75-0217-F04E-A50D-74548F0F8D83}"/>
    <hyperlink ref="C504" r:id="rId2447" display="https://www.uniprot.org/uniprot/P16455" xr:uid="{497253F3-514F-D64A-A34A-BA77460BED8F}"/>
    <hyperlink ref="C502" r:id="rId2448" display="https://www.uniprot.org/uniprot/P26572" xr:uid="{DD146F89-282E-4A4C-B341-2C73957B5763}"/>
    <hyperlink ref="C500" r:id="rId2449" display="https://www.uniprot.org/uniprot/P08581" xr:uid="{6092B1EF-0F59-C547-96E3-C86ACB4E6A5B}"/>
    <hyperlink ref="C499" r:id="rId2450" display="https://www.uniprot.org/uniprot/O00255" xr:uid="{89A0EA9C-7CF7-6445-B143-7EEA0EAABE20}"/>
    <hyperlink ref="C498" r:id="rId2451" display="https://www.uniprot.org/uniprot/Q14680" xr:uid="{CB8DDC04-AF8A-EE4B-8B00-3369C80E6BE8}"/>
    <hyperlink ref="C497" r:id="rId2452" display="https://www.uniprot.org/uniprot/O15151" xr:uid="{B29D5345-B9C0-824B-9841-E8495ACEB5F4}"/>
    <hyperlink ref="C496" r:id="rId2453" display="https://www.uniprot.org/uniprot/Q00987" xr:uid="{5095706A-BAA5-FD45-804C-C1D291FFF7FC}"/>
    <hyperlink ref="C493" r:id="rId2454" display="https://www.uniprot.org/uniprot/Q07820" xr:uid="{379BB80C-8298-794C-A3B7-41B8E596DDDB}"/>
    <hyperlink ref="C490" r:id="rId2455" display="https://www.uniprot.org/uniprot/P45984" xr:uid="{DABA690A-E066-6A48-8989-C630E19B84C9}"/>
    <hyperlink ref="C489" r:id="rId2456" display="https://www.uniprot.org/uniprot/P45983" xr:uid="{3CB35798-C097-4B49-8187-DA55995AD189}"/>
    <hyperlink ref="C488" r:id="rId2457" display="https://www.uniprot.org/uniprot/P27361" xr:uid="{DCB95515-4A9D-0D40-B8A0-08730E60FACF}"/>
    <hyperlink ref="C487" r:id="rId2458" display="https://www.uniprot.org/uniprot/Q16539" xr:uid="{664B357C-7C6C-5941-AE72-4C38582EF5CF}"/>
    <hyperlink ref="C486" r:id="rId2459" display="https://www.uniprot.org/uniprot/O15264" xr:uid="{51722DFF-299B-6A4C-8D7F-6DA542521D75}"/>
    <hyperlink ref="C485" r:id="rId2460" display="https://www.uniprot.org/uniprot/P53778" xr:uid="{D37D0D2A-06B3-FC4A-90AC-2EA64C9F4AEA}"/>
    <hyperlink ref="C484" r:id="rId2461" display="https://www.uniprot.org/uniprot/Q15759" xr:uid="{4E358F51-2CAF-BF4F-AAB9-19B2107C22F4}"/>
    <hyperlink ref="C483" r:id="rId2462" display="https://www.uniprot.org/uniprot/P28482" xr:uid="{57F28F93-C8D9-3942-A4B6-162F54448874}"/>
    <hyperlink ref="C481" r:id="rId2463" display="https://www.uniprot.org/uniprot/Q99683" xr:uid="{AAF5A226-CEDC-464B-842C-B10C026772D8}"/>
    <hyperlink ref="C480" r:id="rId2464" display="https://www.uniprot.org/uniprot/Q13233" xr:uid="{552B2A67-E7DE-2E4A-A8B9-E6E7D165FBD2}"/>
    <hyperlink ref="C479" r:id="rId2465" display="https://www.uniprot.org/uniprot/P45985" xr:uid="{879DF34D-8FD8-A441-BF2C-8BD6DB1B1EF3}"/>
    <hyperlink ref="C478" r:id="rId2466" display="https://www.uniprot.org/uniprot/P46734" xr:uid="{6925A9A7-C151-294B-A67C-F8F3AA030C70}"/>
    <hyperlink ref="C477" r:id="rId2467" display="https://www.uniprot.org/uniprot/Q02750" xr:uid="{EC9ADCAF-1562-B14E-BBBF-197B92E53027}"/>
    <hyperlink ref="C476" r:id="rId2468" display="https://www.uniprot.org/uniprot/Q9GZQ8" xr:uid="{AE8321C8-F0D9-4B4A-8EAB-2F2C774BC374}"/>
    <hyperlink ref="C475" r:id="rId2469" display="https://www.uniprot.org/uniprot/Q9H492" xr:uid="{17B0CD1C-682C-1D4C-AE71-01C15FEB471B}"/>
    <hyperlink ref="C473" r:id="rId2470" display="https://www.uniprot.org/uniprot/P21145" xr:uid="{071F7F79-2A58-1F49-9725-5E7EE47E203A}"/>
    <hyperlink ref="C472" r:id="rId2471" display="https://www.uniprot.org/uniprot/O15525" xr:uid="{5C2A9000-E2EA-4D45-ACD6-E2672B748E2B}"/>
    <hyperlink ref="C471" r:id="rId2472" display="https://www.uniprot.org/uniprot/Q9UI95" xr:uid="{0D4C0F88-757E-424F-9B64-403B560D2456}"/>
    <hyperlink ref="C470" r:id="rId2473" display="https://www.uniprot.org/uniprot/Q6ZN28" xr:uid="{85AA76DA-137C-B845-9361-F75F0E94394A}"/>
    <hyperlink ref="C469" r:id="rId2474" display="https://www.uniprot.org/uniprot/O95232" xr:uid="{E97CA696-2647-AD45-B558-89FA1692C9BD}"/>
    <hyperlink ref="C468" r:id="rId2475" display="https://www.uniprot.org/uniprot/Q9NPC1" xr:uid="{AE8E5685-938E-004E-A04E-9BEE10F6631D}"/>
    <hyperlink ref="C466" r:id="rId2476" display="https://www.uniprot.org/uniprot/Q7L1W4" xr:uid="{38342AB4-5AFF-C64C-B79A-64DF20B7AB40}"/>
    <hyperlink ref="C465" r:id="rId2477" display="https://www.uniprot.org/uniprot/Q8IWT6" xr:uid="{2C166887-6E5D-0047-B894-FBF52A2445D1}"/>
    <hyperlink ref="C463" r:id="rId2478" display="https://www.uniprot.org/uniprot/Q9UIQ6" xr:uid="{48AF37D8-03CE-D343-A782-32F48A5C46BE}"/>
    <hyperlink ref="C462" r:id="rId2479" display="https://www.uniprot.org/uniprot/P61968" xr:uid="{48F5EC76-0E5C-7A41-B187-43B3DC10AB7C}"/>
    <hyperlink ref="C461" r:id="rId2480" display="https://www.uniprot.org/uniprot/Q6ZN17" xr:uid="{AC851D70-05A1-7147-9D61-98BCF9CE72BD}"/>
    <hyperlink ref="C460" r:id="rId2481" display="https://www.uniprot.org/uniprot/Q9H9Z2" xr:uid="{4BF513A2-42DC-084F-873B-D4DE875CB20B}"/>
    <hyperlink ref="C459" r:id="rId2482" display="https://www.uniprot.org/uniprot/P49917" xr:uid="{B4BBC93E-971F-DF4D-9850-D89878D1B908}"/>
    <hyperlink ref="C458" r:id="rId2483" display="https://www.uniprot.org/uniprot/P49916" xr:uid="{A24C0263-6FFD-EF40-AC2C-D33C2ADB053F}"/>
    <hyperlink ref="C457" r:id="rId2484" display="https://www.uniprot.org/uniprot/P17931" xr:uid="{35CA7BBF-0F1C-104D-ADF0-E0A429629F33}"/>
    <hyperlink ref="C454" r:id="rId2485" display="https://www.uniprot.org/uniprot/O95835" xr:uid="{E2E35AC3-C52C-1540-8804-522BCDDC8F38}"/>
    <hyperlink ref="C453" r:id="rId2486" display="https://www.uniprot.org/uniprot/O43504" xr:uid="{DBBDE539-89AA-9743-A917-81E7635FBECD}"/>
    <hyperlink ref="C452" r:id="rId2487" display="https://www.uniprot.org/uniprot/P32004" xr:uid="{5643D72D-C6C5-6948-99CB-885CF9FCE8A2}"/>
    <hyperlink ref="C451" r:id="rId2488" display="https://www.uniprot.org/uniprot/P05787" xr:uid="{712B8B58-3877-6D45-9B21-6236F5503368}"/>
    <hyperlink ref="C450" r:id="rId2489" display="https://www.uniprot.org/uniprot/P13647" xr:uid="{46266095-ED6E-B444-8DC3-6E206C95E8F7}"/>
    <hyperlink ref="C449" r:id="rId2490" display="https://www.uniprot.org/uniprot/P05783" xr:uid="{4B71A93E-86D2-FB4C-B094-2A2F3B7DAE12}"/>
    <hyperlink ref="C448" r:id="rId2491" display="https://www.uniprot.org/uniprot/P13645" xr:uid="{1C2F76B1-CD4D-7B4A-BD14-3677282E776E}"/>
    <hyperlink ref="C446" r:id="rId2492" display="https://www.uniprot.org/uniprot/P01116" xr:uid="{F50F52B1-218A-2D49-950B-98841DC8435C}"/>
    <hyperlink ref="C443" r:id="rId2493" display="https://www.uniprot.org/uniprot/Q13887" xr:uid="{FE364145-4D7E-714D-BB9E-88044CEDC051}"/>
    <hyperlink ref="C441" r:id="rId2494" display="https://www.uniprot.org/uniprot/P10721" xr:uid="{8EE5D0CA-1C9C-2145-A26D-7C552A4447A4}"/>
    <hyperlink ref="C439" r:id="rId2495" display="https://www.uniprot.org/uniprot/O95235" xr:uid="{F2E96013-B303-5E42-95D3-9F1AD29DF383}"/>
    <hyperlink ref="C438" r:id="rId2496" display="https://www.uniprot.org/uniprot/Q14145" xr:uid="{FD6217E4-607C-2345-9B88-2D8CF9B4639A}"/>
    <hyperlink ref="C437" r:id="rId2497" display="https://www.uniprot.org/uniprot/P35968" xr:uid="{977D238D-C26D-284D-A7D6-30612678DCB6}"/>
    <hyperlink ref="C435" r:id="rId2498" display="https://www.uniprot.org/uniprot/Q9Y4C1" xr:uid="{BAF41FD0-7D08-C14B-9377-6FA66FC2C651}"/>
    <hyperlink ref="C434" r:id="rId2499" display="https://www.uniprot.org/uniprot/Q12791" xr:uid="{DF51C0AA-7B7A-5045-8360-3BA740EC68B5}"/>
    <hyperlink ref="C430" r:id="rId2500" display="https://www.uniprot.org/uniprot/P17535" xr:uid="{5D592996-5514-B142-B0AF-2FC8FBE48AF3}"/>
    <hyperlink ref="C429" r:id="rId2501" display="https://www.uniprot.org/uniprot/P17275" xr:uid="{AA9017EF-3CDE-DC4B-9243-9242445EB8A4}"/>
    <hyperlink ref="C428" r:id="rId2502" display="https://www.uniprot.org/uniprot/P05412" xr:uid="{CE9687AD-D035-6344-907B-A93E2D9AB6DB}"/>
    <hyperlink ref="C427" r:id="rId2503" display="https://www.uniprot.org/uniprot/O60674" xr:uid="{60AB6F7B-D7FA-3D48-930E-0CDA62BC8652}"/>
    <hyperlink ref="C426" r:id="rId2504" display="https://www.uniprot.org/uniprot/P78504" xr:uid="{6E7BBE86-A1BC-8741-BCC3-A71D93D4E196}"/>
    <hyperlink ref="C424" r:id="rId2505" display="https://www.uniprot.org/uniprot/O43736" xr:uid="{D5930313-E675-3547-9C8A-7115B7D5C759}"/>
    <hyperlink ref="C423" r:id="rId2506" display="https://www.uniprot.org/uniprot/P26012" xr:uid="{BB331A04-7755-2C4B-99AD-BC0D53EEADEC}"/>
    <hyperlink ref="C421" r:id="rId2507" display="https://www.uniprot.org/uniprot/P18084" xr:uid="{F2A75136-1271-0B47-A7EF-3742813B7B04}"/>
    <hyperlink ref="C419" r:id="rId2508" display="https://www.uniprot.org/uniprot/P23229" xr:uid="{214BE73B-5F02-9F40-873C-454998B5DB3D}"/>
    <hyperlink ref="C418" r:id="rId2509" display="https://www.uniprot.org/uniprot/P08648" xr:uid="{BFFDE0CE-17E8-8A41-A5B6-2F1F26F6CABC}"/>
    <hyperlink ref="C417" r:id="rId2510" display="https://www.uniprot.org/uniprot/P10914" xr:uid="{CC392371-7EFC-9849-BE89-69F89EAAC0B7}"/>
    <hyperlink ref="C414" r:id="rId2511" display="https://www.uniprot.org/uniprot/P08887" xr:uid="{7AD4B705-517A-1E46-9EA2-52B2E1BE6080}"/>
    <hyperlink ref="C413" r:id="rId2512" display="https://www.uniprot.org/uniprot/P05231" xr:uid="{E72554C3-5300-6341-A13A-10D08294413A}"/>
    <hyperlink ref="C408" r:id="rId2513" display="https://www.uniprot.org/uniprot/P01583" xr:uid="{7E688173-E78D-124D-BBD4-2E8C7E179B49}"/>
    <hyperlink ref="C406" r:id="rId2514" display="https://www.uniprot.org/uniprot/P20809" xr:uid="{CEF89EE7-D24A-C747-AA14-D74A9A7ACC50}"/>
    <hyperlink ref="C405" r:id="rId2515" display="https://www.uniprot.org/uniprot/Q14164" xr:uid="{C08CA304-7C0F-DB47-BB1B-87A97FCE7DFA}"/>
    <hyperlink ref="C402" r:id="rId2516" display="https://www.uniprot.org/uniprot/O00425" xr:uid="{71620738-A13B-3A46-8067-2492BB75FF6E}"/>
    <hyperlink ref="C401" r:id="rId2517" display="https://www.uniprot.org/uniprot/Q9NZI8" xr:uid="{2A4EF96C-4D62-674D-B80E-4FDEF082B97C}"/>
    <hyperlink ref="C400" r:id="rId2518" display="https://www.uniprot.org/uniprot/P01344" xr:uid="{7C6E2C25-60E5-CD4D-8294-C0A3D0A06C90}"/>
    <hyperlink ref="C399" r:id="rId2519" display="https://www.uniprot.org/uniprot/P08069" xr:uid="{16A70AC0-6748-B54F-B8C9-3665BAC0DD3E}"/>
    <hyperlink ref="C398" r:id="rId2520" display="https://www.uniprot.org/uniprot/P05019" xr:uid="{558F64BC-7821-E645-BCAB-DAE934B75B4E}"/>
    <hyperlink ref="C394" r:id="rId2521" display="https://www.uniprot.org/uniprot/O43464" xr:uid="{6DF659DF-D147-E645-9E05-E10A0C999BB2}"/>
    <hyperlink ref="C392" r:id="rId2522" display="https://www.uniprot.org/uniprot/P04792" xr:uid="{827EFF99-9D8A-4D41-9E6F-8FFC59BA2565}"/>
    <hyperlink ref="C391" r:id="rId2523" display="https://www.uniprot.org/uniprot/P11021" xr:uid="{063BB4EC-DD08-214C-B236-15F05CB13801}"/>
    <hyperlink ref="C388" r:id="rId2524" display="https://www.uniprot.org/uniprot/P08238" xr:uid="{E79F1034-98DD-3846-A59D-0620542973D5}"/>
    <hyperlink ref="C387" r:id="rId2525" display="https://www.uniprot.org/uniprot/P07900" xr:uid="{C6C760AB-7D84-A044-815B-9E918A68E127}"/>
    <hyperlink ref="C390" r:id="rId2526" display="https://www.uniprot.org/uniprot/P0DMV9" xr:uid="{33A29559-0DE7-1442-B0BD-0C3BD1E10220}"/>
    <hyperlink ref="C386" r:id="rId2527" display="https://www.uniprot.org/uniprot/Q00613" xr:uid="{AFEB25E2-B72E-8342-B6FC-F99A54C926F9}"/>
    <hyperlink ref="C384" r:id="rId2528" display="https://www.uniprot.org/uniprot/P13378" xr:uid="{B3D2F263-6FA0-B544-97AE-7A6088D594EE}"/>
    <hyperlink ref="C382" r:id="rId2529" display="https://www.uniprot.org/uniprot/P17483" xr:uid="{72E89A11-34BC-8E4D-A2CC-7CC2F83B6B20}"/>
    <hyperlink ref="C380" r:id="rId2530" display="https://www.uniprot.org/uniprot/Q92826" xr:uid="{77172506-D6E5-E74A-8FBF-4AB760367DD3}"/>
    <hyperlink ref="C378" r:id="rId2531" display="https://www.uniprot.org/uniprot/P31271" xr:uid="{0A44EB80-AD7C-EF4B-B307-277248EF9ADD}"/>
    <hyperlink ref="C377" r:id="rId2532" display="https://www.uniprot.org/uniprot/P35680" xr:uid="{AF971AB8-FEDD-8346-8DCD-BF39B0542EB7}"/>
    <hyperlink ref="C376" r:id="rId2533" display="https://www.uniprot.org/uniprot/P09601" xr:uid="{27B63150-9EA0-A940-9FE7-0F27C9A2F05E}"/>
    <hyperlink ref="C375" r:id="rId2534" display="https://www.uniprot.org/uniprot/P04035" xr:uid="{47285BC7-E1CA-A145-8D04-56B47359615D}"/>
    <hyperlink ref="C373" r:id="rId2535" display="https://www.uniprot.org/uniprot/P09429" xr:uid="{C50D9F8D-0D51-FD41-BD9E-5CF6E7B334AB}"/>
    <hyperlink ref="C372" r:id="rId2536" display="https://www.uniprot.org/uniprot/P52789" xr:uid="{0C1BEF04-6531-054E-A37D-444B5EF93B29}"/>
    <hyperlink ref="C371" r:id="rId2537" display="https://www.uniprot.org/uniprot/Q9H2X6" xr:uid="{F73133F2-2257-304B-9711-4C200019636A}"/>
    <hyperlink ref="C370" r:id="rId2538" display="https://www.uniprot.org/uniprot/Q16665" xr:uid="{F4E393E8-41AE-0E48-A445-1ACC1CB7187F}"/>
    <hyperlink ref="C368" r:id="rId2539" display="https://www.uniprot.org/uniprot/P14210" xr:uid="{05902FF2-38F0-6D44-99AD-1671215C06B0}"/>
    <hyperlink ref="C366" r:id="rId2540" display="https://www.uniprot.org/uniprot/Q8TDG4" xr:uid="{36C7A531-0C11-7743-BD80-DB4F8CA9840E}"/>
    <hyperlink ref="C365" r:id="rId2541" display="https://www.uniprot.org/uniprot/Q5T447" xr:uid="{EDD75E86-D6CA-C146-96D8-3C3958905534}"/>
    <hyperlink ref="C364" r:id="rId2542" display="https://www.uniprot.org/uniprot/P56524" xr:uid="{B86936BC-9141-284F-92F2-535BF94416A3}"/>
    <hyperlink ref="C362" r:id="rId2543" display="https://www.uniprot.org/uniprot/Q13547" xr:uid="{DC2562B5-540A-0047-BF7D-B3B31776630B}"/>
    <hyperlink ref="C361" r:id="rId2544" display="https://www.uniprot.org/uniprot/Q9NWW0" xr:uid="{83F6DD43-D528-DF4E-976D-4FBC0A7B7E8D}"/>
    <hyperlink ref="C360" r:id="rId2545" display="https://www.uniprot.org/uniprot/Q99075" xr:uid="{8C0B8EAA-7D15-5844-8908-59F4C8202E93}"/>
    <hyperlink ref="C359" r:id="rId2546" display="https://www.uniprot.org/uniprot/O95479" xr:uid="{1F855A95-92E6-3F4E-8EB2-F8E8CA889D59}"/>
    <hyperlink ref="C358" r:id="rId2547" display="https://www.uniprot.org/uniprot/P16104" xr:uid="{45B97939-C33F-0044-B695-FA4E60404098}"/>
    <hyperlink ref="C357" r:id="rId2548" display="https://www.uniprot.org/uniprot/P30711" xr:uid="{B9341F0C-AD05-A040-BBD3-8B0336BC9DDB}"/>
    <hyperlink ref="C356" r:id="rId2549" display="https://www.uniprot.org/uniprot/P09211" xr:uid="{21A7E680-8A76-144A-A077-FC12EF0BD8FC}"/>
    <hyperlink ref="C354" r:id="rId2550" display="https://www.uniprot.org/uniprot/P09488" xr:uid="{7C62157B-FBA8-C647-92D5-3153396D361B}"/>
    <hyperlink ref="C353" r:id="rId2551" display="https://www.uniprot.org/uniprot/Q9Y2Q3" xr:uid="{2A594AE3-F431-3643-9946-7FAC84D04BD3}"/>
    <hyperlink ref="C352" r:id="rId2552" display="https://www.uniprot.org/uniprot/P08263" xr:uid="{BCE062FC-4C6A-0042-8CD4-F8EDB4A09567}"/>
    <hyperlink ref="C350" r:id="rId2553" display="https://www.uniprot.org/uniprot/P00390" xr:uid="{E4E20B84-D4FF-A54C-9648-1111447890B5}"/>
    <hyperlink ref="C349" r:id="rId2554" display="https://www.uniprot.org/uniprot/P06396" xr:uid="{D9FEE70B-0E89-9E4E-BFF6-8A7CF7B44A38}"/>
    <hyperlink ref="C347" r:id="rId2555" display="https://www.uniprot.org/uniprot/O60565" xr:uid="{6622D51B-0932-7640-B327-A87BC407C426}"/>
    <hyperlink ref="C346" r:id="rId2556" display="https://www.uniprot.org/uniprot/Q4ZG55" xr:uid="{A60FBC80-755B-3F45-ACFF-9836C871060F}"/>
    <hyperlink ref="C344" r:id="rId2557" display="https://www.uniprot.org/uniprot/P22352" xr:uid="{01C1E7E8-7F5B-5B47-847B-B0A2BBC80EF9}"/>
    <hyperlink ref="C342" r:id="rId2558" display="https://www.uniprot.org/uniprot/Q86WP2" xr:uid="{997578AD-6D31-234A-8DE0-765DBE9D7C6C}"/>
    <hyperlink ref="C341" r:id="rId2559" display="https://www.uniprot.org/uniprot/Q9H4A5" xr:uid="{8E9F4877-5077-D34C-80BA-DF49BEBCC023}"/>
    <hyperlink ref="C339" r:id="rId2560" display="https://www.uniprot.org/uniprot/Q9UJJ9" xr:uid="{1C649212-AF36-9E4B-8191-2F59E4C28737}"/>
    <hyperlink ref="C335" r:id="rId2561" display="https://www.uniprot.org/uniprot/P08151" xr:uid="{27EC5043-CD24-6849-A1EB-82E068C67222}"/>
    <hyperlink ref="C334" r:id="rId2562" display="https://www.uniprot.org/uniprot/P17302" xr:uid="{E5693C7F-6F75-3047-BD5E-3BA864D4F093}"/>
    <hyperlink ref="C332" r:id="rId2563" display="https://www.uniprot.org/uniprot/Q9H3C7" xr:uid="{D7756726-8E35-AC42-9E8F-94C276F34A57}"/>
    <hyperlink ref="C331" r:id="rId2564" display="https://www.uniprot.org/uniprot/P56159" xr:uid="{48C4F0B1-7FB9-0F49-91F8-1279AC014442}"/>
    <hyperlink ref="C330" r:id="rId2565" display="https://www.uniprot.org/uniprot/Q99988" xr:uid="{483EC703-C2B3-DD4D-87AE-EDFBEE3AF76C}"/>
    <hyperlink ref="C328" r:id="rId2566" display="https://www.uniprot.org/uniprot/P48506" xr:uid="{19031574-4872-574C-AEE0-BA5C1A1C80D0}"/>
    <hyperlink ref="C327" r:id="rId2567" display="https://www.uniprot.org/uniprot/Q14393" xr:uid="{8A3D79E6-6493-154B-A1EC-6343438FD229}"/>
    <hyperlink ref="C326" r:id="rId2568" display="https://www.uniprot.org/uniprot/Q8TAE8" xr:uid="{B31C9089-0F36-354A-A7DA-E08469469B4F}"/>
    <hyperlink ref="C325" r:id="rId2569" display="https://www.uniprot.org/uniprot/P24522" xr:uid="{565631A6-6B83-DB45-8991-81288EC368B5}"/>
    <hyperlink ref="C323" r:id="rId2570" display="https://www.uniprot.org/uniprot/P11413" xr:uid="{460F2338-4D52-264E-A1DA-3DFA80BCE223}"/>
    <hyperlink ref="C321" r:id="rId2571" display="https://www.uniprot.org/uniprot/Q96AE4" xr:uid="{685A9C88-E828-4E49-8EC9-C8D5FF556894}"/>
    <hyperlink ref="C319" r:id="rId2572" display="https://www.uniprot.org/uniprot/Q9H334" xr:uid="{2CFFDA20-0665-D941-937F-EE87F647CD73}"/>
    <hyperlink ref="C318" r:id="rId2573" display="https://www.uniprot.org/uniprot/O43524" xr:uid="{98FC1086-D053-F244-9DF4-101435D8B573}"/>
    <hyperlink ref="C317" r:id="rId2574" display="https://www.uniprot.org/uniprot/Q12778" xr:uid="{ABF677EE-D518-824E-85E0-27B45F6CBE95}"/>
    <hyperlink ref="C316" r:id="rId2575" display="https://www.uniprot.org/uniprot/Q08050" xr:uid="{11CBD6C1-A9BA-2146-B37F-C18EEBFA1B80}"/>
    <hyperlink ref="C315" r:id="rId2576" display="https://www.uniprot.org/uniprot/Q99958" xr:uid="{E4D0BA57-30FF-C547-946F-55FEC2530AF9}"/>
    <hyperlink ref="C314" r:id="rId2577" display="https://www.uniprot.org/uniprot/P15407" xr:uid="{8E42E363-DCE8-0444-A260-55335E39224F}"/>
    <hyperlink ref="C313" r:id="rId2578" display="https://www.uniprot.org/uniprot/P53539" xr:uid="{FBCE9BF7-4C31-3441-9555-9EC8A5E8C806}"/>
    <hyperlink ref="C312" r:id="rId2579" display="https://www.uniprot.org/uniprot/P01100" xr:uid="{0C1D19AB-9B03-8F40-808D-A2979E13DF83}"/>
    <hyperlink ref="C310" r:id="rId2580" display="https://www.uniprot.org/uniprot/P15328" xr:uid="{3259EFD8-4520-FD4A-B902-CED91DA40C8D}"/>
    <hyperlink ref="C306" r:id="rId2581" display="https://www.uniprot.org/uniprot/P07954" xr:uid="{92832497-3D53-974F-9846-E24B84336551}"/>
    <hyperlink ref="C303" r:id="rId2582" display="https://www.uniprot.org/uniprot/P05230" xr:uid="{5FBF4A81-3BF5-DD4D-B561-CAA38C76BAD4}"/>
    <hyperlink ref="C302" r:id="rId2583" display="https://www.uniprot.org/uniprot/P39748" xr:uid="{570B310C-E7B0-C142-B7B5-B28A9C71C691}"/>
    <hyperlink ref="C301" r:id="rId2584" display="https://www.uniprot.org/uniprot/Q969P5" xr:uid="{0124879A-91C6-0645-B7D6-A3B5CA27C17A}"/>
    <hyperlink ref="C300" r:id="rId2585" display="https://www.uniprot.org/uniprot/P35544" xr:uid="{4609A846-1959-5A4F-B44D-D5ABFBF81D5E}"/>
    <hyperlink ref="C298" r:id="rId2586" display="https://www.uniprot.org/uniprot/P49327" xr:uid="{1AFE3A30-1499-3141-94FA-C922901DD003}"/>
    <hyperlink ref="C297" r:id="rId2587" display="https://www.uniprot.org/uniprot/P48023" xr:uid="{869D5F9B-D358-ED4D-9D22-18BB8782BD5C}"/>
    <hyperlink ref="C296" r:id="rId2588" display="https://www.uniprot.org/uniprot/P25445" xr:uid="{9BD9EC22-1A02-7141-BC74-55B2EAE1FDB0}"/>
    <hyperlink ref="C295" r:id="rId2589" display="https://www.uniprot.org/uniprot/Q12884" xr:uid="{5F8E12CF-213D-364B-93B8-827BDF82053B}"/>
    <hyperlink ref="C294" r:id="rId2590" display="https://www.uniprot.org/uniprot/Q8IYD8" xr:uid="{B71AA0A4-86EB-5C4B-B2BA-E467D22948D6}"/>
    <hyperlink ref="C293" r:id="rId2591" display="https://www.uniprot.org/uniprot/Q9NW38" xr:uid="{7B8CDB7D-ED67-FB46-A955-13A87291822E}"/>
    <hyperlink ref="C292" r:id="rId2592" display="https://www.uniprot.org/uniprot/Q9NVI1" xr:uid="{8F127C3F-60E5-D741-945D-096957C62A30}"/>
    <hyperlink ref="C291" r:id="rId2593" display="https://www.uniprot.org/uniprot/O15287" xr:uid="{B5AB4DE8-605F-C649-B32A-D294CB210CBE}"/>
    <hyperlink ref="C290" r:id="rId2594" display="https://www.uniprot.org/uniprot/Q9NPI8" xr:uid="{1241EB3C-47A8-6D49-907A-A98918D9429F}"/>
    <hyperlink ref="C289" r:id="rId2595" display="https://www.uniprot.org/uniprot/Q9HB96" xr:uid="{8B606D86-64A1-E54E-BA9C-CC41FB3B8869}"/>
    <hyperlink ref="C288" r:id="rId2596" display="https://www.uniprot.org/uniprot/Q9BXW9" xr:uid="{94DD693F-B030-D140-BE94-60F7040349D6}"/>
    <hyperlink ref="C287" r:id="rId2597" display="https://www.uniprot.org/uniprot/Q00597" xr:uid="{C04801B8-2218-AC40-9248-2FCE7A4926A5}"/>
    <hyperlink ref="C286" r:id="rId2598" display="https://www.uniprot.org/uniprot/Q8NB91" xr:uid="{258C0AAF-573A-C040-A9B0-E08489AC7303}"/>
    <hyperlink ref="C285" r:id="rId2599" display="https://www.uniprot.org/uniprot/O15360" xr:uid="{8FBE81FA-B6C4-E24E-B2E3-32081531CA2A}"/>
    <hyperlink ref="C284" r:id="rId2600" display="https://www.uniprot.org/uniprot/Q9Y2M0" xr:uid="{30D455F1-5019-204A-B7BA-5A1534C29E8A}"/>
    <hyperlink ref="C282" r:id="rId2601" display="https://www.uniprot.org/uniprot/Q92567" xr:uid="{660BA124-D3B0-634A-838E-D8D83DFC2B8F}"/>
    <hyperlink ref="C281" r:id="rId2602" display="https://www.uniprot.org/uniprot/Q13158" xr:uid="{715843FC-B123-E04F-946D-08CF323918DA}"/>
    <hyperlink ref="C277" r:id="rId2603" display="https://www.uniprot.org/uniprot/Q15910" xr:uid="{96DC6EC9-0541-AA41-92F1-32900BA554B1}"/>
    <hyperlink ref="C276" r:id="rId2604" display="https://www.uniprot.org/uniprot/Q9UQ84" xr:uid="{BFD30E8E-007A-9C4D-83FE-A14E0D4A151A}"/>
    <hyperlink ref="C275" r:id="rId2605" display="https://www.uniprot.org/uniprot/P14921" xr:uid="{31397E9E-2520-C148-9174-FB2B958ECB6D}"/>
    <hyperlink ref="C274" r:id="rId2606" display="https://www.uniprot.org/uniprot/O75460" xr:uid="{46B038F0-A5DB-F147-AF8E-599F11A1B706}"/>
    <hyperlink ref="C273" r:id="rId2607" display="https://www.uniprot.org/uniprot/Q13216" xr:uid="{C7C5A730-953E-AD40-8CBE-FB294F46B20B}"/>
    <hyperlink ref="C272" r:id="rId2608" display="https://www.uniprot.org/uniprot/Q03468" xr:uid="{C41855BC-C2FB-3F4C-ADA8-C38680BA9FB6}"/>
    <hyperlink ref="C271" r:id="rId2609" display="https://www.uniprot.org/uniprot/P28715" xr:uid="{46B2CC01-FCA4-D64F-804B-8AEFDB650D0F}"/>
    <hyperlink ref="C270" r:id="rId2610" display="https://www.uniprot.org/uniprot/Q92889" xr:uid="{11610132-7117-2D41-9B01-9EBB9B837D22}"/>
    <hyperlink ref="C269" r:id="rId2611" display="https://www.uniprot.org/uniprot/P19447" xr:uid="{BA5F8B77-83BE-574E-9531-C6AFBDA572E9}"/>
    <hyperlink ref="C268" r:id="rId2612" display="https://www.uniprot.org/uniprot/P18074" xr:uid="{386A13F3-25B0-C442-ABDC-8AE85380C4C8}"/>
    <hyperlink ref="C267" r:id="rId2613" display="https://www.uniprot.org/uniprot/P07992" xr:uid="{C68E733A-0679-C841-85BA-AC9B355325B1}"/>
    <hyperlink ref="C266" r:id="rId2614" display="https://www.uniprot.org/uniprot/Q15303" xr:uid="{B8F7CAB8-E20A-D640-A1D0-0F824C2AC1CF}"/>
    <hyperlink ref="C265" r:id="rId2615" display="https://www.uniprot.org/uniprot/P21860" xr:uid="{802A4B0D-0F9B-E144-A1FF-52E619652535}"/>
    <hyperlink ref="C264" r:id="rId2616" display="https://www.uniprot.org/uniprot/P04626" xr:uid="{03E7DA40-15C3-FA43-912F-0B0542F99F20}"/>
    <hyperlink ref="C262" r:id="rId2617" display="https://www.uniprot.org/uniprot/P16422" xr:uid="{14A5438A-608B-4A42-B305-D70D8E8880F3}"/>
    <hyperlink ref="C261" r:id="rId2618" display="https://www.uniprot.org/uniprot/Q09472" xr:uid="{90E8575C-4034-BC49-AD73-26C506288986}"/>
    <hyperlink ref="C260" r:id="rId2619" display="https://www.uniprot.org/uniprot/Q13822" xr:uid="{5C659897-9A3E-484A-881C-3EEBC5EAF3EF}"/>
    <hyperlink ref="C258" r:id="rId2620" display="https://www.uniprot.org/uniprot/P17813" xr:uid="{777A8D5D-6DDD-A541-BFAC-4B17DD4CD71F}"/>
    <hyperlink ref="C255" r:id="rId2621" display="https://www.uniprot.org/uniprot/Q96AY2" xr:uid="{7567CDE9-31C8-FE45-B483-9C704E514BDE}"/>
    <hyperlink ref="C253" r:id="rId2622" display="https://www.uniprot.org/uniprot/Q13541" xr:uid="{4821BF56-6F45-494D-96D0-3DE5073BB1D8}"/>
    <hyperlink ref="C252" r:id="rId2623" display="https://www.uniprot.org/uniprot/P06730" xr:uid="{57BF71F8-60C0-B84B-A95D-574A7D7D605B}"/>
    <hyperlink ref="C251" r:id="rId2624" display="https://www.uniprot.org/uniprot/O75821" xr:uid="{73AFB07E-4AD0-A941-8011-11478D2B92CB}"/>
    <hyperlink ref="C250" r:id="rId2625" display="https://www.uniprot.org/uniprot/Q14152" xr:uid="{63B7B3AE-1742-9645-8468-A2031DD48A88}"/>
    <hyperlink ref="C248" r:id="rId2626" display="https://www.uniprot.org/uniprot/Q9NZJ5" xr:uid="{EF226B7A-C041-E644-B37A-72128DCE2CCA}"/>
    <hyperlink ref="C246" r:id="rId2627" display="https://www.uniprot.org/uniprot/P18146" xr:uid="{3ABC7222-BDD5-814F-B31F-B4493DC5D4AE}"/>
    <hyperlink ref="C243" r:id="rId2628" display="https://www.uniprot.org/uniprot/P00533" xr:uid="{143FB3BB-AFF4-514A-8835-D62C0D9D2DEA}"/>
    <hyperlink ref="C242" r:id="rId2629" display="https://www.uniprot.org/uniprot/P01133" xr:uid="{21D21F06-9226-4448-9309-45A60A6DCFCE}"/>
    <hyperlink ref="C240" r:id="rId2630" display="https://www.uniprot.org/uniprot/Q96AV8" xr:uid="{6E09EF8B-0857-3A45-82BB-E795B3710973}"/>
    <hyperlink ref="C239" r:id="rId2631" display="https://www.uniprot.org/uniprot/Q16254" xr:uid="{9FD16F1B-EADD-9343-ACA6-AAE3873AF2F3}"/>
    <hyperlink ref="C238" r:id="rId2632" display="https://www.uniprot.org/uniprot/Q14209" xr:uid="{75CA370C-5216-6541-8632-F77697BB2B37}"/>
    <hyperlink ref="C237" r:id="rId2633" display="https://www.uniprot.org/uniprot/Q01094" xr:uid="{1B664819-A6D0-A74E-B716-6BEE6DD553C7}"/>
    <hyperlink ref="C236" r:id="rId2634" display="https://www.uniprot.org/uniprot/Q92630" xr:uid="{C54EF601-5E2F-9945-825F-56EB179BA2B2}"/>
    <hyperlink ref="C235" r:id="rId2635" display="https://www.uniprot.org/uniprot/P63167" xr:uid="{4B28CAC0-0B2C-2149-B2B7-92D449F7094A}"/>
    <hyperlink ref="C232" r:id="rId2636" display="https://www.uniprot.org/uniprot/Q16828" xr:uid="{53AE50CC-FCFE-DB4F-A83E-23EDEC770A69}"/>
    <hyperlink ref="C231" r:id="rId2637" display="https://www.uniprot.org/uniprot/P28562" xr:uid="{546432E3-DCEE-8541-8357-4736FD5B97D6}"/>
    <hyperlink ref="C227" r:id="rId2638" display="https://www.uniprot.org/uniprot/O60496" xr:uid="{5293C59F-9274-9C4C-A156-BF183A16C49C}"/>
    <hyperlink ref="C226" r:id="rId2639" display="https://www.uniprot.org/uniprot/P26358" xr:uid="{338EE9DC-51E6-4547-9E66-436EE0C38EF9}"/>
    <hyperlink ref="C224" r:id="rId2640" display="https://www.uniprot.org/uniprot/O94907" xr:uid="{04AB287F-1BEA-B24B-9D07-453B51617234}"/>
    <hyperlink ref="C223" r:id="rId2641" display="https://www.uniprot.org/uniprot/O95661" xr:uid="{5D05940A-95CE-B745-9FC8-2EA3E2F052D6}"/>
    <hyperlink ref="C222" r:id="rId2642" display="https://www.uniprot.org/uniprot/Q9UPY3" xr:uid="{9603C8AD-52B7-1844-85F2-C96283FECA5F}"/>
    <hyperlink ref="C221" r:id="rId2643" display="https://www.uniprot.org/uniprot/Q9NSV4" xr:uid="{7AEBA9B4-0A1C-2944-BE7D-8133CF7A998D}"/>
    <hyperlink ref="C220" r:id="rId2644" display="https://www.uniprot.org/uniprot/P00374" xr:uid="{DA219D24-0CE2-F74F-949B-E1F0FC65486E}"/>
    <hyperlink ref="C218" r:id="rId2645" display="https://www.uniprot.org/uniprot/Q08345" xr:uid="{4F1511C5-E514-7B4B-823F-6F558B193FA8}"/>
    <hyperlink ref="C217" r:id="rId2646" display="https://www.uniprot.org/uniprot/P35638" xr:uid="{38FD7C63-9160-0944-A76B-F9B381018765}"/>
    <hyperlink ref="C215" r:id="rId2647" display="https://www.uniprot.org/uniprot/Q92466" xr:uid="{FB4C2A07-5B8D-6E4D-A82D-065AA941FAE6}"/>
    <hyperlink ref="C214" r:id="rId2648" display="https://www.uniprot.org/uniprot/Q16531" xr:uid="{DCD5A59E-1271-6B4E-ACEC-3A292603D35B}"/>
    <hyperlink ref="C212" r:id="rId2649" display="https://www.uniprot.org/uniprot/Q9H816" xr:uid="{73F7175D-7846-9E4F-9B57-775B130F97DC}"/>
    <hyperlink ref="C211" r:id="rId2650" display="https://www.uniprot.org/uniprot/Q6PJP8" xr:uid="{79D2D472-49BB-DB44-8D04-F06A6B9BF1F4}"/>
    <hyperlink ref="C210" r:id="rId2651" display="https://www.uniprot.org/uniprot/Q9UER7" xr:uid="{5BBA2AFD-5237-DC49-AD23-ABB70832E79F}"/>
    <hyperlink ref="C207" r:id="rId2652" display="https://www.uniprot.org/uniprot/Q9NYF0" xr:uid="{560717BE-B576-B040-B7B1-FBDE30B000D3}"/>
    <hyperlink ref="C136" r:id="rId2653" display="https://www.uniprot.org/uniprot/O00622" xr:uid="{146C94BB-AE90-1B47-BA96-EEC63F149A89}"/>
    <hyperlink ref="C206" r:id="rId2654" display="https://www.uniprot.org/uniprot/P05181" xr:uid="{79B0A809-0285-064F-85BD-A117158B3CC5}"/>
    <hyperlink ref="C205" r:id="rId2655" display="https://www.uniprot.org/uniprot/Q16678" xr:uid="{676F262E-8EF3-FC48-820A-89A99ED3CC99}"/>
    <hyperlink ref="C204" r:id="rId2656" display="https://www.uniprot.org/uniprot/P61073" xr:uid="{A7EFA799-CBAE-104A-907C-84739E935616}"/>
    <hyperlink ref="C203" r:id="rId2657" display="https://www.uniprot.org/uniprot/P10145" xr:uid="{9096D9C9-D896-C048-9FA2-5C5D346C3DB6}"/>
    <hyperlink ref="C202" r:id="rId2658" display="https://www.uniprot.org/uniprot/P48061" xr:uid="{AF8CB9CD-CFE9-C143-A65A-6766E73353C3}"/>
    <hyperlink ref="C200" r:id="rId2659" display="https://www.uniprot.org/uniprot/Q86UP6" xr:uid="{1E49B655-2655-E741-A770-EBB51F899BD2}"/>
    <hyperlink ref="C199" r:id="rId2660" display="https://www.uniprot.org/uniprot/Q13619" xr:uid="{107E37CB-455F-084B-A84D-2C10B3EC7116}"/>
    <hyperlink ref="C196" r:id="rId2661" display="https://www.uniprot.org/uniprot/P35222" xr:uid="{549CF6CB-B648-A149-9A1C-E513D17BCF95}"/>
    <hyperlink ref="C195" r:id="rId2662" display="https://www.uniprot.org/uniprot/P35221" xr:uid="{AE0E5E88-57AA-C244-B6E9-2F56C61F804C}"/>
    <hyperlink ref="C194" r:id="rId2663" display="https://www.uniprot.org/uniprot/P07333" xr:uid="{22EBFB61-CF60-BB4B-8A79-8BE76FD5D800}"/>
    <hyperlink ref="C193" r:id="rId2664" display="https://www.uniprot.org/uniprot/P09603" xr:uid="{254F2E34-82C8-154E-A098-430979827112}"/>
    <hyperlink ref="C192" r:id="rId2665" display="https://www.uniprot.org/uniprot/P02511" xr:uid="{C4D782B7-ACEC-6847-B250-340721027F37}"/>
    <hyperlink ref="C191" r:id="rId2666" display="https://www.uniprot.org/uniprot/P16220" xr:uid="{12D53B8B-4DE1-D944-AF92-4BB6851171F9}"/>
    <hyperlink ref="C187" r:id="rId2667" display="https://www.uniprot.org/uniprot/P12111" xr:uid="{81C7286A-C7D6-9C4E-8133-EF3D3EC87A4F}"/>
    <hyperlink ref="C186" r:id="rId2668" display="https://www.uniprot.org/uniprot/P02461" xr:uid="{DCF4876B-37FB-CB46-B5CA-5F7DCAE12810}"/>
    <hyperlink ref="C184" r:id="rId2669" display="https://www.uniprot.org/uniprot/P12107" xr:uid="{06C870D3-1187-C947-AFA4-3CE2CD80897B}"/>
    <hyperlink ref="C183" r:id="rId2670" display="https://www.uniprot.org/uniprot/P10909" xr:uid="{D6C7282D-C283-2B46-8C02-F22FD38C3762}"/>
    <hyperlink ref="C182" r:id="rId2671" display="https://www.uniprot.org/uniprot/Q96KA5" xr:uid="{7535F86B-A56C-8647-B527-F28FB569964D}"/>
    <hyperlink ref="C181" r:id="rId2672" display="https://www.uniprot.org/uniprot/O15516" xr:uid="{78568DEB-8D39-C34D-B542-32679CA34B26}"/>
    <hyperlink ref="C180" r:id="rId2673" display="https://www.uniprot.org/uniprot/Q13286" xr:uid="{EAFBC49F-A256-074C-A4EC-1E4CBFEEA488}"/>
    <hyperlink ref="C179" r:id="rId2674" display="https://www.uniprot.org/uniprot/O00299" xr:uid="{01186F64-D2FD-854C-8F50-13BCFB11EAFE}"/>
    <hyperlink ref="C178" r:id="rId2675" display="https://www.uniprot.org/uniprot/O95471" xr:uid="{4AB9018B-2B74-1B45-BF8D-8216D569D8D6}"/>
    <hyperlink ref="C177" r:id="rId2676" display="https://www.uniprot.org/uniprot/O14493" xr:uid="{F8B3CACD-33FA-0A42-B627-44BD55FE49B3}"/>
    <hyperlink ref="C176" r:id="rId2677" display="https://www.uniprot.org/uniprot/O15551" xr:uid="{E44CA7F5-3076-B948-9256-6000C41BB252}"/>
    <hyperlink ref="C175" r:id="rId2678" display="https://www.uniprot.org/uniprot/O95832" xr:uid="{1E6DF1FC-18E4-2C49-9C27-D0F242EBFD77}"/>
    <hyperlink ref="C173" r:id="rId2679" display="https://www.uniprot.org/uniprot/O15111" xr:uid="{E90D33D2-1739-8F41-AE77-EFE131FFEB8B}"/>
    <hyperlink ref="C172" r:id="rId2680" display="https://www.uniprot.org/uniprot/Q9UQN3" xr:uid="{F9AEF46E-F4FD-6A4A-AA98-1B701B86BB67}"/>
    <hyperlink ref="C171" r:id="rId2681" display="https://www.uniprot.org/uniprot/O96017" xr:uid="{4DE99464-7DD6-004D-ABEC-9D383539E0DF}"/>
    <hyperlink ref="C170" r:id="rId2682" display="https://www.uniprot.org/uniprot/O14757" xr:uid="{7DCAE081-C976-4547-A092-91416FCE6CF5}"/>
    <hyperlink ref="C169" r:id="rId2683" display="https://www.uniprot.org/uniprot/Q14839" xr:uid="{F8E7950F-2004-5147-B123-62754A3E81C7}"/>
    <hyperlink ref="C168" r:id="rId2684" display="https://www.uniprot.org/uniprot/O15519" xr:uid="{519111FE-D2C6-6241-A599-4CBACFD2C66F}"/>
    <hyperlink ref="C166" r:id="rId2685" display="https://www.uniprot.org/uniprot/P42773" xr:uid="{9E169876-CDFC-B34C-BACB-BE667FB2AACB}"/>
    <hyperlink ref="C164" r:id="rId2686" display="https://www.uniprot.org/uniprot/P49918" xr:uid="{E48CBBC6-E26F-5249-8EC3-DDDA3CBD9567}"/>
    <hyperlink ref="C165" r:id="rId2687" display="https://www.uniprot.org/uniprot/P42771" xr:uid="{5297C0F2-79D0-454F-AA8F-B974E25A350D}"/>
    <hyperlink ref="C163" r:id="rId2688" display="https://www.uniprot.org/uniprot/P46527" xr:uid="{F9C14A01-92B9-4D4E-BC7B-BD927305BEE3}"/>
    <hyperlink ref="C162" r:id="rId2689" display="https://www.uniprot.org/uniprot/P38936" xr:uid="{4A647125-6086-DD46-B7DF-FFAA28EB8130}"/>
    <hyperlink ref="C161" r:id="rId2690" display="https://www.uniprot.org/uniprot/P50613" xr:uid="{B0A8CB23-2536-574A-83AD-055AE7E05CD3}"/>
    <hyperlink ref="C159" r:id="rId2691" display="https://www.uniprot.org/uniprot/P11802" xr:uid="{20E90A51-BD50-284F-B4F0-97BCC878A128}"/>
    <hyperlink ref="C158" r:id="rId2692" display="https://www.uniprot.org/uniprot/P24941" xr:uid="{77899C20-48C1-534D-AE56-A35D848B335D}"/>
    <hyperlink ref="C157" r:id="rId2693" display="https://www.uniprot.org/uniprot/Q9NYV4" xr:uid="{9D11CDA7-207C-6C4E-946D-EE956E16B008}"/>
    <hyperlink ref="C156" r:id="rId2694" display="https://www.uniprot.org/uniprot/P19022" xr:uid="{F6FD4BC9-1288-A94A-8E5D-879C7AB84D86}"/>
    <hyperlink ref="C155" r:id="rId2695" display="https://www.uniprot.org/uniprot/P12830" xr:uid="{0FA1A4BB-60F0-C344-AA73-747D952BFE85}"/>
    <hyperlink ref="C154" r:id="rId2696" display="https://www.uniprot.org/uniprot/Q9H5V8" xr:uid="{4ADAAE2A-85C6-754D-94A6-4D087ADD39E1}"/>
    <hyperlink ref="C151" r:id="rId2697" display="https://www.uniprot.org/uniprot/Q16543" xr:uid="{5F6D739A-B2CF-BD4F-8EB2-0F6C78C0CAFE}"/>
    <hyperlink ref="C150" r:id="rId2698" display="https://www.uniprot.org/uniprot/P10966" xr:uid="{A2498ED4-81D5-C840-B2F6-2B105316CDAC}"/>
    <hyperlink ref="C147" r:id="rId2699" display="https://www.uniprot.org/uniprot/P16070" xr:uid="{C618BFCF-505B-6043-B880-070CC5F08E2C}"/>
    <hyperlink ref="C146" r:id="rId2700" display="https://www.uniprot.org/uniprot/P29965" xr:uid="{5EFAB3F9-32AD-CC45-8937-F05B0F9BD5E7}"/>
    <hyperlink ref="C145" r:id="rId2701" display="https://www.uniprot.org/uniprot/P25942" xr:uid="{F91D1171-7C96-2D47-9717-0AA7784A0B79}"/>
    <hyperlink ref="C143" r:id="rId2702" display="https://www.uniprot.org/uniprot/P25063" xr:uid="{180709AC-2FBB-EE45-A3D3-10C1B728AD16}"/>
    <hyperlink ref="C142" r:id="rId2703" display="https://www.uniprot.org/uniprot/P51686" xr:uid="{A14CEAE6-5361-EC43-8277-436D572F7E76}"/>
    <hyperlink ref="C140" r:id="rId2704" display="https://www.uniprot.org/uniprot/P24864" xr:uid="{7CCADA37-1154-AB43-86B9-9F189238B370}"/>
    <hyperlink ref="C139" r:id="rId2705" display="https://www.uniprot.org/uniprot/P24385" xr:uid="{EEA0E536-8058-4B4C-929E-5043AB632758}"/>
    <hyperlink ref="C135" r:id="rId2706" display="https://www.uniprot.org/uniprot/P13501" xr:uid="{5E44A207-9437-1942-A54D-53C6B8A8537A}"/>
    <hyperlink ref="C134" r:id="rId2707" display="https://www.uniprot.org/uniprot/O15444" xr:uid="{71609EA7-98BA-B044-9C2E-6A602E8A2201}"/>
    <hyperlink ref="C133" r:id="rId2708" display="https://www.uniprot.org/uniprot/P13500" xr:uid="{15C791D8-4A52-0640-A02D-5356DFA15A1A}"/>
    <hyperlink ref="C132" r:id="rId2709" display="https://www.uniprot.org/uniprot/A6NI79" xr:uid="{2E9E4AC4-4DD0-3D4E-A6D7-916567EB25D9}"/>
    <hyperlink ref="C131" r:id="rId2710" display="https://www.uniprot.org/uniprot/P35520" xr:uid="{957A1C51-C929-484A-905E-C1628A9BCC5A}"/>
    <hyperlink ref="C128" r:id="rId2711" display="https://www.uniprot.org/uniprot/P55211" xr:uid="{A7267CDD-7BE9-EB46-AE12-65BFB3B1243A}"/>
    <hyperlink ref="C127" r:id="rId2712" display="https://www.uniprot.org/uniprot/Q14790" xr:uid="{CD3A69C7-F62C-194C-A7D7-69BF50293C4D}"/>
    <hyperlink ref="C126" r:id="rId2713" display="https://www.uniprot.org/uniprot/P55210" xr:uid="{BB9EA2B2-EA3A-A540-808D-679B6257A211}"/>
    <hyperlink ref="C125" r:id="rId2714" display="https://www.uniprot.org/uniprot/P55212" xr:uid="{C490E7A5-2354-1F4B-8B9D-E1668CFA2F71}"/>
    <hyperlink ref="C123" r:id="rId2715" display="https://www.uniprot.org/uniprot/P42574" xr:uid="{3077B4B7-BA87-6F48-A63B-BF4AC73E0B2A}"/>
    <hyperlink ref="C122" r:id="rId2716" display="https://www.uniprot.org/uniprot/P42575" xr:uid="{0EF8E6C5-6028-D646-AB09-7210368C648E}"/>
    <hyperlink ref="C121" r:id="rId2717" display="https://www.uniprot.org/uniprot/P31944" xr:uid="{CC0FDA60-B610-194F-8E7A-2DB72201CDD5}"/>
    <hyperlink ref="C120" r:id="rId2718" display="https://www.uniprot.org/uniprot/Q6UXS9" xr:uid="{69DE58DE-FE57-064A-A539-42FB496AF826}"/>
    <hyperlink ref="C119" r:id="rId2719" display="https://www.uniprot.org/uniprot/Q9BWT7" xr:uid="{89EE6914-FF58-2F4C-8B38-28A1A7FC91FD}"/>
    <hyperlink ref="C116" r:id="rId2720" display="https://www.uniprot.org/uniprot/Q13557" xr:uid="{536BEC5B-F88F-E040-94B7-C0A8C269EACC}"/>
    <hyperlink ref="C115" r:id="rId2721" display="https://www.uniprot.org/uniprot/P27708" xr:uid="{C0C5F341-7CFD-2C44-8A6E-15FE1F50AA8F}"/>
    <hyperlink ref="C114" r:id="rId2722" display="https://www.uniprot.org/uniprot/Q07021" xr:uid="{B961DE2B-BEC9-EE49-830E-1F5C9B796F67}"/>
    <hyperlink ref="C113" r:id="rId2723" display="https://www.uniprot.org/uniprot/P35613" xr:uid="{359B74C1-0CCE-B142-9673-5470C12798C2}"/>
    <hyperlink ref="C112" r:id="rId2724" display="https://www.uniprot.org/uniprot/Q9BX63" xr:uid="{6E8B9BE9-775B-C04B-B0C5-7B3F0F6101E7}"/>
    <hyperlink ref="C110" r:id="rId2725" display="https://www.uniprot.org/uniprot/P51587" xr:uid="{52D5B3DE-E8ED-774B-8C2D-DD7B44AE6D4A}"/>
    <hyperlink ref="C109" r:id="rId2726" display="https://www.uniprot.org/uniprot/P38398" xr:uid="{EBA7D79A-F497-6543-9DE6-40833AC5D2BD}"/>
    <hyperlink ref="C108" r:id="rId2727" display="https://www.uniprot.org/uniprot/Q9UMX3" xr:uid="{B08D401E-D9A5-1F4E-9DE8-160D22E67882}"/>
    <hyperlink ref="C106" r:id="rId2728" display="https://www.uniprot.org/uniprot/P36894" xr:uid="{0B0B2F9F-F6E0-8842-9CA0-D67030B9ECC4}"/>
    <hyperlink ref="C104" r:id="rId2729" display="https://www.uniprot.org/uniprot/P35226" xr:uid="{7FE1D9DE-9368-DA40-B55E-6ECCC4D198A2}"/>
    <hyperlink ref="C101" r:id="rId2730" display="https://www.uniprot.org/uniprot/O15392" xr:uid="{DDAEF06D-E6D5-054A-87E5-EC9988D40A3A}"/>
    <hyperlink ref="C100" r:id="rId2731" display="https://www.uniprot.org/uniprot/Q13489" xr:uid="{1EBEA79A-98E8-DE49-BEBC-BBDD54BE0237}"/>
    <hyperlink ref="C99" r:id="rId2732" display="https://www.uniprot.org/uniprot/Q13490" xr:uid="{17EE4EDA-2FA6-FE44-80FF-C29A558A7F91}"/>
    <hyperlink ref="C96" r:id="rId2733" display="https://www.uniprot.org/uniprot/P55957" xr:uid="{9B07D3DF-F577-894E-8254-C1ADBE7CC666}"/>
    <hyperlink ref="C95" r:id="rId2734" display="https://www.uniprot.org/uniprot/O14503" xr:uid="{1A246319-1514-3641-8ADD-CE6D2FF81B62}"/>
    <hyperlink ref="C93" r:id="rId2735" display="https://www.uniprot.org/uniprot/Q14457" xr:uid="{C3D18EDE-385D-3C4D-BC3E-38F175A5D5CE}"/>
    <hyperlink ref="C92" r:id="rId2736" display="https://www.uniprot.org/uniprot/Q92843" xr:uid="{D2852713-AE3B-234E-9388-DDE2D0C23A02}"/>
    <hyperlink ref="C91" r:id="rId2737" display="https://www.uniprot.org/uniprot/O43521" xr:uid="{D68493BE-C017-5A4A-B4DE-A494CE264686}"/>
    <hyperlink ref="C90" r:id="rId2738" display="https://www.uniprot.org/uniprot/Q07817" xr:uid="{929D317A-3505-DD4A-8AF5-87ACB2FB1F8F}"/>
    <hyperlink ref="C88" r:id="rId2739" display="https://www.uniprot.org/uniprot/P10415" xr:uid="{84839EBE-E502-F849-9D9A-B4BF41D6A8D6}"/>
    <hyperlink ref="C87" r:id="rId2740" display="https://www.uniprot.org/uniprot/P54687" xr:uid="{D7D7A6ED-8C41-8947-BCD6-F47E00A7318F}"/>
    <hyperlink ref="C86" r:id="rId2741" display="https://www.uniprot.org/uniprot/Q9BXH1" xr:uid="{19998C27-38DE-9C4A-BC33-13BD55320557}"/>
    <hyperlink ref="C85" r:id="rId2742" display="https://www.uniprot.org/uniprot/Q07812" xr:uid="{8B4DA663-A2A8-E942-AD7B-28D627A673E8}"/>
    <hyperlink ref="C84" r:id="rId2743" display="https://www.uniprot.org/uniprot/Q99728" xr:uid="{E2DF5C55-C4FE-274A-B09B-89A1A4D52258}"/>
    <hyperlink ref="C83" r:id="rId2744" display="https://www.uniprot.org/uniprot/Q92560" xr:uid="{AA35DEEF-DE40-744B-9ABE-8839E62025B6}"/>
    <hyperlink ref="C82" r:id="rId2745" display="https://www.uniprot.org/uniprot/Q16611" xr:uid="{DEABC32E-87B3-014A-9682-700728E90BC3}"/>
    <hyperlink ref="C81" r:id="rId2746" display="https://www.uniprot.org/uniprot/O95817" xr:uid="{5AD46D17-5521-EA42-B8E2-32AB0BDB6C70}"/>
    <hyperlink ref="C80" r:id="rId2747" display="https://www.uniprot.org/uniprot/Q92934" xr:uid="{B406621E-B8B1-CB40-BFB4-B43F4BE4DFA4}"/>
    <hyperlink ref="C79" r:id="rId2748" display="https://www.uniprot.org/uniprot/P30530" xr:uid="{0D4E1AB2-3207-3347-86B1-AEDE12CD1C4A}"/>
    <hyperlink ref="C78" r:id="rId2749" display="https://www.uniprot.org/uniprot/O14965" xr:uid="{BE26E7FA-4630-F04E-988D-1F0344CE1C65}"/>
    <hyperlink ref="C76" r:id="rId2750" display="https://www.uniprot.org/uniprot/Q13535" xr:uid="{DF1F2600-327B-844A-86EE-2E15DBF2FD3F}"/>
    <hyperlink ref="C75" r:id="rId2751" display="https://www.uniprot.org/uniprot/P35670" xr:uid="{66736071-4CD7-6046-B2A8-2BF33929D57A}"/>
    <hyperlink ref="C74" r:id="rId2752" display="https://www.uniprot.org/uniprot/Q04656" xr:uid="{F3870681-65BD-8D4B-9850-EE278F59F622}"/>
    <hyperlink ref="C68" r:id="rId2753" display="https://www.uniprot.org/uniprot/Q99437" xr:uid="{27E5F2EE-A1EB-F544-87CE-7B2C47BF7391}"/>
    <hyperlink ref="C73" r:id="rId2754" display="https://www.uniprot.org/uniprot/P36543" xr:uid="{3041CFA2-C51C-154A-BC46-3551381084B8}"/>
    <hyperlink ref="C69" r:id="rId2755" display="https://www.uniprot.org/uniprot/P61421" xr:uid="{F1B9D021-D26B-9843-91A3-FEACDDB7AFE6}"/>
    <hyperlink ref="C72" r:id="rId2756" display="https://www.uniprot.org/uniprot/P21283" xr:uid="{E621597A-115D-1F4F-AA33-BE48F0E1F678}"/>
    <hyperlink ref="C71" r:id="rId2757" display="https://www.uniprot.org/uniprot/P21281" xr:uid="{E4E2F786-1777-914D-8D4F-698E9951A6F8}"/>
    <hyperlink ref="C70" r:id="rId2758" display="https://www.uniprot.org/uniprot/P38606" xr:uid="{A4A64FCA-826C-9E40-9CA2-CF2857559D80}"/>
    <hyperlink ref="C67" r:id="rId2759" display="https://www.uniprot.org/uniprot/P05026" xr:uid="{7A8158DA-AEFA-F240-A0AD-3CAAFA0A2714}"/>
    <hyperlink ref="C65" r:id="rId2760" display="https://www.uniprot.org/uniprot/Q9Y2G3" xr:uid="{4BBF7695-1B88-8D4E-9347-19D3D3B42AE9}"/>
    <hyperlink ref="C63" r:id="rId2761" display="https://www.uniprot.org/uniprot/Q13315" xr:uid="{2D5ADBA3-81C1-4E49-96A3-34B967D7A2D9}"/>
    <hyperlink ref="C61" r:id="rId2762" display="https://www.uniprot.org/uniprot/Q9H1Y0" xr:uid="{926D1C91-02B2-6B4B-8E15-B3CE10400589}"/>
    <hyperlink ref="C60" r:id="rId2763" display="https://www.uniprot.org/uniprot/Q6ZNE5" xr:uid="{71FCE7A6-3C50-174A-9B41-A083A6DEABC1}"/>
    <hyperlink ref="C59" r:id="rId2764" display="https://www.uniprot.org/uniprot/O94817" xr:uid="{ACBC6F08-BC7C-8040-BC74-CE121C560E9D}"/>
    <hyperlink ref="C57" r:id="rId2765" display="https://www.uniprot.org/uniprot/P18848" xr:uid="{F39DE35D-BA81-164E-8A81-7F9C1E4E076E}"/>
    <hyperlink ref="C55" r:id="rId2766" display="https://www.uniprot.org/uniprot/P15336" xr:uid="{6C7FB9C5-98FC-A94C-864E-D5B418734838}"/>
    <hyperlink ref="C54" r:id="rId2767" display="https://www.uniprot.org/uniprot/P00966" xr:uid="{DDCCD527-B6B9-F84B-8444-7FFD65A531B1}"/>
    <hyperlink ref="C53" r:id="rId2768" display="https://www.uniprot.org/uniprot/P27540" xr:uid="{B08AF9AE-54D7-984C-BF20-BEAC2CE44AFE}"/>
    <hyperlink ref="C50" r:id="rId2769" display="https://www.uniprot.org/uniprot/Q8IVW6" xr:uid="{26CC5C16-BB12-E242-ACCE-7E632659DED3}"/>
    <hyperlink ref="C49" r:id="rId2770" display="https://www.uniprot.org/uniprot/O14497" xr:uid="{DD6E21D2-824E-1B41-9C85-D53A50581B9D}"/>
    <hyperlink ref="C47" r:id="rId2771" display="https://www.uniprot.org/uniprot/P15514" xr:uid="{6F52C72E-83FA-294C-A4A0-81D2367B2C25}"/>
    <hyperlink ref="C45" r:id="rId2772" display="https://www.uniprot.org/uniprot/P27695" xr:uid="{53B1F117-6421-484B-871D-66E69718B18B}"/>
    <hyperlink ref="C44" r:id="rId2773" display="https://www.uniprot.org/uniprot/P25054" xr:uid="{866778E7-77D3-CC4D-8E0F-789375E2794A}"/>
    <hyperlink ref="C42" r:id="rId2774" display="https://www.uniprot.org/uniprot/P09525" xr:uid="{B5CC8729-5F2E-C94D-B711-F4F6D6EAD3AC}"/>
    <hyperlink ref="C40" r:id="rId2775" display="https://www.uniprot.org/uniprot/P07355" xr:uid="{DADFCB97-E757-8E44-9E25-6AEF31C993B7}"/>
    <hyperlink ref="C39" r:id="rId2776" display="https://www.uniprot.org/uniprot/Q15327" xr:uid="{F34ED42C-D246-9649-8DAE-302C6606A23D}"/>
    <hyperlink ref="C37" r:id="rId2777" display="https://www.uniprot.org/uniprot/Q9C0C7" xr:uid="{B6995BD4-80DE-B142-85B2-34D05DD11769}"/>
    <hyperlink ref="C36" r:id="rId2778" display="https://www.uniprot.org/uniprot/Q96Q83" xr:uid="{077BDB93-0294-6D41-ACA9-CD361987AD24}"/>
    <hyperlink ref="C34" r:id="rId2779" display="https://www.uniprot.org/uniprot/P30838" xr:uid="{344B12EA-B33C-E84B-95AD-0C527735B26E}"/>
    <hyperlink ref="C33" r:id="rId2780" display="https://www.uniprot.org/uniprot/P00352" xr:uid="{F5C32D57-1688-7041-B62D-E906AC710ECE}"/>
    <hyperlink ref="C32" r:id="rId2781" display="https://www.uniprot.org/uniprot/P31751" xr:uid="{C18E6DD7-67FC-714E-B94F-4044F5586CD7}"/>
    <hyperlink ref="C31" r:id="rId2782" display="https://www.uniprot.org/uniprot/Q96B36" xr:uid="{45FF704C-D6B0-524E-A4BF-68424FA21A74}"/>
    <hyperlink ref="C30" r:id="rId2783" display="https://www.uniprot.org/uniprot/P31749" xr:uid="{0DFEE109-E112-5E41-B95E-C988E294D549}"/>
    <hyperlink ref="C29" r:id="rId2784" display="https://www.uniprot.org/uniprot/P42330" xr:uid="{A1ADDC7D-CA88-3A4E-ABB2-B1F7F306A1D5}"/>
    <hyperlink ref="C28" r:id="rId2785" display="https://www.uniprot.org/uniprot/P52895" xr:uid="{29B82814-9034-7D45-84C8-5C9007B3C988}"/>
    <hyperlink ref="C27" r:id="rId2786" display="https://www.uniprot.org/uniprot/Q04828" xr:uid="{3B57636A-C0E9-E646-AB73-5C5E22B5E6BF}"/>
    <hyperlink ref="C26" r:id="rId2787" display="https://www.uniprot.org/uniprot/O60218" xr:uid="{BAF8F806-B05E-8C44-A8ED-2473FA4FA148}"/>
    <hyperlink ref="C25" r:id="rId2788" display="https://www.uniprot.org/uniprot/O95831" xr:uid="{DD751CC2-40C8-9D4D-BE18-FB51FDA907B3}"/>
    <hyperlink ref="C24" r:id="rId2789" display="https://www.uniprot.org/uniprot/Q8TD06" xr:uid="{B8D7320E-CB33-EB4C-836A-D926D6D5403F}"/>
    <hyperlink ref="C23" r:id="rId2790" display="https://www.uniprot.org/uniprot/Q13443" xr:uid="{FD2CF95E-7739-AF40-A660-EE9179A6F991}"/>
    <hyperlink ref="C22" r:id="rId2791" display="https://www.uniprot.org/uniprot/P78536" xr:uid="{6223C400-49FF-6349-8446-4625B248F2DA}"/>
    <hyperlink ref="C20" r:id="rId2792" display="https://www.uniprot.org/uniprot/Q8NER5" xr:uid="{92CBD7E4-9661-154A-B8A2-4DB93A4AEF4C}"/>
    <hyperlink ref="C19" r:id="rId2793" display="https://www.uniprot.org/uniprot/O43707" xr:uid="{6B3E3AF0-7866-2349-9922-703B8380E01B}"/>
    <hyperlink ref="C17" r:id="rId2794" display="https://www.uniprot.org/uniprot/Q9NR19" xr:uid="{B604EE6B-693A-2E46-B72A-0A8DEA0624ED}"/>
    <hyperlink ref="C15" r:id="rId2795" display="https://www.uniprot.org/uniprot/P00519" xr:uid="{52C5511B-BB18-934D-955B-33C81F233D3F}"/>
    <hyperlink ref="C14" r:id="rId2796" display="https://www.uniprot.org/uniprot/P08910" xr:uid="{33596F56-9F35-6B4F-8A0A-4F77E2949D90}"/>
    <hyperlink ref="C13" r:id="rId2797" display="https://www.uniprot.org/uniprot/Q9UNQ0" xr:uid="{D8D2BC67-89F6-C941-B951-6013D8795338}"/>
    <hyperlink ref="C12" r:id="rId2798" display="https://www.uniprot.org/uniprot/Q9UG63" xr:uid="{A120A83F-C40D-234B-8BAE-818FFF9A254C}"/>
    <hyperlink ref="C11" r:id="rId2799" display="https://www.uniprot.org/uniprot/Q9UBJ2" xr:uid="{0F09DB17-411B-184A-A056-8A1864FB82D6}"/>
    <hyperlink ref="C10" r:id="rId2800" display="https://www.uniprot.org/uniprot/O15440" xr:uid="{9C2D28F2-4475-824B-8DAF-3E6131D7B887}"/>
    <hyperlink ref="C9" r:id="rId2801" display="https://www.uniprot.org/uniprot/O15439" xr:uid="{C2811443-3F0B-8244-90E9-5ADA32976A39}"/>
    <hyperlink ref="C8" r:id="rId2802" display="https://www.uniprot.org/uniprot/O15438" xr:uid="{70DFEF1D-E517-C74D-9051-B44F5E82F00A}"/>
    <hyperlink ref="C7" r:id="rId2803" display="https://www.uniprot.org/uniprot/Q92887" xr:uid="{9CA5C87F-FCB2-1049-949C-779A0A34A99B}"/>
    <hyperlink ref="C6" r:id="rId2804" display="https://www.uniprot.org/uniprot/P33527" xr:uid="{39C8F25F-74F7-A44B-B9D9-D0452E237710}"/>
    <hyperlink ref="C4" r:id="rId2805" display="https://www.uniprot.org/uniprot/P08183" xr:uid="{5E7273CF-B4FB-2741-9472-4CB221C4413C}"/>
    <hyperlink ref="C3" r:id="rId2806" display="https://www.uniprot.org/uniprot/O94911" xr:uid="{29C232B3-7E72-1D4D-BBBF-34465E41E60D}"/>
  </hyperlinks>
  <pageMargins left="0.7" right="0.7" top="0.75" bottom="0.75" header="0.3" footer="0.3"/>
  <pageSetup orientation="portrait" r:id="rId2807"/>
  <legacyDrawing r:id="rId2808"/>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Supplemental Table S1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 Dongqing</dc:creator>
  <cp:lastModifiedBy>Ryan Moreno</cp:lastModifiedBy>
  <dcterms:created xsi:type="dcterms:W3CDTF">2021-02-17T19:39:56Z</dcterms:created>
  <dcterms:modified xsi:type="dcterms:W3CDTF">2023-12-14T21:10:58Z</dcterms:modified>
</cp:coreProperties>
</file>