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443137DC-CB47-4A9E-BCB3-20827A46F242}" xr6:coauthVersionLast="47" xr6:coauthVersionMax="47" xr10:uidLastSave="{00000000-0000-0000-0000-000000000000}"/>
  <bookViews>
    <workbookView xWindow="-120" yWindow="-120" windowWidth="20730" windowHeight="11160" tabRatio="864" firstSheet="5" activeTab="12" xr2:uid="{00000000-000D-0000-FFFF-FFFF00000000}"/>
  </bookViews>
  <sheets>
    <sheet name="so ca thuc te" sheetId="6" r:id="rId1"/>
    <sheet name="ARIMA develop" sheetId="5" r:id="rId2"/>
    <sheet name="pearson" sheetId="2" r:id="rId3"/>
    <sheet name="forecast" sheetId="4" r:id="rId4"/>
    <sheet name="pearson (2)" sheetId="7" r:id="rId5"/>
    <sheet name="forecast (2)" sheetId="8" r:id="rId6"/>
    <sheet name="Sheet1" sheetId="9" r:id="rId7"/>
    <sheet name="DATA ĐỢT 4" sheetId="10" r:id="rId8"/>
    <sheet name="90% &amp; 95% CI" sheetId="11" r:id="rId9"/>
    <sheet name="Benford fit 95%" sheetId="12" r:id="rId10"/>
    <sheet name="Chi-square, d factor, MAD, SSD" sheetId="13" r:id="rId11"/>
    <sheet name="SUMMARY" sheetId="14" r:id="rId12"/>
    <sheet name="Benford Distribution table" sheetId="15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3" l="1"/>
  <c r="L83" i="13"/>
  <c r="K83" i="13"/>
  <c r="J83" i="13"/>
  <c r="M82" i="13"/>
  <c r="L82" i="13"/>
  <c r="K82" i="13"/>
  <c r="J82" i="13"/>
  <c r="M81" i="13"/>
  <c r="L81" i="13"/>
  <c r="K81" i="13"/>
  <c r="J81" i="13"/>
  <c r="M80" i="13"/>
  <c r="L80" i="13"/>
  <c r="K80" i="13"/>
  <c r="J80" i="13"/>
  <c r="M79" i="13"/>
  <c r="L79" i="13"/>
  <c r="K79" i="13"/>
  <c r="J79" i="13"/>
  <c r="M78" i="13"/>
  <c r="L78" i="13"/>
  <c r="K78" i="13"/>
  <c r="J78" i="13"/>
  <c r="M77" i="13"/>
  <c r="L77" i="13"/>
  <c r="K77" i="13"/>
  <c r="J77" i="13"/>
  <c r="D77" i="13"/>
  <c r="M76" i="13"/>
  <c r="L76" i="13"/>
  <c r="K76" i="13"/>
  <c r="F76" i="13" s="1"/>
  <c r="J76" i="13"/>
  <c r="M75" i="13"/>
  <c r="L75" i="13"/>
  <c r="G75" i="13" s="1"/>
  <c r="K75" i="13"/>
  <c r="J75" i="13"/>
  <c r="F75" i="13"/>
  <c r="M74" i="13"/>
  <c r="G76" i="13" s="1"/>
  <c r="L74" i="13"/>
  <c r="G77" i="13" s="1"/>
  <c r="K74" i="13"/>
  <c r="J74" i="13"/>
  <c r="F77" i="13" s="1"/>
  <c r="D72" i="13"/>
  <c r="C72" i="13"/>
  <c r="D71" i="13"/>
  <c r="C71" i="13"/>
  <c r="D70" i="13"/>
  <c r="C70" i="13"/>
  <c r="M69" i="13"/>
  <c r="L69" i="13"/>
  <c r="K69" i="13"/>
  <c r="J69" i="13"/>
  <c r="D69" i="13"/>
  <c r="C69" i="13"/>
  <c r="M68" i="13"/>
  <c r="L68" i="13"/>
  <c r="K68" i="13"/>
  <c r="J68" i="13"/>
  <c r="D68" i="13"/>
  <c r="C68" i="13"/>
  <c r="M67" i="13"/>
  <c r="L67" i="13"/>
  <c r="K67" i="13"/>
  <c r="J67" i="13"/>
  <c r="D67" i="13"/>
  <c r="C67" i="13"/>
  <c r="M66" i="13"/>
  <c r="L66" i="13"/>
  <c r="K66" i="13"/>
  <c r="J66" i="13"/>
  <c r="D66" i="13"/>
  <c r="C66" i="13"/>
  <c r="M65" i="13"/>
  <c r="L65" i="13"/>
  <c r="K65" i="13"/>
  <c r="J65" i="13"/>
  <c r="D65" i="13"/>
  <c r="C65" i="13"/>
  <c r="M64" i="13"/>
  <c r="L64" i="13"/>
  <c r="K64" i="13"/>
  <c r="J64" i="13"/>
  <c r="D64" i="13"/>
  <c r="C64" i="13"/>
  <c r="M63" i="13"/>
  <c r="L63" i="13"/>
  <c r="K63" i="13"/>
  <c r="J63" i="13"/>
  <c r="D63" i="13"/>
  <c r="C76" i="13" s="1"/>
  <c r="C63" i="13"/>
  <c r="C77" i="13" s="1"/>
  <c r="M62" i="13"/>
  <c r="L62" i="13"/>
  <c r="K62" i="13"/>
  <c r="J62" i="13"/>
  <c r="M61" i="13"/>
  <c r="L61" i="13"/>
  <c r="K61" i="13"/>
  <c r="J61" i="13"/>
  <c r="M60" i="13"/>
  <c r="E76" i="13" s="1"/>
  <c r="L60" i="13"/>
  <c r="E75" i="13" s="1"/>
  <c r="K60" i="13"/>
  <c r="D76" i="13" s="1"/>
  <c r="J60" i="13"/>
  <c r="D75" i="13" s="1"/>
  <c r="A52" i="13"/>
  <c r="A51" i="13"/>
  <c r="C51" i="13" s="1"/>
  <c r="C50" i="13"/>
  <c r="A50" i="13"/>
  <c r="A49" i="13"/>
  <c r="C49" i="13" s="1"/>
  <c r="C48" i="13"/>
  <c r="A48" i="13"/>
  <c r="A47" i="13"/>
  <c r="C47" i="13" s="1"/>
  <c r="C46" i="13"/>
  <c r="A46" i="13"/>
  <c r="M45" i="13"/>
  <c r="L45" i="13"/>
  <c r="K45" i="13"/>
  <c r="J45" i="13"/>
  <c r="A45" i="13"/>
  <c r="C45" i="13" s="1"/>
  <c r="M44" i="13"/>
  <c r="L44" i="13"/>
  <c r="K44" i="13"/>
  <c r="J44" i="13"/>
  <c r="C44" i="13"/>
  <c r="A44" i="13"/>
  <c r="M43" i="13"/>
  <c r="L43" i="13"/>
  <c r="K43" i="13"/>
  <c r="F36" i="13" s="1"/>
  <c r="J43" i="13"/>
  <c r="A43" i="13"/>
  <c r="C43" i="13" s="1"/>
  <c r="D54" i="13" s="1"/>
  <c r="M42" i="13"/>
  <c r="L42" i="13"/>
  <c r="K42" i="13"/>
  <c r="J42" i="13"/>
  <c r="M41" i="13"/>
  <c r="L41" i="13"/>
  <c r="K41" i="13"/>
  <c r="J41" i="13"/>
  <c r="M40" i="13"/>
  <c r="L40" i="13"/>
  <c r="K40" i="13"/>
  <c r="J40" i="13"/>
  <c r="M39" i="13"/>
  <c r="L39" i="13"/>
  <c r="K39" i="13"/>
  <c r="J39" i="13"/>
  <c r="M38" i="13"/>
  <c r="L38" i="13"/>
  <c r="K38" i="13"/>
  <c r="J38" i="13"/>
  <c r="M37" i="13"/>
  <c r="G36" i="13" s="1"/>
  <c r="L37" i="13"/>
  <c r="G35" i="13" s="1"/>
  <c r="K37" i="13"/>
  <c r="J37" i="13"/>
  <c r="F37" i="13" s="1"/>
  <c r="G37" i="13"/>
  <c r="D36" i="13"/>
  <c r="F35" i="13"/>
  <c r="M32" i="13"/>
  <c r="L32" i="13"/>
  <c r="K32" i="13"/>
  <c r="J32" i="13"/>
  <c r="D32" i="13"/>
  <c r="C32" i="13"/>
  <c r="M31" i="13"/>
  <c r="L31" i="13"/>
  <c r="K31" i="13"/>
  <c r="J31" i="13"/>
  <c r="D31" i="13"/>
  <c r="C31" i="13"/>
  <c r="M30" i="13"/>
  <c r="L30" i="13"/>
  <c r="K30" i="13"/>
  <c r="J30" i="13"/>
  <c r="D30" i="13"/>
  <c r="C30" i="13"/>
  <c r="M29" i="13"/>
  <c r="L29" i="13"/>
  <c r="K29" i="13"/>
  <c r="J29" i="13"/>
  <c r="D29" i="13"/>
  <c r="C29" i="13"/>
  <c r="M28" i="13"/>
  <c r="L28" i="13"/>
  <c r="K28" i="13"/>
  <c r="J28" i="13"/>
  <c r="D28" i="13"/>
  <c r="C28" i="13"/>
  <c r="M27" i="13"/>
  <c r="L27" i="13"/>
  <c r="K27" i="13"/>
  <c r="J27" i="13"/>
  <c r="D27" i="13"/>
  <c r="C27" i="13"/>
  <c r="M26" i="13"/>
  <c r="L26" i="13"/>
  <c r="K26" i="13"/>
  <c r="J26" i="13"/>
  <c r="D26" i="13"/>
  <c r="C26" i="13"/>
  <c r="M25" i="13"/>
  <c r="L25" i="13"/>
  <c r="K25" i="13"/>
  <c r="J25" i="13"/>
  <c r="D37" i="13" s="1"/>
  <c r="D25" i="13"/>
  <c r="C25" i="13"/>
  <c r="M24" i="13"/>
  <c r="E36" i="13" s="1"/>
  <c r="L24" i="13"/>
  <c r="E35" i="13" s="1"/>
  <c r="K24" i="13"/>
  <c r="J24" i="13"/>
  <c r="D35" i="13" s="1"/>
  <c r="D24" i="13"/>
  <c r="C36" i="13" s="1"/>
  <c r="C24" i="13"/>
  <c r="C35" i="13" s="1"/>
  <c r="A12" i="13"/>
  <c r="C12" i="13" s="1"/>
  <c r="C11" i="13"/>
  <c r="A11" i="13"/>
  <c r="A10" i="13"/>
  <c r="C10" i="13" s="1"/>
  <c r="C9" i="13"/>
  <c r="A9" i="13"/>
  <c r="A8" i="13"/>
  <c r="C8" i="13" s="1"/>
  <c r="C7" i="13"/>
  <c r="A7" i="13"/>
  <c r="A6" i="13"/>
  <c r="C6" i="13" s="1"/>
  <c r="C5" i="13"/>
  <c r="A5" i="13"/>
  <c r="A4" i="13"/>
  <c r="C4" i="13" s="1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AO13" i="12"/>
  <c r="AN13" i="12"/>
  <c r="AJ13" i="12"/>
  <c r="AI13" i="12"/>
  <c r="D13" i="12"/>
  <c r="AO12" i="12"/>
  <c r="AN12" i="12"/>
  <c r="AJ12" i="12"/>
  <c r="AI12" i="12"/>
  <c r="D12" i="12"/>
  <c r="AO11" i="12"/>
  <c r="AN11" i="12"/>
  <c r="AJ11" i="12"/>
  <c r="AI11" i="12"/>
  <c r="D11" i="12"/>
  <c r="AO10" i="12"/>
  <c r="AN10" i="12"/>
  <c r="AJ10" i="12"/>
  <c r="AI10" i="12"/>
  <c r="P10" i="12"/>
  <c r="AB11" i="12" s="1"/>
  <c r="D10" i="12"/>
  <c r="AO9" i="12"/>
  <c r="AN9" i="12"/>
  <c r="AJ9" i="12"/>
  <c r="AI9" i="12"/>
  <c r="D9" i="12"/>
  <c r="AO8" i="12"/>
  <c r="AN8" i="12"/>
  <c r="AJ8" i="12"/>
  <c r="AI8" i="12"/>
  <c r="J8" i="12"/>
  <c r="V9" i="12" s="1"/>
  <c r="D8" i="12"/>
  <c r="AO7" i="12"/>
  <c r="AN7" i="12"/>
  <c r="AJ7" i="12"/>
  <c r="AI7" i="12"/>
  <c r="D7" i="12"/>
  <c r="Q9" i="12" s="1"/>
  <c r="AC10" i="12" s="1"/>
  <c r="AO6" i="12"/>
  <c r="AN6" i="12"/>
  <c r="AJ6" i="12"/>
  <c r="AI6" i="12"/>
  <c r="AC6" i="12"/>
  <c r="L6" i="12"/>
  <c r="X7" i="12" s="1"/>
  <c r="D6" i="12"/>
  <c r="AO5" i="12"/>
  <c r="AN5" i="12"/>
  <c r="AJ5" i="12"/>
  <c r="AI5" i="12"/>
  <c r="Q5" i="12"/>
  <c r="M5" i="12"/>
  <c r="Y6" i="12" s="1"/>
  <c r="D5" i="12"/>
  <c r="AO4" i="12"/>
  <c r="AN4" i="12"/>
  <c r="O4" i="12"/>
  <c r="AA5" i="12" s="1"/>
  <c r="D4" i="12"/>
  <c r="O3" i="12"/>
  <c r="K3" i="12"/>
  <c r="D3" i="12"/>
  <c r="K11" i="12" s="1"/>
  <c r="W12" i="12" s="1"/>
  <c r="I21" i="11"/>
  <c r="H21" i="11"/>
  <c r="I5" i="11"/>
  <c r="H5" i="11"/>
  <c r="D93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1" i="10"/>
  <c r="D50" i="10"/>
  <c r="D49" i="10"/>
  <c r="D48" i="10"/>
  <c r="D47" i="10"/>
  <c r="D46" i="10"/>
  <c r="D44" i="10"/>
  <c r="D220" i="10" s="1"/>
  <c r="E12" i="10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11" i="10"/>
  <c r="E9" i="10"/>
  <c r="E10" i="10" s="1"/>
  <c r="D15" i="13" l="1"/>
  <c r="C75" i="13"/>
  <c r="E77" i="13"/>
  <c r="C37" i="13"/>
  <c r="E37" i="13"/>
  <c r="M9" i="12"/>
  <c r="Y10" i="12" s="1"/>
  <c r="L10" i="12"/>
  <c r="X11" i="12" s="1"/>
  <c r="AA4" i="12"/>
  <c r="N8" i="12"/>
  <c r="Z9" i="12" s="1"/>
  <c r="K7" i="12"/>
  <c r="W8" i="12" s="1"/>
  <c r="W4" i="12"/>
  <c r="P6" i="12"/>
  <c r="AB7" i="12" s="1"/>
  <c r="Q11" i="12"/>
  <c r="AC12" i="12" s="1"/>
  <c r="M11" i="12"/>
  <c r="Y12" i="12" s="1"/>
  <c r="I11" i="12"/>
  <c r="U12" i="12" s="1"/>
  <c r="N10" i="12"/>
  <c r="Z11" i="12" s="1"/>
  <c r="J10" i="12"/>
  <c r="V11" i="12" s="1"/>
  <c r="O9" i="12"/>
  <c r="AA10" i="12" s="1"/>
  <c r="K9" i="12"/>
  <c r="W10" i="12" s="1"/>
  <c r="P8" i="12"/>
  <c r="AB9" i="12" s="1"/>
  <c r="L8" i="12"/>
  <c r="X9" i="12" s="1"/>
  <c r="H8" i="12"/>
  <c r="Q7" i="12"/>
  <c r="AC8" i="12" s="1"/>
  <c r="M7" i="12"/>
  <c r="Y8" i="12" s="1"/>
  <c r="I7" i="12"/>
  <c r="U8" i="12" s="1"/>
  <c r="J6" i="12"/>
  <c r="V7" i="12" s="1"/>
  <c r="K5" i="12"/>
  <c r="W6" i="12" s="1"/>
  <c r="Q4" i="12"/>
  <c r="AC5" i="12" s="1"/>
  <c r="I4" i="12"/>
  <c r="U5" i="12" s="1"/>
  <c r="Q3" i="12"/>
  <c r="I3" i="12"/>
  <c r="H11" i="12"/>
  <c r="Q10" i="12"/>
  <c r="AC11" i="12" s="1"/>
  <c r="I10" i="12"/>
  <c r="U11" i="12" s="1"/>
  <c r="N9" i="12"/>
  <c r="Z10" i="12" s="1"/>
  <c r="O8" i="12"/>
  <c r="AA9" i="12" s="1"/>
  <c r="P7" i="12"/>
  <c r="AB8" i="12" s="1"/>
  <c r="L7" i="12"/>
  <c r="X8" i="12" s="1"/>
  <c r="Q6" i="12"/>
  <c r="AC7" i="12" s="1"/>
  <c r="I6" i="12"/>
  <c r="U7" i="12" s="1"/>
  <c r="J5" i="12"/>
  <c r="V6" i="12" s="1"/>
  <c r="L4" i="12"/>
  <c r="X5" i="12" s="1"/>
  <c r="H4" i="12"/>
  <c r="L3" i="12"/>
  <c r="P11" i="12"/>
  <c r="AB12" i="12" s="1"/>
  <c r="O11" i="12"/>
  <c r="AA12" i="12" s="1"/>
  <c r="N11" i="12"/>
  <c r="Z12" i="12" s="1"/>
  <c r="J11" i="12"/>
  <c r="V12" i="12" s="1"/>
  <c r="O10" i="12"/>
  <c r="AA11" i="12" s="1"/>
  <c r="K10" i="12"/>
  <c r="W11" i="12" s="1"/>
  <c r="P9" i="12"/>
  <c r="AB10" i="12" s="1"/>
  <c r="L9" i="12"/>
  <c r="X10" i="12" s="1"/>
  <c r="H9" i="12"/>
  <c r="Q8" i="12"/>
  <c r="AC9" i="12" s="1"/>
  <c r="M8" i="12"/>
  <c r="Y9" i="12" s="1"/>
  <c r="I8" i="12"/>
  <c r="U9" i="12" s="1"/>
  <c r="N7" i="12"/>
  <c r="Z8" i="12" s="1"/>
  <c r="J7" i="12"/>
  <c r="V8" i="12" s="1"/>
  <c r="O6" i="12"/>
  <c r="AA7" i="12" s="1"/>
  <c r="K6" i="12"/>
  <c r="W7" i="12" s="1"/>
  <c r="P5" i="12"/>
  <c r="AB6" i="12" s="1"/>
  <c r="L5" i="12"/>
  <c r="X6" i="12" s="1"/>
  <c r="H5" i="12"/>
  <c r="N4" i="12"/>
  <c r="Z5" i="12" s="1"/>
  <c r="J4" i="12"/>
  <c r="V5" i="12" s="1"/>
  <c r="N3" i="12"/>
  <c r="J3" i="12"/>
  <c r="N6" i="12"/>
  <c r="Z7" i="12" s="1"/>
  <c r="O5" i="12"/>
  <c r="AA6" i="12" s="1"/>
  <c r="M4" i="12"/>
  <c r="Y5" i="12" s="1"/>
  <c r="M3" i="12"/>
  <c r="L11" i="12"/>
  <c r="X12" i="12" s="1"/>
  <c r="M10" i="12"/>
  <c r="Y11" i="12" s="1"/>
  <c r="J9" i="12"/>
  <c r="V10" i="12" s="1"/>
  <c r="K8" i="12"/>
  <c r="W9" i="12" s="1"/>
  <c r="H7" i="12"/>
  <c r="M6" i="12"/>
  <c r="Y7" i="12" s="1"/>
  <c r="N5" i="12"/>
  <c r="Z6" i="12" s="1"/>
  <c r="P4" i="12"/>
  <c r="AB5" i="12" s="1"/>
  <c r="P3" i="12"/>
  <c r="H3" i="12"/>
  <c r="K4" i="12"/>
  <c r="W5" i="12" s="1"/>
  <c r="I5" i="12"/>
  <c r="U6" i="12" s="1"/>
  <c r="H6" i="12"/>
  <c r="O7" i="12"/>
  <c r="AA8" i="12" s="1"/>
  <c r="I9" i="12"/>
  <c r="U10" i="12" s="1"/>
  <c r="H10" i="12"/>
  <c r="V4" i="12" l="1"/>
  <c r="V13" i="12" s="1"/>
  <c r="AM6" i="12" s="1"/>
  <c r="J12" i="12"/>
  <c r="T5" i="12"/>
  <c r="AD5" i="12" s="1"/>
  <c r="AH6" i="12" s="1"/>
  <c r="R4" i="12"/>
  <c r="Z4" i="12"/>
  <c r="Z13" i="12" s="1"/>
  <c r="AM10" i="12" s="1"/>
  <c r="N12" i="12"/>
  <c r="AC4" i="12"/>
  <c r="AC13" i="12" s="1"/>
  <c r="AM13" i="12" s="1"/>
  <c r="Q12" i="12"/>
  <c r="T9" i="12"/>
  <c r="AD9" i="12" s="1"/>
  <c r="AH10" i="12" s="1"/>
  <c r="R8" i="12"/>
  <c r="K12" i="12"/>
  <c r="O12" i="12"/>
  <c r="M12" i="12"/>
  <c r="Y4" i="12"/>
  <c r="Y13" i="12" s="1"/>
  <c r="AM9" i="12" s="1"/>
  <c r="U4" i="12"/>
  <c r="U13" i="12" s="1"/>
  <c r="AM5" i="12" s="1"/>
  <c r="I12" i="12"/>
  <c r="W13" i="12"/>
  <c r="AM7" i="12" s="1"/>
  <c r="H12" i="12"/>
  <c r="R3" i="12"/>
  <c r="T4" i="12"/>
  <c r="T10" i="12"/>
  <c r="AD10" i="12" s="1"/>
  <c r="AH11" i="12" s="1"/>
  <c r="R9" i="12"/>
  <c r="R10" i="12"/>
  <c r="T11" i="12"/>
  <c r="AD11" i="12" s="1"/>
  <c r="AH12" i="12" s="1"/>
  <c r="R5" i="12"/>
  <c r="T6" i="12"/>
  <c r="AD6" i="12" s="1"/>
  <c r="AH7" i="12" s="1"/>
  <c r="AA13" i="12"/>
  <c r="AM11" i="12" s="1"/>
  <c r="R6" i="12"/>
  <c r="T7" i="12"/>
  <c r="AD7" i="12" s="1"/>
  <c r="AH8" i="12" s="1"/>
  <c r="P12" i="12"/>
  <c r="AB4" i="12"/>
  <c r="AB13" i="12" s="1"/>
  <c r="AM12" i="12" s="1"/>
  <c r="R7" i="12"/>
  <c r="T8" i="12"/>
  <c r="AD8" i="12" s="1"/>
  <c r="AH9" i="12" s="1"/>
  <c r="L12" i="12"/>
  <c r="X4" i="12"/>
  <c r="X13" i="12" s="1"/>
  <c r="AM8" i="12" s="1"/>
  <c r="T12" i="12"/>
  <c r="AD12" i="12" s="1"/>
  <c r="AH13" i="12" s="1"/>
  <c r="R11" i="12"/>
  <c r="R12" i="12" l="1"/>
  <c r="AD4" i="12"/>
  <c r="T13" i="12"/>
  <c r="AM4" i="12" s="1"/>
  <c r="AD13" i="12" l="1"/>
  <c r="AH5" i="12"/>
  <c r="J6" i="8" l="1"/>
  <c r="C2" i="8" l="1"/>
  <c r="B2" i="8"/>
  <c r="I2" i="8"/>
  <c r="J2" i="8"/>
  <c r="L4" i="7"/>
  <c r="D2" i="9" l="1"/>
  <c r="F1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4" i="4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4" i="8"/>
  <c r="D13" i="9"/>
  <c r="J8" i="8"/>
  <c r="I11" i="8"/>
  <c r="I6" i="8"/>
  <c r="I7" i="8"/>
  <c r="I8" i="8"/>
  <c r="I9" i="8"/>
  <c r="I10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N21" i="7"/>
  <c r="N20" i="7"/>
  <c r="M20" i="7"/>
  <c r="M19" i="7"/>
  <c r="N19" i="7"/>
  <c r="L19" i="7"/>
  <c r="K18" i="7"/>
  <c r="L5" i="7" s="1"/>
  <c r="L18" i="7"/>
  <c r="M18" i="7"/>
  <c r="N18" i="7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2" i="9"/>
  <c r="D11" i="9"/>
  <c r="D10" i="9"/>
  <c r="D9" i="9"/>
  <c r="D8" i="9"/>
  <c r="D7" i="9"/>
  <c r="D6" i="9"/>
  <c r="D5" i="9"/>
  <c r="D4" i="9"/>
  <c r="D3" i="9"/>
  <c r="N13" i="7"/>
  <c r="N12" i="7"/>
  <c r="M12" i="7"/>
  <c r="M11" i="7"/>
  <c r="N11" i="7"/>
  <c r="L11" i="7"/>
  <c r="N10" i="7"/>
  <c r="O4" i="7" s="1"/>
  <c r="M10" i="7"/>
  <c r="N4" i="7" s="1"/>
  <c r="L10" i="7"/>
  <c r="M4" i="7" s="1"/>
  <c r="K1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" i="7"/>
  <c r="H6" i="4"/>
  <c r="H7" i="4"/>
  <c r="H8" i="4"/>
  <c r="K8" i="4" s="1"/>
  <c r="H9" i="4"/>
  <c r="K9" i="4" s="1"/>
  <c r="H10" i="4"/>
  <c r="K10" i="4" s="1"/>
  <c r="H11" i="4"/>
  <c r="H12" i="4"/>
  <c r="H13" i="4"/>
  <c r="K13" i="4" s="1"/>
  <c r="H14" i="4"/>
  <c r="K14" i="4" s="1"/>
  <c r="H15" i="4"/>
  <c r="H16" i="4"/>
  <c r="K16" i="4" s="1"/>
  <c r="H17" i="4"/>
  <c r="K17" i="4" s="1"/>
  <c r="H18" i="4"/>
  <c r="K18" i="4" s="1"/>
  <c r="H19" i="4"/>
  <c r="H20" i="4"/>
  <c r="H21" i="4"/>
  <c r="K21" i="4" s="1"/>
  <c r="H22" i="4"/>
  <c r="K22" i="4" s="1"/>
  <c r="H23" i="4"/>
  <c r="H24" i="4"/>
  <c r="H25" i="4"/>
  <c r="K25" i="4" s="1"/>
  <c r="H26" i="4"/>
  <c r="K26" i="4" s="1"/>
  <c r="H27" i="4"/>
  <c r="H28" i="4"/>
  <c r="H29" i="4"/>
  <c r="K29" i="4" s="1"/>
  <c r="H30" i="4"/>
  <c r="K30" i="4" s="1"/>
  <c r="H31" i="4"/>
  <c r="H32" i="4"/>
  <c r="K32" i="4" s="1"/>
  <c r="H33" i="4"/>
  <c r="K33" i="4" s="1"/>
  <c r="H34" i="4"/>
  <c r="K34" i="4" s="1"/>
  <c r="H35" i="4"/>
  <c r="H36" i="4"/>
  <c r="H37" i="4"/>
  <c r="K37" i="4" s="1"/>
  <c r="H38" i="4"/>
  <c r="K38" i="4" s="1"/>
  <c r="H39" i="4"/>
  <c r="H40" i="4"/>
  <c r="K40" i="4" s="1"/>
  <c r="H41" i="4"/>
  <c r="K41" i="4" s="1"/>
  <c r="H42" i="4"/>
  <c r="K42" i="4" s="1"/>
  <c r="H43" i="4"/>
  <c r="H44" i="4"/>
  <c r="K44" i="4" s="1"/>
  <c r="H45" i="4"/>
  <c r="K45" i="4" s="1"/>
  <c r="H46" i="4"/>
  <c r="K46" i="4" s="1"/>
  <c r="H47" i="4"/>
  <c r="H48" i="4"/>
  <c r="H49" i="4"/>
  <c r="K49" i="4" s="1"/>
  <c r="H50" i="4"/>
  <c r="H51" i="4"/>
  <c r="H52" i="4"/>
  <c r="H53" i="4"/>
  <c r="K53" i="4" s="1"/>
  <c r="H54" i="4"/>
  <c r="K54" i="4" s="1"/>
  <c r="H55" i="4"/>
  <c r="H56" i="4"/>
  <c r="K56" i="4" s="1"/>
  <c r="H57" i="4"/>
  <c r="K57" i="4" s="1"/>
  <c r="H58" i="4"/>
  <c r="K58" i="4" s="1"/>
  <c r="H59" i="4"/>
  <c r="H60" i="4"/>
  <c r="H61" i="4"/>
  <c r="H62" i="4"/>
  <c r="H63" i="4"/>
  <c r="H64" i="4"/>
  <c r="K64" i="4" s="1"/>
  <c r="H65" i="4"/>
  <c r="K65" i="4" s="1"/>
  <c r="H66" i="4"/>
  <c r="K66" i="4" s="1"/>
  <c r="H67" i="4"/>
  <c r="H68" i="4"/>
  <c r="K68" i="4" s="1"/>
  <c r="H69" i="4"/>
  <c r="K69" i="4" s="1"/>
  <c r="H70" i="4"/>
  <c r="K70" i="4" s="1"/>
  <c r="H71" i="4"/>
  <c r="H72" i="4"/>
  <c r="K72" i="4" s="1"/>
  <c r="H73" i="4"/>
  <c r="K73" i="4" s="1"/>
  <c r="H74" i="4"/>
  <c r="K74" i="4" s="1"/>
  <c r="H75" i="4"/>
  <c r="H76" i="4"/>
  <c r="H77" i="4"/>
  <c r="K77" i="4" s="1"/>
  <c r="H78" i="4"/>
  <c r="H79" i="4"/>
  <c r="H80" i="4"/>
  <c r="H81" i="4"/>
  <c r="K81" i="4" s="1"/>
  <c r="H82" i="4"/>
  <c r="K82" i="4" s="1"/>
  <c r="H83" i="4"/>
  <c r="H84" i="4"/>
  <c r="K84" i="4" s="1"/>
  <c r="H85" i="4"/>
  <c r="K85" i="4" s="1"/>
  <c r="H86" i="4"/>
  <c r="K86" i="4" s="1"/>
  <c r="H87" i="4"/>
  <c r="H88" i="4"/>
  <c r="K88" i="4" s="1"/>
  <c r="H89" i="4"/>
  <c r="K89" i="4" s="1"/>
  <c r="H90" i="4"/>
  <c r="K90" i="4" s="1"/>
  <c r="H91" i="4"/>
  <c r="H92" i="4"/>
  <c r="K92" i="4" s="1"/>
  <c r="H93" i="4"/>
  <c r="K93" i="4" s="1"/>
  <c r="H94" i="4"/>
  <c r="K94" i="4" s="1"/>
  <c r="H95" i="4"/>
  <c r="H96" i="4"/>
  <c r="H97" i="4"/>
  <c r="K97" i="4" s="1"/>
  <c r="H98" i="4"/>
  <c r="K98" i="4" s="1"/>
  <c r="H99" i="4"/>
  <c r="H100" i="4"/>
  <c r="H101" i="4"/>
  <c r="H102" i="4"/>
  <c r="K102" i="4" s="1"/>
  <c r="H103" i="4"/>
  <c r="H104" i="4"/>
  <c r="K104" i="4" s="1"/>
  <c r="H105" i="4"/>
  <c r="H106" i="4"/>
  <c r="K106" i="4" s="1"/>
  <c r="H107" i="4"/>
  <c r="H108" i="4"/>
  <c r="H109" i="4"/>
  <c r="K109" i="4" s="1"/>
  <c r="H110" i="4"/>
  <c r="K110" i="4" s="1"/>
  <c r="H111" i="4"/>
  <c r="H112" i="4"/>
  <c r="K112" i="4" s="1"/>
  <c r="H113" i="4"/>
  <c r="K113" i="4" s="1"/>
  <c r="H114" i="4"/>
  <c r="K114" i="4" s="1"/>
  <c r="H115" i="4"/>
  <c r="H116" i="4"/>
  <c r="K116" i="4" s="1"/>
  <c r="H117" i="4"/>
  <c r="K117" i="4" s="1"/>
  <c r="H118" i="4"/>
  <c r="K118" i="4" s="1"/>
  <c r="H119" i="4"/>
  <c r="H120" i="4"/>
  <c r="K120" i="4" s="1"/>
  <c r="H121" i="4"/>
  <c r="K121" i="4" s="1"/>
  <c r="H122" i="4"/>
  <c r="H123" i="4"/>
  <c r="H124" i="4"/>
  <c r="H125" i="4"/>
  <c r="K125" i="4" s="1"/>
  <c r="H126" i="4"/>
  <c r="H127" i="4"/>
  <c r="H128" i="4"/>
  <c r="K128" i="4" s="1"/>
  <c r="H129" i="4"/>
  <c r="K129" i="4" s="1"/>
  <c r="H130" i="4"/>
  <c r="K130" i="4" s="1"/>
  <c r="H131" i="4"/>
  <c r="H132" i="4"/>
  <c r="H133" i="4"/>
  <c r="K133" i="4" s="1"/>
  <c r="H134" i="4"/>
  <c r="K134" i="4" s="1"/>
  <c r="H135" i="4"/>
  <c r="H136" i="4"/>
  <c r="K136" i="4" s="1"/>
  <c r="H137" i="4"/>
  <c r="K137" i="4" s="1"/>
  <c r="H138" i="4"/>
  <c r="K138" i="4" s="1"/>
  <c r="H139" i="4"/>
  <c r="H140" i="4"/>
  <c r="K140" i="4" s="1"/>
  <c r="H141" i="4"/>
  <c r="K141" i="4" s="1"/>
  <c r="H142" i="4"/>
  <c r="H143" i="4"/>
  <c r="H144" i="4"/>
  <c r="H145" i="4"/>
  <c r="K145" i="4" s="1"/>
  <c r="H146" i="4"/>
  <c r="K146" i="4" s="1"/>
  <c r="H147" i="4"/>
  <c r="H148" i="4"/>
  <c r="H149" i="4"/>
  <c r="K149" i="4" s="1"/>
  <c r="H150" i="4"/>
  <c r="K150" i="4" s="1"/>
  <c r="H151" i="4"/>
  <c r="H152" i="4"/>
  <c r="K152" i="4" s="1"/>
  <c r="H153" i="4"/>
  <c r="K153" i="4" s="1"/>
  <c r="H154" i="4"/>
  <c r="K154" i="4" s="1"/>
  <c r="H155" i="4"/>
  <c r="H156" i="4"/>
  <c r="H157" i="4"/>
  <c r="K157" i="4" s="1"/>
  <c r="H158" i="4"/>
  <c r="K158" i="4" s="1"/>
  <c r="H159" i="4"/>
  <c r="H160" i="4"/>
  <c r="H161" i="4"/>
  <c r="K161" i="4" s="1"/>
  <c r="H162" i="4"/>
  <c r="K162" i="4" s="1"/>
  <c r="H163" i="4"/>
  <c r="H164" i="4"/>
  <c r="K164" i="4" s="1"/>
  <c r="H165" i="4"/>
  <c r="K165" i="4" s="1"/>
  <c r="H166" i="4"/>
  <c r="K166" i="4" s="1"/>
  <c r="H167" i="4"/>
  <c r="H168" i="4"/>
  <c r="H169" i="4"/>
  <c r="K169" i="4" s="1"/>
  <c r="H170" i="4"/>
  <c r="K170" i="4" s="1"/>
  <c r="H171" i="4"/>
  <c r="H172" i="4"/>
  <c r="K172" i="4" s="1"/>
  <c r="H173" i="4"/>
  <c r="K173" i="4" s="1"/>
  <c r="H174" i="4"/>
  <c r="K174" i="4" s="1"/>
  <c r="H175" i="4"/>
  <c r="H176" i="4"/>
  <c r="K176" i="4" s="1"/>
  <c r="H177" i="4"/>
  <c r="K177" i="4" s="1"/>
  <c r="H178" i="4"/>
  <c r="K178" i="4" s="1"/>
  <c r="H179" i="4"/>
  <c r="H180" i="4"/>
  <c r="H181" i="4"/>
  <c r="K181" i="4" s="1"/>
  <c r="H182" i="4"/>
  <c r="K182" i="4" s="1"/>
  <c r="H183" i="4"/>
  <c r="H184" i="4"/>
  <c r="H185" i="4"/>
  <c r="K185" i="4" s="1"/>
  <c r="H186" i="4"/>
  <c r="K186" i="4" s="1"/>
  <c r="H187" i="4"/>
  <c r="H188" i="4"/>
  <c r="H189" i="4"/>
  <c r="K189" i="4" s="1"/>
  <c r="H190" i="4"/>
  <c r="H191" i="4"/>
  <c r="H192" i="4"/>
  <c r="K192" i="4" s="1"/>
  <c r="H193" i="4"/>
  <c r="K193" i="4" s="1"/>
  <c r="H194" i="4"/>
  <c r="K194" i="4" s="1"/>
  <c r="H195" i="4"/>
  <c r="H196" i="4"/>
  <c r="K196" i="4" s="1"/>
  <c r="H197" i="4"/>
  <c r="K197" i="4" s="1"/>
  <c r="H198" i="4"/>
  <c r="K198" i="4" s="1"/>
  <c r="H199" i="4"/>
  <c r="H200" i="4"/>
  <c r="K200" i="4" s="1"/>
  <c r="H201" i="4"/>
  <c r="K201" i="4" s="1"/>
  <c r="H202" i="4"/>
  <c r="K202" i="4" s="1"/>
  <c r="H203" i="4"/>
  <c r="H204" i="4"/>
  <c r="H205" i="4"/>
  <c r="K205" i="4" s="1"/>
  <c r="H206" i="4"/>
  <c r="K206" i="4" s="1"/>
  <c r="H207" i="4"/>
  <c r="H208" i="4"/>
  <c r="H209" i="4"/>
  <c r="K209" i="4" s="1"/>
  <c r="H210" i="4"/>
  <c r="H211" i="4"/>
  <c r="H212" i="4"/>
  <c r="K212" i="4" s="1"/>
  <c r="H213" i="4"/>
  <c r="K213" i="4" s="1"/>
  <c r="H214" i="4"/>
  <c r="K214" i="4" s="1"/>
  <c r="K50" i="4"/>
  <c r="K62" i="4"/>
  <c r="K78" i="4"/>
  <c r="K105" i="4"/>
  <c r="K122" i="4"/>
  <c r="K190" i="4"/>
  <c r="K210" i="4"/>
  <c r="K20" i="4"/>
  <c r="K24" i="4"/>
  <c r="K52" i="4"/>
  <c r="K61" i="4"/>
  <c r="K76" i="4"/>
  <c r="K96" i="4"/>
  <c r="K101" i="4"/>
  <c r="K124" i="4"/>
  <c r="K126" i="4"/>
  <c r="K142" i="4"/>
  <c r="K156" i="4"/>
  <c r="K160" i="4"/>
  <c r="K184" i="4"/>
  <c r="K188" i="4"/>
  <c r="K28" i="4"/>
  <c r="K60" i="4"/>
  <c r="K148" i="4"/>
  <c r="K168" i="4"/>
  <c r="K5" i="4"/>
  <c r="K4" i="4"/>
  <c r="I5" i="4"/>
  <c r="J5" i="4" s="1"/>
  <c r="I4" i="4"/>
  <c r="J4" i="4" s="1"/>
  <c r="J5" i="8"/>
  <c r="K5" i="8" s="1"/>
  <c r="J4" i="8"/>
  <c r="K4" i="8" s="1"/>
  <c r="H190" i="8"/>
  <c r="M5" i="7"/>
  <c r="N5" i="7"/>
  <c r="N6" i="7" s="1"/>
  <c r="O5" i="7"/>
  <c r="O6" i="7" s="1"/>
  <c r="K36" i="4"/>
  <c r="K48" i="4"/>
  <c r="K80" i="4"/>
  <c r="K100" i="4"/>
  <c r="K132" i="4"/>
  <c r="K144" i="4"/>
  <c r="K208" i="4"/>
  <c r="K6" i="4"/>
  <c r="K17" i="2"/>
  <c r="L17" i="2"/>
  <c r="J16" i="2"/>
  <c r="J17" i="2" s="1"/>
  <c r="L15" i="2"/>
  <c r="K15" i="2"/>
  <c r="J15" i="2"/>
  <c r="L16" i="2"/>
  <c r="K16" i="2"/>
  <c r="K7" i="4"/>
  <c r="K11" i="4"/>
  <c r="K12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08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0" i="4"/>
  <c r="K183" i="4"/>
  <c r="K187" i="4"/>
  <c r="K191" i="4"/>
  <c r="K195" i="4"/>
  <c r="K199" i="4"/>
  <c r="K203" i="4"/>
  <c r="K204" i="4"/>
  <c r="K207" i="4"/>
  <c r="K211" i="4"/>
  <c r="G6" i="4"/>
  <c r="I6" i="4" s="1"/>
  <c r="J6" i="4" s="1"/>
  <c r="H214" i="8"/>
  <c r="H213" i="8"/>
  <c r="H212" i="8"/>
  <c r="H211" i="8"/>
  <c r="H210" i="8"/>
  <c r="H209" i="8"/>
  <c r="J209" i="8" s="1"/>
  <c r="K209" i="8" s="1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J85" i="8" s="1"/>
  <c r="K85" i="8" s="1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J25" i="8" s="1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J12" i="8" s="1"/>
  <c r="H11" i="8"/>
  <c r="H10" i="8"/>
  <c r="H9" i="8"/>
  <c r="H8" i="8"/>
  <c r="H7" i="8"/>
  <c r="H6" i="8"/>
  <c r="M6" i="7" l="1"/>
  <c r="L6" i="7"/>
  <c r="P4" i="7"/>
  <c r="J138" i="8"/>
  <c r="J42" i="8"/>
  <c r="J75" i="8"/>
  <c r="J79" i="8"/>
  <c r="K79" i="8" s="1"/>
  <c r="J95" i="8"/>
  <c r="J56" i="8"/>
  <c r="J120" i="8"/>
  <c r="K120" i="8" s="1"/>
  <c r="J28" i="8"/>
  <c r="L4" i="8"/>
  <c r="K25" i="8"/>
  <c r="K138" i="8"/>
  <c r="J86" i="8"/>
  <c r="K12" i="8"/>
  <c r="J150" i="8"/>
  <c r="J198" i="8"/>
  <c r="L5" i="8"/>
  <c r="J18" i="8"/>
  <c r="J46" i="8"/>
  <c r="J70" i="8"/>
  <c r="J83" i="8"/>
  <c r="J137" i="8"/>
  <c r="J202" i="8"/>
  <c r="J213" i="8"/>
  <c r="J9" i="8"/>
  <c r="J41" i="8"/>
  <c r="J45" i="8"/>
  <c r="J58" i="8"/>
  <c r="J113" i="8"/>
  <c r="J122" i="8"/>
  <c r="J134" i="8"/>
  <c r="J153" i="8"/>
  <c r="J177" i="8"/>
  <c r="J37" i="8"/>
  <c r="J65" i="8"/>
  <c r="J90" i="8"/>
  <c r="J125" i="8"/>
  <c r="J149" i="8"/>
  <c r="J154" i="8"/>
  <c r="J156" i="8"/>
  <c r="J189" i="8"/>
  <c r="J197" i="8"/>
  <c r="J204" i="8"/>
  <c r="J22" i="8"/>
  <c r="J13" i="8"/>
  <c r="J21" i="8"/>
  <c r="J34" i="8"/>
  <c r="J40" i="8"/>
  <c r="J49" i="8"/>
  <c r="J62" i="8"/>
  <c r="J68" i="8"/>
  <c r="J77" i="8"/>
  <c r="J121" i="8"/>
  <c r="J124" i="8"/>
  <c r="J133" i="8"/>
  <c r="J136" i="8"/>
  <c r="J145" i="8"/>
  <c r="J152" i="8"/>
  <c r="J157" i="8"/>
  <c r="J188" i="8"/>
  <c r="J201" i="8"/>
  <c r="J205" i="8"/>
  <c r="J89" i="8"/>
  <c r="J10" i="8"/>
  <c r="J17" i="8"/>
  <c r="J33" i="8"/>
  <c r="J38" i="8"/>
  <c r="J48" i="8"/>
  <c r="J54" i="8"/>
  <c r="J60" i="8"/>
  <c r="J61" i="8"/>
  <c r="J66" i="8"/>
  <c r="J78" i="8"/>
  <c r="J87" i="8"/>
  <c r="J109" i="8"/>
  <c r="J117" i="8"/>
  <c r="J118" i="8"/>
  <c r="J129" i="8"/>
  <c r="J140" i="8"/>
  <c r="J173" i="8"/>
  <c r="J181" i="8"/>
  <c r="J182" i="8"/>
  <c r="J184" i="8"/>
  <c r="J185" i="8"/>
  <c r="J186" i="8"/>
  <c r="J193" i="8"/>
  <c r="J200" i="8"/>
  <c r="J29" i="8"/>
  <c r="J30" i="8"/>
  <c r="J53" i="8"/>
  <c r="J98" i="8"/>
  <c r="J99" i="8"/>
  <c r="J102" i="8"/>
  <c r="J104" i="8"/>
  <c r="J105" i="8"/>
  <c r="J106" i="8"/>
  <c r="J165" i="8"/>
  <c r="J166" i="8"/>
  <c r="J168" i="8"/>
  <c r="J169" i="8"/>
  <c r="J170" i="8"/>
  <c r="J14" i="8"/>
  <c r="J20" i="8"/>
  <c r="J26" i="8"/>
  <c r="J36" i="8"/>
  <c r="J50" i="8"/>
  <c r="J57" i="8"/>
  <c r="J69" i="8"/>
  <c r="J73" i="8"/>
  <c r="J74" i="8"/>
  <c r="J81" i="8"/>
  <c r="J82" i="8"/>
  <c r="J91" i="8"/>
  <c r="J93" i="8"/>
  <c r="J94" i="8"/>
  <c r="J108" i="8"/>
  <c r="J141" i="8"/>
  <c r="J161" i="8"/>
  <c r="J172" i="8"/>
  <c r="J16" i="8"/>
  <c r="J24" i="8"/>
  <c r="J64" i="8"/>
  <c r="J32" i="8"/>
  <c r="J44" i="8"/>
  <c r="J52" i="8"/>
  <c r="P5" i="7"/>
  <c r="J72" i="8"/>
  <c r="J80" i="8"/>
  <c r="J88" i="8"/>
  <c r="J96" i="8"/>
  <c r="J115" i="8"/>
  <c r="J131" i="8"/>
  <c r="J147" i="8"/>
  <c r="J163" i="8"/>
  <c r="J179" i="8"/>
  <c r="J210" i="8"/>
  <c r="J212" i="8"/>
  <c r="J195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6" i="8"/>
  <c r="J84" i="8"/>
  <c r="J92" i="8"/>
  <c r="J97" i="8"/>
  <c r="J101" i="8"/>
  <c r="J114" i="8"/>
  <c r="J116" i="8"/>
  <c r="J130" i="8"/>
  <c r="J132" i="8"/>
  <c r="J146" i="8"/>
  <c r="J148" i="8"/>
  <c r="J162" i="8"/>
  <c r="J164" i="8"/>
  <c r="J178" i="8"/>
  <c r="J180" i="8"/>
  <c r="J211" i="8"/>
  <c r="J194" i="8"/>
  <c r="J196" i="8"/>
  <c r="J100" i="8"/>
  <c r="J103" i="8"/>
  <c r="J110" i="8"/>
  <c r="J112" i="8"/>
  <c r="J119" i="8"/>
  <c r="J126" i="8"/>
  <c r="J128" i="8"/>
  <c r="J135" i="8"/>
  <c r="J142" i="8"/>
  <c r="J144" i="8"/>
  <c r="J151" i="8"/>
  <c r="J158" i="8"/>
  <c r="J160" i="8"/>
  <c r="J167" i="8"/>
  <c r="J174" i="8"/>
  <c r="J176" i="8"/>
  <c r="J183" i="8"/>
  <c r="J190" i="8"/>
  <c r="J192" i="8"/>
  <c r="J199" i="8"/>
  <c r="J206" i="8"/>
  <c r="J208" i="8"/>
  <c r="J214" i="8"/>
  <c r="J107" i="8"/>
  <c r="J123" i="8"/>
  <c r="J139" i="8"/>
  <c r="J155" i="8"/>
  <c r="J171" i="8"/>
  <c r="J187" i="8"/>
  <c r="J203" i="8"/>
  <c r="J111" i="8"/>
  <c r="J127" i="8"/>
  <c r="J143" i="8"/>
  <c r="J159" i="8"/>
  <c r="J175" i="8"/>
  <c r="J191" i="8"/>
  <c r="J207" i="8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K95" i="8" l="1"/>
  <c r="K42" i="8"/>
  <c r="K75" i="8"/>
  <c r="K6" i="8"/>
  <c r="K56" i="8"/>
  <c r="K28" i="8"/>
  <c r="K111" i="8"/>
  <c r="K151" i="8"/>
  <c r="K194" i="8"/>
  <c r="K101" i="8"/>
  <c r="K43" i="8"/>
  <c r="K210" i="8"/>
  <c r="K141" i="8"/>
  <c r="K36" i="8"/>
  <c r="K102" i="8"/>
  <c r="K118" i="8"/>
  <c r="K201" i="8"/>
  <c r="K49" i="8"/>
  <c r="K177" i="8"/>
  <c r="K83" i="8"/>
  <c r="K86" i="8"/>
  <c r="K139" i="8"/>
  <c r="K208" i="8"/>
  <c r="K190" i="8"/>
  <c r="K167" i="8"/>
  <c r="K144" i="8"/>
  <c r="K126" i="8"/>
  <c r="K103" i="8"/>
  <c r="K211" i="8"/>
  <c r="K162" i="8"/>
  <c r="K130" i="8"/>
  <c r="K97" i="8"/>
  <c r="K71" i="8"/>
  <c r="K55" i="8"/>
  <c r="K39" i="8"/>
  <c r="K23" i="8"/>
  <c r="K7" i="8"/>
  <c r="K179" i="8"/>
  <c r="K115" i="8"/>
  <c r="K72" i="8"/>
  <c r="K32" i="8"/>
  <c r="K8" i="8"/>
  <c r="K108" i="8"/>
  <c r="K82" i="8"/>
  <c r="K69" i="8"/>
  <c r="K26" i="8"/>
  <c r="K169" i="8"/>
  <c r="K106" i="8"/>
  <c r="K99" i="8"/>
  <c r="K29" i="8"/>
  <c r="K185" i="8"/>
  <c r="K173" i="8"/>
  <c r="K117" i="8"/>
  <c r="K66" i="8"/>
  <c r="K48" i="8"/>
  <c r="K10" i="8"/>
  <c r="K188" i="8"/>
  <c r="K136" i="8"/>
  <c r="K77" i="8"/>
  <c r="K40" i="8"/>
  <c r="K22" i="8"/>
  <c r="K156" i="8"/>
  <c r="K90" i="8"/>
  <c r="K153" i="8"/>
  <c r="K58" i="8"/>
  <c r="K213" i="8"/>
  <c r="K70" i="8"/>
  <c r="K155" i="8"/>
  <c r="K192" i="8"/>
  <c r="K128" i="8"/>
  <c r="K164" i="8"/>
  <c r="K59" i="8"/>
  <c r="K11" i="8"/>
  <c r="K131" i="8"/>
  <c r="K44" i="8"/>
  <c r="K91" i="8"/>
  <c r="K170" i="8"/>
  <c r="K30" i="8"/>
  <c r="K181" i="8"/>
  <c r="K54" i="8"/>
  <c r="K145" i="8"/>
  <c r="K13" i="8"/>
  <c r="K125" i="8"/>
  <c r="K9" i="8"/>
  <c r="K203" i="8"/>
  <c r="K207" i="8"/>
  <c r="K143" i="8"/>
  <c r="K187" i="8"/>
  <c r="K123" i="8"/>
  <c r="K206" i="8"/>
  <c r="K183" i="8"/>
  <c r="K160" i="8"/>
  <c r="K142" i="8"/>
  <c r="K119" i="8"/>
  <c r="K100" i="8"/>
  <c r="K180" i="8"/>
  <c r="K148" i="8"/>
  <c r="K116" i="8"/>
  <c r="K92" i="8"/>
  <c r="K67" i="8"/>
  <c r="K51" i="8"/>
  <c r="K35" i="8"/>
  <c r="K19" i="8"/>
  <c r="K195" i="8"/>
  <c r="K163" i="8"/>
  <c r="K96" i="8"/>
  <c r="K64" i="8"/>
  <c r="K172" i="8"/>
  <c r="K94" i="8"/>
  <c r="K81" i="8"/>
  <c r="K57" i="8"/>
  <c r="K20" i="8"/>
  <c r="K168" i="8"/>
  <c r="K105" i="8"/>
  <c r="K98" i="8"/>
  <c r="K200" i="8"/>
  <c r="K184" i="8"/>
  <c r="K140" i="8"/>
  <c r="K109" i="8"/>
  <c r="K61" i="8"/>
  <c r="K38" i="8"/>
  <c r="K89" i="8"/>
  <c r="K157" i="8"/>
  <c r="K133" i="8"/>
  <c r="K68" i="8"/>
  <c r="K34" i="8"/>
  <c r="K204" i="8"/>
  <c r="K154" i="8"/>
  <c r="K65" i="8"/>
  <c r="K134" i="8"/>
  <c r="K45" i="8"/>
  <c r="K202" i="8"/>
  <c r="K46" i="8"/>
  <c r="K198" i="8"/>
  <c r="K150" i="8"/>
  <c r="K175" i="8"/>
  <c r="K214" i="8"/>
  <c r="K174" i="8"/>
  <c r="K110" i="8"/>
  <c r="K132" i="8"/>
  <c r="K76" i="8"/>
  <c r="K27" i="8"/>
  <c r="K80" i="8"/>
  <c r="K16" i="8"/>
  <c r="K73" i="8"/>
  <c r="K165" i="8"/>
  <c r="K186" i="8"/>
  <c r="K78" i="8"/>
  <c r="K17" i="8"/>
  <c r="K121" i="8"/>
  <c r="K189" i="8"/>
  <c r="K113" i="8"/>
  <c r="K159" i="8"/>
  <c r="K191" i="8"/>
  <c r="K127" i="8"/>
  <c r="K171" i="8"/>
  <c r="K107" i="8"/>
  <c r="K199" i="8"/>
  <c r="K176" i="8"/>
  <c r="K158" i="8"/>
  <c r="K135" i="8"/>
  <c r="K112" i="8"/>
  <c r="K196" i="8"/>
  <c r="K178" i="8"/>
  <c r="K146" i="8"/>
  <c r="K114" i="8"/>
  <c r="K84" i="8"/>
  <c r="K63" i="8"/>
  <c r="K47" i="8"/>
  <c r="K31" i="8"/>
  <c r="K15" i="8"/>
  <c r="K212" i="8"/>
  <c r="K147" i="8"/>
  <c r="K88" i="8"/>
  <c r="K52" i="8"/>
  <c r="K24" i="8"/>
  <c r="K161" i="8"/>
  <c r="K93" i="8"/>
  <c r="K74" i="8"/>
  <c r="K50" i="8"/>
  <c r="K14" i="8"/>
  <c r="K166" i="8"/>
  <c r="K104" i="8"/>
  <c r="K53" i="8"/>
  <c r="K193" i="8"/>
  <c r="K182" i="8"/>
  <c r="K129" i="8"/>
  <c r="K87" i="8"/>
  <c r="K60" i="8"/>
  <c r="K33" i="8"/>
  <c r="K205" i="8"/>
  <c r="K152" i="8"/>
  <c r="K124" i="8"/>
  <c r="K62" i="8"/>
  <c r="K21" i="8"/>
  <c r="K197" i="8"/>
  <c r="K149" i="8"/>
  <c r="K37" i="8"/>
  <c r="K122" i="8"/>
  <c r="K41" i="8"/>
  <c r="K137" i="8"/>
  <c r="K18" i="8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K2" i="8" l="1"/>
  <c r="J2" i="4"/>
  <c r="M15" i="2"/>
  <c r="M16" i="2"/>
  <c r="C86" i="2" l="1"/>
  <c r="C87" i="2" s="1"/>
  <c r="C131" i="2" l="1"/>
  <c r="C104" i="2"/>
  <c r="C105" i="2" l="1"/>
  <c r="C106" i="2" l="1"/>
  <c r="C107" i="2" l="1"/>
  <c r="C108" i="2" s="1"/>
  <c r="C109" i="2" l="1"/>
  <c r="C112" i="2" s="1"/>
  <c r="C1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8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bắt đầu tiêm chủng trên diện rộng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90" authorId="0" shapeId="0" xr:uid="{5F7233B9-4DFE-4147-BB21-CF86C7479FA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bắt đầu tiêm chủng trên diện rộng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88" authorId="0" shapeId="0" xr:uid="{B06B4065-BAC3-4065-82DD-F639FC6CDB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bắt đầu tiêm chủng trên diện rộng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90" authorId="0" shapeId="0" xr:uid="{3FCD33C3-BDC9-4FDA-965C-7670322341F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bắt đầu tiêm chủng trên diện rộng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5" authorId="0" shapeId="0" xr:uid="{512AFBFD-0C4A-45AC-B6C8-4236C9B0B5E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bắt đầu tiêm chủng trên diện rộng
</t>
        </r>
      </text>
    </comment>
  </commentList>
</comments>
</file>

<file path=xl/sharedStrings.xml><?xml version="1.0" encoding="utf-8"?>
<sst xmlns="http://schemas.openxmlformats.org/spreadsheetml/2006/main" count="582" uniqueCount="395">
  <si>
    <t>27/4/2021 - 30/5/2021</t>
  </si>
  <si>
    <t>19/6/2021 - 8/7/2021</t>
  </si>
  <si>
    <t>9/7/2021 - 22/8/2021</t>
  </si>
  <si>
    <t>22/8/2021 - 15/9/2021</t>
  </si>
  <si>
    <t>16/9/2021 - 30/9/2021</t>
  </si>
  <si>
    <t>1/10/2021 - 24/10/2021</t>
  </si>
  <si>
    <t>25/10/2021 - 17/11/2021</t>
  </si>
  <si>
    <t>31/5/2021 - 18/6/2021</t>
  </si>
  <si>
    <t>Time Interval</t>
  </si>
  <si>
    <t>Vaccination rate</t>
  </si>
  <si>
    <t>Social Distancing (m)</t>
  </si>
  <si>
    <t>Gathering (people)</t>
  </si>
  <si>
    <t>Control measures:</t>
  </si>
  <si>
    <t>Confirmed case</t>
  </si>
  <si>
    <t>Date</t>
  </si>
  <si>
    <t>Temporal properties</t>
  </si>
  <si>
    <t>Time frame</t>
  </si>
  <si>
    <t>Time lag</t>
  </si>
  <si>
    <t>Daily</t>
  </si>
  <si>
    <t>External factor variables</t>
  </si>
  <si>
    <t>Daily vaccination rate</t>
  </si>
  <si>
    <t>Social distancing policy</t>
  </si>
  <si>
    <t>Result</t>
  </si>
  <si>
    <t>Avarage ρ</t>
  </si>
  <si>
    <t>LAG 1 DAILY</t>
  </si>
  <si>
    <t>LAG 2 DAILY</t>
  </si>
  <si>
    <t>Observation</t>
  </si>
  <si>
    <t>The best Pearson correlation coefficient average is given after using a daily timeframe and a lag of 2. In this case, we will have 106 observations in total, which is large enough to train our forecasting model.</t>
  </si>
  <si>
    <t>Gathering policy</t>
  </si>
  <si>
    <t>Confirmed case forecast</t>
  </si>
  <si>
    <t>External factor forecast</t>
  </si>
  <si>
    <t>ARIMA (1, 1, 0) forecast</t>
  </si>
  <si>
    <t>Social distancing x2</t>
  </si>
  <si>
    <t>Gathering x3</t>
  </si>
  <si>
    <t>Confirmed case y</t>
  </si>
  <si>
    <t>RMSE</t>
  </si>
  <si>
    <t>Ngày</t>
  </si>
  <si>
    <t>No. confirmed case</t>
  </si>
  <si>
    <t>First difference</t>
  </si>
  <si>
    <t>Autocorrelations</t>
  </si>
  <si>
    <t>Partial Autocorrelations</t>
  </si>
  <si>
    <t>Lag</t>
  </si>
  <si>
    <t>ACF</t>
  </si>
  <si>
    <t>T</t>
  </si>
  <si>
    <t>LBQ</t>
  </si>
  <si>
    <t>PACF</t>
  </si>
  <si>
    <t>PACF plot cuts off after lag 1, which indicates  AR(1)</t>
  </si>
  <si>
    <t>ACF plot decays towards zero MA(0)</t>
  </si>
  <si>
    <t>ARIMA (1, 1, 0)</t>
  </si>
  <si>
    <t>Final Estimates of Parameters</t>
  </si>
  <si>
    <t>Type</t>
  </si>
  <si>
    <t>Coef</t>
  </si>
  <si>
    <t>SE Coef</t>
  </si>
  <si>
    <t>T-Value</t>
  </si>
  <si>
    <t>P-Value</t>
  </si>
  <si>
    <t>AR   1</t>
  </si>
  <si>
    <t>Constant</t>
  </si>
  <si>
    <t>Differencing: 1 regular difference</t>
  </si>
  <si>
    <t>Number of observations:  Original series 212, after differencing 211</t>
  </si>
  <si>
    <t>Residual Sums of Squares</t>
  </si>
  <si>
    <t>DF</t>
  </si>
  <si>
    <t>SS</t>
  </si>
  <si>
    <t>MS</t>
  </si>
  <si>
    <t>White noise</t>
  </si>
  <si>
    <t>All zero</t>
  </si>
  <si>
    <t>MA (q)</t>
  </si>
  <si>
    <t>Drop off after lag q</t>
  </si>
  <si>
    <t>Die down</t>
  </si>
  <si>
    <t>Back forecasts excluded</t>
  </si>
  <si>
    <t>AR (p)</t>
  </si>
  <si>
    <t>Drop off after lag p</t>
  </si>
  <si>
    <t>ARMA (p, q)</t>
  </si>
  <si>
    <t>Modified Box-Pierce (Ljung-Box) Chi-Square Statistic</t>
  </si>
  <si>
    <t>Chi-Square</t>
  </si>
  <si>
    <t>ARIMA(1,1,0) = differenced first-order autoregressive model: If the errors of a random walk model are autocorrelated, perhaps the problem can be fixed by adding one lag of the dependent variable to the prediction equation--i.e., by regressing the first difference of Y on itself lagged by one period. This would yield the following prediction equation:</t>
  </si>
  <si>
    <t>Ŷt - Yt-1  =  μ  +  ϕ1(Yt-1 - Yt-2)</t>
  </si>
  <si>
    <t>Ŷt  - Yt-1   =  μ</t>
  </si>
  <si>
    <t>which can be rearranged to</t>
  </si>
  <si>
    <t>Ŷt  =  μ  + Yt-1  +  ϕ1 (Yt-1 - Yt-2) = 11.5 + Yt-1 - 0.628(Yt-1 - Yt-2)</t>
  </si>
  <si>
    <t>This is a first-order autoregressive model with one order of nonseasonal differencing and a constant term--i.e., an ARIMA(1,1,0) model.</t>
  </si>
  <si>
    <t>E</t>
  </si>
  <si>
    <t>Vaccination coverage x1</t>
  </si>
  <si>
    <t>https://cand.com.vn/The-gioi-24h/Nghien-cuu-moi-So-ca-tu-vong-vi-COVID-19-thuc-te-cao-gap-doi-i604703/</t>
  </si>
  <si>
    <r>
      <t xml:space="preserve">Đại dịch COVID-19 đã cướp đi sinh mạng của 6,9 triệu người trên toàn khắp thế giới, </t>
    </r>
    <r>
      <rPr>
        <b/>
        <sz val="10"/>
        <color rgb="FFFF0000"/>
        <rFont val="Arial"/>
        <family val="2"/>
      </rPr>
      <t xml:space="preserve">gấp đôi </t>
    </r>
    <r>
      <rPr>
        <sz val="10"/>
        <color rgb="FF333333"/>
        <rFont val="Arial"/>
        <family val="2"/>
      </rPr>
      <t>so với con số được công bố chính thức, theo một phân tích từ Viện Đo lường và Đánh giá Sức khỏe (IHME) của Đại học Washington, Mỹ.</t>
    </r>
  </si>
  <si>
    <t>https://tuoitre.vn/so-ca-nhiem-covid-19-o-tokyo-cao-gap-4-lan-thong-ke-chinh-thuc-2021111410525378.htm</t>
  </si>
  <si>
    <r>
      <t xml:space="preserve">Số ca nhiễm COVID-19 ở Tokyo </t>
    </r>
    <r>
      <rPr>
        <b/>
        <sz val="11"/>
        <color rgb="FFFF0000"/>
        <rFont val="Arial"/>
        <family val="2"/>
        <scheme val="minor"/>
      </rPr>
      <t>cao gấp 4 lần</t>
    </r>
    <r>
      <rPr>
        <sz val="11"/>
        <color theme="1"/>
        <rFont val="Arial"/>
        <family val="2"/>
        <scheme val="minor"/>
      </rPr>
      <t xml:space="preserve"> thống kê chính thức</t>
    </r>
  </si>
  <si>
    <t>https://www.qdnd.vn/tren-tuyen-dau-chong-dich/cac-van-de/kha-nang-dien-bien-dich-covid-19-o-thanh-pho-ho-chi-minh-sau-ngay-25-8-2021-669335</t>
  </si>
  <si>
    <r>
      <t xml:space="preserve">Hiện nay ở TP Hồ Chí Minh số xét nghiệm được thực hiện chủ yếu tại các đối tượng có triệu chứng nhiễm Covid-19 rõ. Nếu lấy xét nghiệm rộng hơn, số ca mắc trong cộng đồng có thể </t>
    </r>
    <r>
      <rPr>
        <b/>
        <sz val="11"/>
        <color rgb="FFFF0000"/>
        <rFont val="Arial"/>
        <family val="2"/>
        <scheme val="minor"/>
      </rPr>
      <t>cao gấp 4-5 lần</t>
    </r>
    <r>
      <rPr>
        <sz val="11"/>
        <color theme="1"/>
        <rFont val="Arial"/>
        <family val="2"/>
        <scheme val="minor"/>
      </rPr>
      <t xml:space="preserve"> số đã ghi nhận và công bố. </t>
    </r>
  </si>
  <si>
    <t>https://www.baosoctrang.org.vn/quoc-te/so-ca-mac-covid-19-tai-chau-phi-cao-gap-7-lan-so-voi-muc-duoc-ghi-nhan-52546.html</t>
  </si>
  <si>
    <r>
      <t xml:space="preserve">Số ca mắc Covid-19 tại châu Phi cao </t>
    </r>
    <r>
      <rPr>
        <b/>
        <sz val="11"/>
        <color rgb="FFFF0000"/>
        <rFont val="Arial"/>
        <family val="2"/>
        <scheme val="minor"/>
      </rPr>
      <t>gấp 7 lần</t>
    </r>
    <r>
      <rPr>
        <sz val="11"/>
        <color theme="1"/>
        <rFont val="Arial"/>
        <family val="2"/>
        <scheme val="minor"/>
      </rPr>
      <t xml:space="preserve"> so với mức được ghi nhận</t>
    </r>
  </si>
  <si>
    <t>https://www.statnews.com/2020/07/21/cdc-study-actual-covid-19-cases/</t>
  </si>
  <si>
    <r>
      <t xml:space="preserve">Actual Covid-19 case count could be </t>
    </r>
    <r>
      <rPr>
        <b/>
        <sz val="10"/>
        <color rgb="FFFF0000"/>
        <rFont val="Arial"/>
        <family val="2"/>
      </rPr>
      <t>6 to 24 times</t>
    </r>
    <r>
      <rPr>
        <sz val="10"/>
        <color rgb="FF333333"/>
        <rFont val="Arial"/>
        <family val="2"/>
      </rPr>
      <t xml:space="preserve"> higher than official estimates, CDC study shows</t>
    </r>
  </si>
  <si>
    <t>The Pandemic Is 10 Times Worse Than You Think</t>
  </si>
  <si>
    <t>https://www.npr.org/sections/health-shots/2021/02/06/964527835/why-the-pandemic-is-10-times-worse-than-you-think</t>
  </si>
  <si>
    <t>https://thoibaotaichinhvietnam.vn/covid-19-toi-sang-61-ca-benh-tai-my-co-the-cao-gap-4-lan-bao-cao-anh-lai-lap-ky-luc-ca-nhiem-moi-5275.html</t>
  </si>
  <si>
    <r>
      <t xml:space="preserve">COVID-19 tới sáng 6/1: Ca bệnh tại Mỹ có thể </t>
    </r>
    <r>
      <rPr>
        <b/>
        <sz val="10"/>
        <color rgb="FFFF0000"/>
        <rFont val="Arial"/>
        <family val="2"/>
      </rPr>
      <t>cao gấp 4 lần</t>
    </r>
    <r>
      <rPr>
        <sz val="10"/>
        <color rgb="FF333333"/>
        <rFont val="Arial"/>
        <family val="2"/>
      </rPr>
      <t xml:space="preserve"> báo cáo</t>
    </r>
  </si>
  <si>
    <t>https://vtv.vn/the-gioi/so-ca-mac-covid-19-thuc-te-o-malaysia-co-the-tang-gap-4-5-lan-20210711162138942.htm</t>
  </si>
  <si>
    <r>
      <t xml:space="preserve">Số ca mắc COVID-19 thực tế ở Malaysia có thể tăng gấp </t>
    </r>
    <r>
      <rPr>
        <b/>
        <sz val="10"/>
        <color rgb="FFFF0000"/>
        <rFont val="Arial"/>
        <family val="2"/>
      </rPr>
      <t>4 - 5 lần</t>
    </r>
  </si>
  <si>
    <r>
      <t xml:space="preserve">Xét nghiệm 22.140 – 29.151 như thực tế đầu tháng 8-2021. Nếu Thành phố xét nghiệm từ cuối tháng 7-2021 đến nay ở mức (100.000) </t>
    </r>
    <r>
      <rPr>
        <sz val="11"/>
        <color rgb="FFFF0000"/>
        <rFont val="Arial"/>
        <family val="2"/>
        <scheme val="minor"/>
      </rPr>
      <t>cao cần thiết theo khuyến cáo của Tổ chức Y tế thế giới</t>
    </r>
    <r>
      <rPr>
        <sz val="11"/>
        <color theme="1"/>
        <rFont val="Arial"/>
        <family val="2"/>
        <scheme val="minor"/>
      </rPr>
      <t>, thì số ca F0 phát hiện sẽ phải cao hơn. Số</t>
    </r>
    <r>
      <rPr>
        <sz val="11"/>
        <color rgb="FFFF0000"/>
        <rFont val="Arial"/>
        <family val="2"/>
        <scheme val="minor"/>
      </rPr>
      <t xml:space="preserve"> F0 chưa được phát hiện</t>
    </r>
    <r>
      <rPr>
        <sz val="11"/>
        <color theme="1"/>
        <rFont val="Arial"/>
        <family val="2"/>
        <scheme val="minor"/>
      </rPr>
      <t xml:space="preserve"> này (có thể đến hơn 10.000)</t>
    </r>
    <r>
      <rPr>
        <sz val="11"/>
        <color rgb="FFFF0000"/>
        <rFont val="Arial"/>
        <family val="2"/>
        <scheme val="minor"/>
      </rPr>
      <t xml:space="preserve"> đang lây nhiễm tiếp tục</t>
    </r>
    <r>
      <rPr>
        <sz val="11"/>
        <color theme="1"/>
        <rFont val="Arial"/>
        <family val="2"/>
        <scheme val="minor"/>
      </rPr>
      <t xml:space="preserve"> dù đã được đưa vào các khu cách ly hay đang ở nhà. 
Vì vậy, khi từ ngày 15-8-2021 đến 15-9-2021 TP Hồ Chí Minh thực hiện cách ly xã hội triệt để chúng ta sẽ</t>
    </r>
    <r>
      <rPr>
        <sz val="11"/>
        <color rgb="FFFF0000"/>
        <rFont val="Arial"/>
        <family val="2"/>
        <scheme val="minor"/>
      </rPr>
      <t xml:space="preserve"> ngăn chặn được lây nhiễm xã hội</t>
    </r>
    <r>
      <rPr>
        <sz val="11"/>
        <color theme="1"/>
        <rFont val="Arial"/>
        <family val="2"/>
        <scheme val="minor"/>
      </rPr>
      <t xml:space="preserve">, song không ngăn chặn được tiếp tục </t>
    </r>
    <r>
      <rPr>
        <sz val="11"/>
        <color rgb="FFFF0000"/>
        <rFont val="Arial"/>
        <family val="2"/>
        <scheme val="minor"/>
      </rPr>
      <t>lây nhiễm TRONG CÁC GIA ĐÌNH</t>
    </r>
    <r>
      <rPr>
        <sz val="11"/>
        <color theme="1"/>
        <rFont val="Arial"/>
        <family val="2"/>
        <scheme val="minor"/>
      </rPr>
      <t xml:space="preserve">, khi trong nhà có 1 F0 chưa được phát hiện. 
Ngày 13-8-2021 lãnh đạo Bộ Y tế đã đánh giá: Hiện nay ở TP Hồ Chí Minh số </t>
    </r>
    <r>
      <rPr>
        <sz val="11"/>
        <color rgb="FFFF0000"/>
        <rFont val="Arial"/>
        <family val="2"/>
        <scheme val="minor"/>
      </rPr>
      <t>xét nghiệm được thực hiện chủ yếu tại các đối tượng có triệu chứng nhiễm Covid-19 rõ.</t>
    </r>
    <r>
      <rPr>
        <sz val="11"/>
        <color theme="1"/>
        <rFont val="Arial"/>
        <family val="2"/>
        <scheme val="minor"/>
      </rPr>
      <t xml:space="preserve"> Nếu lấy xét nghiệm rộng hơn, số ca mắc trong cộng đồng có thể cao gấp 4-5 lần số đã ghi nhận và công bố. </t>
    </r>
  </si>
  <si>
    <t>Social distancing</t>
  </si>
  <si>
    <t>Gathering</t>
  </si>
  <si>
    <t>Coeficient</t>
  </si>
  <si>
    <t>Actual case</t>
  </si>
  <si>
    <t>2</t>
  </si>
  <si>
    <r>
      <t>y (i) = 10.4 + Yt-1 - 0.628(Yt-1 - Yt-2) + 0.674 x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 xml:space="preserve"> (i -2) + 1.112 x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(i -2) – 0.786 x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 xml:space="preserve"> (i -2)</t>
    </r>
  </si>
  <si>
    <t>Vaccination rate x1</t>
  </si>
  <si>
    <t>Social Distancing (m) x2</t>
  </si>
  <si>
    <t>Incubation period (days) x3</t>
  </si>
  <si>
    <t>Generation time (days) x4</t>
  </si>
  <si>
    <t>Incubation period</t>
  </si>
  <si>
    <t>Generation time</t>
  </si>
  <si>
    <t>Vaccination coverage</t>
  </si>
  <si>
    <r>
      <t>y (i) = 10.4 + Yt-1 - 0.628(Yt-1 - Yt-2) + 0.361 x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 xml:space="preserve"> (i -2) + 0.577 x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(i -2) - 0.03 x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 xml:space="preserve"> (i -2) + 0.091 x4 (i - 2)</t>
    </r>
  </si>
  <si>
    <t>19/11/2021 - present</t>
  </si>
  <si>
    <t>DATA COLLECTION</t>
  </si>
  <si>
    <t>Bộ Y tế:</t>
  </si>
  <si>
    <t>https://moh.gov.vn/tin-tong-hop?p_p_id=101_INSTANCE_k206Q9qkZOqn&amp;p_p_lifecycle=0&amp;p_p_state=normal&amp;p_p_mode=view&amp;p_p_col_id=row-0-column-2&amp;p_p_col_count=1&amp;_101_INSTANCE_k206Q9qkZOqn_delta=20&amp;_101_INSTANCE_k206Q9qkZOqn_keywords=&amp;_101_INSTANCE_k206Q9qkZOqn_advancedSearch=false&amp;_101_INSTANCE_k206Q9qkZOqn_andOperator=true&amp;p_r_p_564233524_resetCur=false&amp;_101_INSTANCE_k206Q9qkZOqn_cur=44</t>
  </si>
  <si>
    <t>ĐỢT 4 (27/04/2021 - hiện tại)</t>
  </si>
  <si>
    <t>TT Kiểm soát bệnh tật TP:</t>
  </si>
  <si>
    <t>https://hcdc.vn/category/van-de-suc-khoe/covid19/ban-tin-hang-ngay/pages-45</t>
  </si>
  <si>
    <t>Current cases</t>
  </si>
  <si>
    <t>New cases
(Updating)</t>
  </si>
  <si>
    <t>Note</t>
  </si>
  <si>
    <t>Ministry of Public Health</t>
  </si>
  <si>
    <t>HCMC Department of Health</t>
  </si>
  <si>
    <t>Other outsources (theo note)</t>
  </si>
  <si>
    <t>Current Total cases</t>
  </si>
  <si>
    <t>Ministry: Chỉ update chi tiết những ngày đầu, còn lại là chỉ thị
TPHCM: Update khá thường xuyên, tuy nhiên đôi lúc có sai số tầm 200 đổ lại và vẫn phải cập nhật ca mới cho những ngày cũ mỗi ngày
Other sources: báo Chính phủ, Sức khỏe đời sống, Tuổi trẻ (simulate màu cho từng khu vực), VNExpress, VNnet: cập nhật tương đối tuy nhiên lại không update đều đặn</t>
  </si>
  <si>
    <t>https://suckhoedoisong.vn/chieu-27-4-them-5-ca-mac-covid-19-trong-do-1-truong-hop-lay-nhiem-tai-noi-cach-ly-n190799.html</t>
  </si>
  <si>
    <t>https://suckhoedoisong.vn/chieu-28-4-viet-nam-them-8-ca-mac-covid-19-the-gioi-ghi-nhan-hon-1485-trieu-ca-n190859.html</t>
  </si>
  <si>
    <t>https://nhandan.vn/tin-tuc-y-te/tp-ho-chi-minh-ghi-nhan-mot-truong-hop-nghi-nhiem-covid-19-643968/</t>
  </si>
  <si>
    <t>https://suckhoedoisong.vn/chieu-30-4-them-14-ca-mac-covid-19-co-4-ca-ghi-nhan-trong-nuoc-tai-ha-nam-va-ha-noi-n191086.html</t>
  </si>
  <si>
    <t>https://suckhoedoisong.vn/chieu-1-5-bo-y-te-cong-bo-14-ca-mac-covid-19-co-3-ca-trong-nuoc-o-ha-nam-n191165.html</t>
  </si>
  <si>
    <t>https://suckhoedoisong.vn/chieu-2-5-them-20-ca-mac-covid-19-co-8-ca-ghi-nhan-trong-nuoc-tai-ha-nam-vinh-phuc-n191232.html</t>
  </si>
  <si>
    <t>https://ncov.moh.gov.vn/vi/web/guest/-/6847426-2754</t>
  </si>
  <si>
    <r>
      <rPr>
        <u/>
        <sz val="12"/>
        <color rgb="FF1155CC"/>
        <rFont val="Times New Roman"/>
        <family val="1"/>
      </rPr>
      <t>https://tuoitre.vn/so-gd-dt-tp-hcm-dung-moi-hoat-dong-giao-duc-ngoai-lop-den-het-nam-hoc-20210504183405698.htm</t>
    </r>
    <r>
      <rPr>
        <sz val="12"/>
        <color rgb="FF000000"/>
        <rFont val="Times New Roman"/>
        <family val="1"/>
      </rPr>
      <t xml:space="preserve">
</t>
    </r>
    <r>
      <rPr>
        <u/>
        <sz val="12"/>
        <color rgb="FF1155CC"/>
        <rFont val="Times New Roman"/>
        <family val="1"/>
      </rPr>
      <t>https://ncov.moh.gov.vn/vi/web/guest/-/6847426-2831</t>
    </r>
  </si>
  <si>
    <t>https://baochinhphu.vn/Suc-khoe/NONG-Ghi-nhan-them-18-ca-lay-nhiem-trong-cong-dong/430252.vgp</t>
  </si>
  <si>
    <t>https://giadinh.net.vn/y-te/cong-bo-60-ca-mac-moi-covid-19-rieng-bv-benh-nhiet-doi-trung-uong-co-16-ca-20210506185457643.htm</t>
  </si>
  <si>
    <t>https://suckhoedoisong.vn/chieu-7-5-them-40-ca-mac-covid-19-trong-nuoc-rieng-benh-vien-k-la-11-ca-n191782.html</t>
  </si>
  <si>
    <t>https://baochinhphu.vn/Suc-khoe/NONG-Ghi-nhan-them-65-ca-mac-COVID19-trong-cong-dong/430650.vgp
https://giadinh.net.vn/y-te/tphcm-cac-benh-vien-no-luc-that-chat-cac-bien-phap-kiem-soat-lay-nhiem-covid-19-2021050814271284.htm</t>
  </si>
  <si>
    <t>https://tuoitre.vn/toi-9-5-ky-luc-77-ca-covid-19-cong-dong-tai-9-tinh-thanh-20210509191324665.htm
https://www.sggp.org.vn/nguy-co-dich-tren-toan-quoc-da-hien-huu-phai-trien-khai-cac-bien-phap-cung-ran-hon-730710.html</t>
  </si>
  <si>
    <t>https://suckhoedoisong.vn/chieu-11-5-them-30-ca-mac-covid-19-trong-nuoc-co-27-ca-n192195.html</t>
  </si>
  <si>
    <t>https://suckhoedoisong.vn/toi-14-5-them-59-ca-mac-covid-19-ghi-nhan-trong-nuoc-rieng-bac-ninh-33-ca-n192498.htm</t>
  </si>
  <si>
    <t>https://suckhoedoisong.vn/toi-15-5-them-129-ca-mac-covid-19-trong-nuoc-rieng-bac-giang-85-ca-n192558.html</t>
  </si>
  <si>
    <t>https://suckhoedoisong.vn/toi-16-5-co-54-mac-covid-19-trong-nuoc-rieng-bac-ninh-24-ca-n192608.html</t>
  </si>
  <si>
    <t>https://suckhoedoisong.vn/toi-17-5-them-116-ca-mac-covid-19-trong-nuoc-rieng-bac-giang-va-bac-ninh-la-99-ca-n192728.html</t>
  </si>
  <si>
    <t>https://giadinh.net.vn/y-te/ban-tin-covid-19-toi-18-5-them-48-ca-mac-moi-ca-nuoc-co-hon-4-trieu-luot-nguoi-duoc-xet-nghiem-20210518184356163.htm</t>
  </si>
  <si>
    <t>https://ncov.moh.gov.vn/vi/web/guest/-/6847426-3710</t>
  </si>
  <si>
    <t>https://suckhoedoisong.vn/toi-20-5-them-40-ca-mac-covid-19-trong-nuoc-viet-nam-co-4809-benh-nhan-n193005.html</t>
  </si>
  <si>
    <t>https://suckhoedoisong.vn/chieu-21-5-them-57-ca-mac-covid-19-trong-nuoc--n193106.html</t>
  </si>
  <si>
    <t>https://plo.vn/suc-khoe/chua-day-1-thang-viet-nam-vuot-2000-ca-nhiem-987108.html</t>
  </si>
  <si>
    <r>
      <rPr>
        <u/>
        <sz val="12"/>
        <color rgb="FF1155CC"/>
        <rFont val="Times New Roman"/>
        <family val="1"/>
      </rPr>
      <t>https://baochinhphu.vn/Suc-khoe/Toi-235-Them-76-ca-mac-COVID19-trong-nuoc/432187.vgp</t>
    </r>
    <r>
      <rPr>
        <sz val="12"/>
        <color theme="1"/>
        <rFont val="Times New Roman"/>
        <family val="1"/>
      </rPr>
      <t>p</t>
    </r>
  </si>
  <si>
    <t>https://suckhoedoisong.vn/toi-24-5-them-95-ca-mac-covid-19-trong-nuoc-bac-giang-va-bac-ninh-chiem-77-ca-n193322.html</t>
  </si>
  <si>
    <t>https://suckhoedoisong.vn/toi-25-5-them-284-ca-mac-covid-19-trong-nuoc-rieng-bac-giang-243-ca-n193428.html</t>
  </si>
  <si>
    <t>https://suckhoedoisong.vn/toi-26-5-them-115-ca-mac-covid-19-rieng-bac-giang-va-bac-ninh-103-ca-n193509.html</t>
  </si>
  <si>
    <t>https://suckhoedoisong.vn/toi-27-5-co-150-ca-mac-covid-19-trong-nuoc-rieng-tp-hcm-36-ca-n193619.html</t>
  </si>
  <si>
    <t>https://suckhoedoisong.vn/chuoi-lay-nhiem-hoi-thanh-lien-quan-bien-the-an-do-n193726.html
https://suckhoedoisong.vn/toi-28-5-them-173-ca-mac-covid-19-trong-nuoc-bac-giang-co-123-ca-n193715.html</t>
  </si>
  <si>
    <t>https://suckhoedoisong.vn/toi-28-5-them-173-ca-mac-covid-19-trong-nuoc-bac-giang-co-123-ca-n193715.html</t>
  </si>
  <si>
    <t>https://suckhoedoisong.vn/toi-30-5-co-142-ca-mac-covid-19-trong-nuoc-rieng-tphcm-ghi-nhan-nhieu-nhat-voi-49-ca-n193841.html
https://suckhoedoisong.vn/d-n193817.html</t>
  </si>
  <si>
    <t>https://vietnamnet.vn/vn/suc-khoe/tin-tuc-covid-19-chieu-hom-nay-31-5-viet-nam-cong-bo-82-ca-covid-19-trong-nuoc-them-1-tinh-co-ca-nhiem-dau-tien-741665.html</t>
  </si>
  <si>
    <r>
      <rPr>
        <u/>
        <sz val="12"/>
        <color rgb="FF1155CC"/>
        <rFont val="Times New Roman"/>
        <family val="1"/>
      </rPr>
      <t>https://giadinh.net.vn/y-te/toi-1-6-ha-noi-va-9-tinh-thanh-them-89-ca-mac-moi-covid-19-20210601182838848.htm</t>
    </r>
    <r>
      <rPr>
        <sz val="12"/>
        <color rgb="FF000000"/>
        <rFont val="Times New Roman"/>
        <family val="1"/>
      </rPr>
      <t xml:space="preserve">
</t>
    </r>
    <r>
      <rPr>
        <u/>
        <sz val="12"/>
        <color rgb="FF1155CC"/>
        <rFont val="Times New Roman"/>
        <family val="1"/>
      </rPr>
      <t>https://ncov.moh.gov.vn/vi/web/guest/-/6847912-220</t>
    </r>
  </si>
  <si>
    <t>https://giadinh.net.vn/y-te/ban-tin-covid-19-toi-2-6-ca-nuoc-them-138-ca-mac-moi-tphcm-tang-31-benh-nhan-20210602183746933.htm</t>
  </si>
  <si>
    <t>https://suckhoedoisong.vn/toi-4-6-them-87-ca-mac-covid-19-trong-nuoc-ky-luc-157-truong-hop-khoi-benh-n194285.html</t>
  </si>
  <si>
    <t>https://baochinhphu.vn/Suc-khoe/Them-80-ca-mac-COVID19-trong-nuoc-68-benh-nhan-khoi-benh/433773.vgp</t>
  </si>
  <si>
    <t>https://hcdc.vn/category/van-de-suc-khoe/covid19/ban-tin-hang-ngay/pages-38</t>
  </si>
  <si>
    <t>https://suckhoedoisong.vn/bo-y-te-ngay-8-6-ghi-nhan-tong-175-ca-mac-covid-19-40-benh-nhan-khoi-n194587.html
https://tuoitre.vn/nguoi-nhap-canh-vao-viet-nam-se-phan-loai-theo-nhom-20210608193622182.htm</t>
  </si>
  <si>
    <t>https://suckhoedoisong.vn/ngay-9-6-co-407-ca-mac-covid-19-va-87-benh-nhan-khoi-n194676.html</t>
  </si>
  <si>
    <t>https://suckhoedoisong.vn/ngay-11-6-viet-nam-ghi-nhan-tong-196-ca-mac-covid-19-co-96-benh-nhan-khoi-n194832.html</t>
  </si>
  <si>
    <t>https://suckhoedoisong.vn/bo-y-te-ngay-13-6-ca-nuoc-them-297-ca-mac-covid-19-rieng-tphcm-95-benh-nhan-n194953.html</t>
  </si>
  <si>
    <t>https://baochinhphu.vn/Xa-hoi/KY-LUC-Ngay-146-co-238-benh-nhan-COVID-duoc-chua-khoi/434748.vgp</t>
  </si>
  <si>
    <t>https://baochinhphu.vn/Suc-khoe/Toi-156-them-213-ca-mac-COVID19-303-ca-khoi-benh/434849.vgp</t>
  </si>
  <si>
    <t>https://giadinh.net.vn/y-te/ban-tin-covid-19-toi-17-6-them-136-ca-mac-moi-ca-ngay-viet-nam-ghi-nhan-515-benh-nhan-2021061718345643.htm</t>
  </si>
  <si>
    <r>
      <rPr>
        <sz val="12"/>
        <color theme="1"/>
        <rFont val="Times New Roman"/>
        <family val="1"/>
      </rPr>
      <t xml:space="preserve"> </t>
    </r>
    <r>
      <rPr>
        <u/>
        <sz val="12"/>
        <color rgb="FF1155CC"/>
        <rFont val="Times New Roman"/>
        <family val="1"/>
      </rPr>
      <t>https://ncov.moh.gov.vn/vi/web/guest/-/6847426-4841
https://ncov.moh.gov.vn/vi/web/guest/-/6847426-4841</t>
    </r>
  </si>
  <si>
    <t>https://suckhoedoisong.vn/ngay-22-6-viet-nam-co-248-ca-mac-covid-19-va-93-benh-nhan-khoi-n195627.html</t>
  </si>
  <si>
    <t>https://suckhoedoisong.vn/toi-23-6-them-85-ca-mac-covid-19-tphcm-co-den-61-ca-n195696.html</t>
  </si>
  <si>
    <t>https://suckhoedoisong.vn/ngay-24-6-co-285-ca-mac-covid-19-rieng-tphcm-162-truong-hop-n195778.html</t>
  </si>
  <si>
    <t>https://suckhoedoisong.vn/ngay-25-6-ca-nuoc-co-305-ca-mac-covid-19-rieng-tp-ho-chi-minh-la-161-ca-n195858.html</t>
  </si>
  <si>
    <t>https://suckhoedoisong.vn/toi-26-6-them-123-ca-mac-covid-19-tp-ho-chi-minh-nhieu-nhat-58-ca-n195913.html</t>
  </si>
  <si>
    <t>https://suckhoedoisong.vn/toi-27-6-them-197-ca-mac-covid-19-tp-ho-chi-minh-co-den-95-ca-n195981.html</t>
  </si>
  <si>
    <r>
      <rPr>
        <u/>
        <sz val="12"/>
        <color rgb="FF1155CC"/>
        <rFont val="Times New Roman"/>
        <family val="1"/>
      </rPr>
      <t>https://suckhoedoisong.vn/ngay-28-6-viet-nam-ghi-nhan-tong-cong-391-ca-mac-covid-19-rieng-tp-ho-chi-minh-la-218-ca-n196050.html</t>
    </r>
    <r>
      <rPr>
        <sz val="12"/>
        <color theme="1"/>
        <rFont val="Times New Roman"/>
        <family val="1"/>
      </rPr>
      <t>l</t>
    </r>
  </si>
  <si>
    <t>https://ncov.moh.gov.vn/vi/web/guest/-/6847426-5175</t>
  </si>
  <si>
    <t>https://baochinhphu.vn/Suc-khoe/Ngay-17-Ca-nuoc-them-713-ca-mac-COVID19-407-nguoi-khoi-benh/436648.vgp</t>
  </si>
  <si>
    <t>https://suckhoedoisong.vn/toi-4-7-them-360-ca-mac-moi-nang-tong-so-benh-nhan-covid-19-trong-ngay-len-887-n196495.html</t>
  </si>
  <si>
    <t>https://suckhoedoisong.vn/toi-6-7-them-504-ca-mac-nang-tong-so-ca-covid-19-trong-ngay-o-nuoc-ta-len-1029-n196647.html</t>
  </si>
  <si>
    <t>https://suckhoedoisong.vn/toi-7-7-them-330-ca-mac-covid-19-nang-tong-so-ca-trong-ngay-len-1007-n196727.html</t>
  </si>
  <si>
    <t>https://suckhoedoisong.vn/toi-8-7-them-645-ca-mac-covid-19-nang-tong-so-mac-trong-ngay-vuot-1300-n196810.html</t>
  </si>
  <si>
    <t>https://suckhoedoisong.vn/toi-9-7-them-591-ca-mac-covid-19-nang-tong-so-mac-trong-ngay-vuot-1600-n196878.html</t>
  </si>
  <si>
    <t>https://suckhoedoisong.vn/toi-10-7-them-463-ca-mac-covid-19-tong-so-mac-trong-ngay-vuot-1800-ca-n196947.html
https://vnexpress.net/du-bao-ca-mac-covid-19-tp-hcm-tiep-tuc-tang-4307433.html</t>
  </si>
  <si>
    <t>https://ncov.moh.gov.vn/vi/web/guest/-/6847426-5637</t>
  </si>
  <si>
    <t>https://suckhoedoisong.vn/dong-nuoc-mat-hanh-phuc-cua-benh-nhan-covid-19-n197481.html</t>
  </si>
  <si>
    <r>
      <rPr>
        <u/>
        <sz val="12"/>
        <color rgb="FF1155CC"/>
        <rFont val="Times New Roman"/>
        <family val="1"/>
      </rPr>
      <t>https://ttbc-hcm.gov.vn/benh-vien-dam-bao-chua-benh-nang-kham-benh-tu-xa-16904.html</t>
    </r>
    <r>
      <rPr>
        <sz val="12"/>
        <color rgb="FF0000FF"/>
        <rFont val="Times New Roman"/>
        <family val="1"/>
      </rPr>
      <t xml:space="preserve">
</t>
    </r>
    <r>
      <rPr>
        <u/>
        <sz val="12"/>
        <color rgb="FF0000FF"/>
        <rFont val="Times New Roman"/>
        <family val="1"/>
      </rPr>
      <t>https://tuoitre.vn/cong-bo-luong-xanh-quoc-gia-cho-xe-di-qua-vung-dich-20210717182836294.ht</t>
    </r>
    <r>
      <rPr>
        <u/>
        <sz val="12"/>
        <color rgb="FF0000FF"/>
        <rFont val="Times New Roman"/>
        <family val="1"/>
      </rPr>
      <t>m</t>
    </r>
  </si>
  <si>
    <t>https://giadinh.net.vn/y-te/ngan-hang-mau-can-kiet-vi-covid-19-20210726104141711.htm</t>
  </si>
  <si>
    <r>
      <rPr>
        <u/>
        <sz val="12"/>
        <color rgb="FF0000FF"/>
        <rFont val="Times New Roman"/>
        <family val="1"/>
      </rPr>
      <t xml:space="preserve">https://suckhoedoisong.vn/hon-1000-benh-nhan-covid-19-o-benh-vien-da-chien-so-3-duoc-xuat-vien-n198372.html
</t>
    </r>
    <r>
      <rPr>
        <u/>
        <sz val="12"/>
        <color rgb="FF1155CC"/>
        <rFont val="Times New Roman"/>
        <family val="1"/>
      </rPr>
      <t>https://baochinhphu.vn/Chi-dao-quyet-dinh-cua-Chinh-phu-Thu-tuong-Chinh-phu/Tao-dieu-kien-de-cac-dia-phuong-DN-tiep-can-nguon-vaccine-the-gioi/440185.vgp
https://ncov.moh.gov.vn/web/guest/-/6847426-6291</t>
    </r>
  </si>
  <si>
    <t>https://suckhoedoisong.vn/toi-29-7-them-4773-ca-mac-covid-19-co-4323-benh-nhan-khoi-benh-n198529.html</t>
  </si>
  <si>
    <t>https://suckhoedoisong.vn/toi-30-7-them-3657-ca-mac-covid-19-co-3704-benh-nhan-khoi-n198605.html</t>
  </si>
  <si>
    <t>https://suckhoedoisong.vn/toi-31-7-them-4564-ca-mac-covid-19-nang-tong-so-mac-trong-ngay-len-8624-ca-n198655.html</t>
  </si>
  <si>
    <t>https://suckhoedoisong.vn/toi-1-8-them-4246-ca-mac-covid-19-ca-ngay-8620-ca-16921080118450266.htm</t>
  </si>
  <si>
    <t>https://suckhoedoisong.vn/toi-2-8-them-4254-nguoi-mac-covid-19-nang-so-ca-mac-trong-ngay-len-7455-169210802184628943.htm</t>
  </si>
  <si>
    <t>https://suckhoedoisong.vn/toi-3-8-them-4851-ca-mac-covid-19-ca-ngay-ha-noi-them-gan-100-benh-nhan-169210803180337414.htm</t>
  </si>
  <si>
    <t>https://suckhoedoisong.vn/toi-6-8-them-4315-ca-mac-covid-19-nang-tong-so-mac-trong-ngay-len-8324-ca-rieng-ha-noi-co-116-169210806181934265.htm</t>
  </si>
  <si>
    <t>https://suckhoedoisong.vn/toi-8-8-them-4949-ca-mac-covid-19-ca-ngay-tang-9690-rieng-binh-duong-3210-ca-169210808181630595.htm</t>
  </si>
  <si>
    <t>https://suckhoedoisong.vn/toi-10-8-them-3241-ca-covid-19-rieng-ha-noi-60-ca-4428-nguoi-khoi-benh-169210810182530874.htm</t>
  </si>
  <si>
    <t>https://suckhoedoisong.vn/toi-11-8-them-3964-ca-mac-covid-19-ca-ngay-8776-ca-169210811180958989.htm</t>
  </si>
  <si>
    <t>https://suckhoedoisong.vn/toi-12-8-them-5025-ca-covid-19-binh-duong-dan-dau-voi-2117-ca-169210812180300065.htm</t>
  </si>
  <si>
    <t>https://suckhoedoisong.vn/ngay-13-8-ca-nuoc-ghi-nhan-9150-ca-mac-moi-covid-19-tp-hcm-va-binh-duong-chiem-den-6347-ca-169210813181458867.htm</t>
  </si>
  <si>
    <t>https://suckhoedoisong.vn/toi-14-8-co-9716-ca-mac-covid-19-rieng-tphcm-4231-ca-169210814172340386.htm</t>
  </si>
  <si>
    <t>https://ncov.moh.gov.vn/web/guest/-/6847426-6856</t>
  </si>
  <si>
    <t>https://suckhoedoisong.vn/toi-16-8-them-8644-ca-mac-covid-19-tai-tphcm-va-42-tinh-thanh-169210816175318102.htm</t>
  </si>
  <si>
    <t>https://suckhoedoisong.vn/toi-18-8-them-8800-ca-mac-covid-19-va-3751-benh-nhan-khoi-169210818175406672.htm</t>
  </si>
  <si>
    <t>https://suckhoedoisong.vn/toi-19-8-them-10639-ca-mac-covid-19-rieng-tphcm-va-binh-duong-7860-ca-16921081918014881.htm</t>
  </si>
  <si>
    <t>https://suckhoedoisong.vn/toi-20-8-them-10657-ca-covid-19-binh-duong-co-so-mac-cao-nhat-voi-4223-ca-169210820181508571.htm</t>
  </si>
  <si>
    <t>https://suckhoedoisong.vn/toi-21-8-them-11321-ca-covid-19-binh-duong-tiep-tuc-nhieu-nhat-voi-4505-ca-169210821182332656.htm</t>
  </si>
  <si>
    <t>https://suckhoedoisong.vn/toi-22-8-them-11214-ca-mac-covid-19-rieng-tphcm-va-binh-duong-da-gan-8000-ca-169210822174454316.htm</t>
  </si>
  <si>
    <t>https://suckhoedoisong.vn/toi-23-8-them-10266-ca-mac-covid-19-tphcm-van-nhieu-nhat-voi-4251-ca-169210823175154355.htm</t>
  </si>
  <si>
    <t>https://suckhoedoisong.vn/toi-24-8-them-10811-ca-covid-19-tp-ho-chi-minh-va-binh-duong-da-co-den-8255-ca-16921082417480431.htm</t>
  </si>
  <si>
    <t>https://suckhoedoisong.vn/toi-25-8-them-1209-ca-mac-covid-19-rieng-tphcm-da-5294-ca-169210825180330532.htm</t>
  </si>
  <si>
    <t>https://suckhoedoisong.vn/toi-26-8-them-11575-ca-mac-covid-19-ky-luc-hon-18560-benh-nhan-duoc-chua-khoi-16921082618091535.htm</t>
  </si>
  <si>
    <t>https://suckhoedoisong.vn/toi-27-8-them-12920-ca-mac-covid-19-cao-hon-1345-ca-so-voi-hom-qua-169210827184429047.htm</t>
  </si>
  <si>
    <t>https://suckhoedoisong.vn/toi-28-8-co-12103-ca-mac-covid-19-rieng-tp-hcm-va-binh-duong-9530-ca-169210828180600805.htm</t>
  </si>
  <si>
    <t>https://suckhoedoisong.vn/toi-29-8-them-12663-ca-mac-covid-19-binh-duong-nhieu-nhat-voi-5414-ca-169210829181052356.htm</t>
  </si>
  <si>
    <t>https://suckhoedoisong.vn/toi-30-8-co-14224-ca-mac-covid-19-tang-1467-ca-so-voi-hom-qua-16921083018094444.htm</t>
  </si>
  <si>
    <t>https://suckhoedoisong.vn/toi-31-8-co-12607-ca-mac-covid-19-tphcm-va-binh-duong-da-chiem-den-9974-ca-169210831181214185.htm</t>
  </si>
  <si>
    <t>https://suckhoedoisong.vn/toi-1-9-them-11434-ca-mac-covid-19-tp-hcm-nhieu-nhat-voi-5368-ca-169210901183207847.htm</t>
  </si>
  <si>
    <t>https://suckhoedoisong.vn/ngay-3-9-them-14922-ca-mac-covid-19-rieng-tp-hcm-co-den-8499-ca-169210903180914923.htm</t>
  </si>
  <si>
    <t>https://suckhoedoisong.vn/ngay-4-9-co-9521-ca-mac-covid-19-thap-hon-5401-ca-so-voi-hom-qua-169210904181341051.htm</t>
  </si>
  <si>
    <t>https://suckhoedoisong.vn/ngay-5-9-them-13137-ca-mac-covid-19-rieng-tp-hcm-va-binh-duong-da-gan-9800-ca-16921090518063301.htm</t>
  </si>
  <si>
    <t>https://suckhoedoisong.vn/ngay-6-9-them-12481-ca-mac-covid-19-rieng-tphcm-7122-ca-169210906182042979.htm</t>
  </si>
  <si>
    <t>https://suckhoedoisong.vn/ngay-7-9-them-14208-ca-mac-covid-19-cao-hon-hom-qua-1727-ca-169210907181428422.htm</t>
  </si>
  <si>
    <t>https://tuoitre.vn/f0-khoi-benh-vung-chai-noi-tuyen-dau-chong-dich-20210908092340422.htm
https://vnexpress.net/f0-xuat-vien-o-tp-hcm-dat-ky-luc-4353205.html?zarsrc=30&amp;utm_source=zalo&amp;utm_medium=zalo&amp;utm_campaign=zalo
https://suckhoedoisong.vn/ngay-8-9-them-12680-ca-mac-covid-19-tp-hcm-va-binh-duong-gan-10500-ca-169210908180745819.htmhttps://suckhoedoisong.vn/ngay-8-9-them-12680-ca-mac-covid-19-tp-hcm-va-binh-duong-gan-10500-ca-169210908180745819.htm</t>
  </si>
  <si>
    <t>https://suckhoedoisong.vn/ngay-9-9-viet-nam-ghi-nhan-12420-ca-mac-covid-19-va-12523-benh-nhan-khoi-169210909181525359.htm</t>
  </si>
  <si>
    <t>https://suckhoedoisong.vn/ngay-10-9-them-13321-ca-mac-covid-19-tp-hcm-va-binh-duong-chiem-den-hon-11100-ca-169210910182529294.htm
https://giadinh.net.vn/y-te/f0-vuot-qua-lo-lang-tram-cam-do-mat-nguoi-than-nho-ho-tro-tam-ly-20210910154900451.htm</t>
  </si>
  <si>
    <t>https://suckhoedoisong.vn/ngay-11-9-co-11932-ca-mac-covid-19-it-hon-hom-qua-gan-1400-ca-169210911181543947.htm
https://suckhoedoisong.vn/bo-y-te-so-ca-nhiem-covid-19-tai-cong-dong-va-tu-vong-giam-so-voi-tuan-truoc-169210911141621468.htm</t>
  </si>
  <si>
    <t>https://tuoitre.vn/bo-truong-bo-y-te-so-ca-mac-va-tu-vong-o-tp-hcm-co-xu-huong-giam-ro-ret-20210912115901501.htm
https://suckhoedoisong.vn/ngay-12-9-them-11478-ca-mac-covid-19-rieng-tp-hcm-va-binh-duong-ghi-nhan-gan-9350-ca-169210912180815617.htm</t>
  </si>
  <si>
    <t>https://suckhoedoisong.vn/ngay-13-9-co-11172-ca-mac-covid-19-tp-hcm-nhieu-nhat-voi-5446-ca-169210913182924132.htm</t>
  </si>
  <si>
    <t>https://suckhoedoisong.vn/ngay-14-9-them-10508-ca-mac-covid-19-trong-do-tp-hcm-va-binh-duong-da-gan-8500-ca-169210914182008422.htm</t>
  </si>
  <si>
    <t>https://suckhoedoisong.vn/ngay-15-9-co-10585-ca-mac-covid-19-rieng-tp-hcm-da-5301-ca-169210915182952278.htm</t>
  </si>
  <si>
    <t>https://suckhoedoisong.vn/ngay-16-9-them-10489-ca-mac-covid-19-rieng-tp-hcm-va-binh-duong-hon-8700-ca-169210916180856675.htm</t>
  </si>
  <si>
    <t>https://suckhoedoisong.vn/ngay-17-9-co-11521-ca-mac-covid-19-trong-do-tphcm-va-binh-duong-da-gan-10000-ca-169210917181345586.htm</t>
  </si>
  <si>
    <t>https://suckhoedoisong.vn/ngay-18-9-co-9373-ca-mac-covid-19-thap-hon-hom-qua-2146-ca-169210918180826807.htm</t>
  </si>
  <si>
    <t>https://suckhoedoisong.vn/ngay-19-9-them-10040-ca-mac-covid-19-trong-do-rieng-tp-hcm-co-5496-ca-169210919175648403.htm</t>
  </si>
  <si>
    <t>https://suckhoedoisong.vn/sang-20-9-gan-5400-ca-covid-19-nang-dang-dieu-tri-15-dia-phuong-qua-14-ngay-chua-ghi-nhan-f0-trong-nuoc-169210920063247474.htm</t>
  </si>
  <si>
    <t>https://suckhoedoisong.vn/ngay-21-9-co-11692-ca-mac-covid-19-tai-tp-hcm-va-33-tinh-thanh-pho-169210921180551315.htm
https://vnexpress.net/he-so-lay-nhiem-dang-giam-tp-hcm-co-the-noi-long-gian-cach-4359175.html</t>
  </si>
  <si>
    <r>
      <rPr>
        <u/>
        <sz val="12"/>
        <color rgb="FF0000FF"/>
        <rFont val="Times New Roman"/>
        <family val="1"/>
      </rPr>
      <t xml:space="preserve">https://tuoitre.vn/dung-coi-thuong-hoi-chung-hau-covid-19-20210922105425001.htm
</t>
    </r>
    <r>
      <rPr>
        <u/>
        <sz val="12"/>
        <color rgb="FF1155CC"/>
        <rFont val="Times New Roman"/>
        <family val="1"/>
      </rPr>
      <t>https://suckhoedoisong.vn/ngay-22-9-co-11527-ca-mac-covid-19-rieng-tp-hcm-va-binh-duong-da-ghi-nhan-hon-9600-ca-169210922181558737.htm</t>
    </r>
  </si>
  <si>
    <r>
      <rPr>
        <u/>
        <sz val="12"/>
        <color rgb="FF0000FF"/>
        <rFont val="Times New Roman"/>
        <family val="1"/>
      </rPr>
      <t xml:space="preserve">https://suckhoedoisong.vn/ngay-23-9-co-9472-ca-mac-covid-19-giam-2060-ca-so-voi-ngay-hom-qua-169210923175100815.htm
</t>
    </r>
    <r>
      <rPr>
        <u/>
        <sz val="12"/>
        <color rgb="FF1155CC"/>
        <rFont val="Times New Roman"/>
        <family val="1"/>
      </rPr>
      <t>https://m.giadinh.net.vn/y-te/khung-hoang-stress-tam-ly-o-nhung-nguoi-mac-covid-19-20210923141609546.htm</t>
    </r>
  </si>
  <si>
    <t>https://suckhoedoisong.vn/ngay-24-9-ghi-nhan-8537-ca-mac-covid-19-thap-nhat-trong-hon-1-thang-qua-cua-dot-dich-nay-169210924181328392.htm</t>
  </si>
  <si>
    <t>https://suckhoedoisong.vn/ngay-25-9-co-9706-ca-mac-covid-19-trong-do-tp-hcm-va-binh-duong-da-ghi-nhan-7675-ca-169210925172705503.htm</t>
  </si>
  <si>
    <t>https://suckhoedoisong.vn/ngay-26-9-them-10011-ca-mac-covid-19-rieng-tp-hcm-da-5121-ca-169210926182030129.htm</t>
  </si>
  <si>
    <t>https://suckhoedoisong.vn/ngay-27-9-co-9362-ca-mac-covid-19-tai-tp-hcm-binh-duong-va-34-tinh-thanh-pho-169210927174122985.htm</t>
  </si>
  <si>
    <t>https://suckhoedoisong.vn/ngay-28-9-so-mac-moi-covid-19-chi-4589-ca-trong-khi-so-khoi-nhieu-gap-gan-5-lan-169210928180738217.htm</t>
  </si>
  <si>
    <t>https://suckhoedoisong.vn/ngay-29-9-co-8758-ca-mac-covid-19-va-so-benh-nhan-khoi-ky-luc-voi-23568-ca-169210929180546707.htm</t>
  </si>
  <si>
    <t>https://suckhoedoisong.vn/ngay-30-9-co-7940-ca-mac-covid-19-so-benh-nhan-khoi-lap-ky-luc-moi-voi-25322-ca-169210930181734537.htm</t>
  </si>
  <si>
    <t>https://suckhoedoisong.vn/ngay-1-10-co-6957-ca-mac-covid-19-so-benh-nhan-khoi-dat-ky-luc-moi-voi-27520-nguoi-169211001181857662.htm</t>
  </si>
  <si>
    <t>https://suckhoedoisong.vn/ngay-2-10-co-5490-ca-mac-moi-covid-19-thap-nhat-trong-thoi-gian-qua-16921100218375393.htm</t>
  </si>
  <si>
    <t>https://suckhoedoisong.vn/ngay-3-10-co-5376-ca-mac-covid-19-so-benh-nhan-khoi-lap-ky-luc-moi-voi-28859-ca-169211003181621008.htm</t>
  </si>
  <si>
    <t>https://suckhoedoisong.vn/ngay-4-10-co-5383-ca-mac-moi-covid-19-rieng-tp-hcm-la-2490-ca-169211004182230114.htm</t>
  </si>
  <si>
    <r>
      <rPr>
        <u/>
        <sz val="12"/>
        <color rgb="FF0000FF"/>
        <rFont val="Times New Roman"/>
        <family val="1"/>
      </rPr>
      <t xml:space="preserve">https://suckhoedoisong.vn/ngay-5-10-co-4363-ca-mac-covid-19-thap-nhat-trong-khoang-15-thang-qua-169211005180604662.htm
</t>
    </r>
    <r>
      <rPr>
        <u/>
        <sz val="12"/>
        <color rgb="FF1155CC"/>
        <rFont val="Times New Roman"/>
        <family val="1"/>
      </rPr>
      <t>https://tuoitre.vn/ca-benh-giam-manh-nhieu-benh-vien-dieu-tri-covid-19-o-tp-hcm-trong-giuong-20211005160241973.htm</t>
    </r>
  </si>
  <si>
    <t>https://suckhoedoisong.vn/ngay-6-10-co-4363-ca-mac-covid-19-tai-tphcm-va-39-tinh-thanh-pho-16921100618105649.htm</t>
  </si>
  <si>
    <t>https://suckhoedoisong.vn/ngay-7-10-co-4150-ca-mac-covid-19-giam-hon-200-ca-so-voi-hom-qua-169211007181929683.htm</t>
  </si>
  <si>
    <t>https://suckhoedoisong.vn/ngay-8-10-them-4806-ca-mac-covid-19-rieng-tp-hcm-co-2215-ca-169211008181231204.htm</t>
  </si>
  <si>
    <t>https://suckhoedoisong.vn/ngay-9-10-co-4513-ca-mac-covid-19-tai-tp-hcm-va-39-tinh-thanh-pho-giam-261-ca-so-voi-hom-qua-169211009180119826.htm</t>
  </si>
  <si>
    <t>https://suckhoedoisong.vn/ngay-10-10-chi-co-3528-ca-mac-covid-19-nhung-co-den-21398-benh-nhan-khoi-169211010180104264.htm</t>
  </si>
  <si>
    <r>
      <rPr>
        <u/>
        <sz val="12"/>
        <color rgb="FF1155CC"/>
        <rFont val="Times New Roman"/>
        <family val="1"/>
      </rPr>
      <t>https://suckhoedoisong.vn/ngay-11-10-co-3619-ca-mac-covid-19-tai-44-dia-phuong-rieng-tp-hcm-1527-ca-169211011181935125.htm</t>
    </r>
    <r>
      <rPr>
        <sz val="12"/>
        <color rgb="FF0000FF"/>
        <rFont val="Times New Roman"/>
        <family val="1"/>
      </rPr>
      <t>m</t>
    </r>
  </si>
  <si>
    <t>https://suckhoedoisong.vn/ngay-12-10-chi-co-2949-ca-mac-covid-19-tai-43-dia-phuong-thap-nhat-trong-25-thang-qua-169211012180220603.htm</t>
  </si>
  <si>
    <t>https://suckhoedoisong.vn/ngay-14-10-co-3092-ca-mac-covid-19-rieng-tp-hcm-909-ca-169211014182809507.htm</t>
  </si>
  <si>
    <t>https://suckhoedoisong.vn/ngay-15-10-co-3797-ca-mac-covid-19-tai-tp-hcm-soc-trang-va-45-dia-phuong-khac-169211015181921807.htm</t>
  </si>
  <si>
    <t>https://suckhoedoisong.vn/ngay-16-10-co-3211-ca-mac-covid-19-tai-48-tinh-thanh-pho-giam-578-ca-so-voi-hom-qua-169211016180701583.htm</t>
  </si>
  <si>
    <t>https://suckhoedoisong.vn/ngay-17-10-co-3193-ca-mac-covid-19-rieng-tp-hcm-la-1059-ca-so-tu-vong-giam-con-63-ca-169211017175617838.htm</t>
  </si>
  <si>
    <t>https://suckhoedoisong.vn/ngay-18-10-co-3168-ca-mac-covid-19-tai-tp-hcm-soc-trang-va-43-tinh-thanh-khac-169211018182407029.htm</t>
  </si>
  <si>
    <t>https://suckhoedoisong.vn/ngay-19-10-co-3034-ca-mac-covid-19-tai-tp-hcm-va-48-tinh-thanh-khac-giam-132-ca-voi-ngay-qua-169211019180933659.htm</t>
  </si>
  <si>
    <r>
      <rPr>
        <u/>
        <sz val="12"/>
        <color rgb="FF4472C4"/>
        <rFont val="Times New Roman"/>
        <family val="1"/>
      </rPr>
      <t xml:space="preserve">https://suckhoedoisong.vn/ngay-20-10-co-3646-ca-mac-covid-19-hon-1700-benh-nhan-khoi-169211020181810142.htm
</t>
    </r>
    <r>
      <rPr>
        <u/>
        <sz val="12"/>
        <color rgb="FF1155CC"/>
        <rFont val="Times New Roman"/>
        <family val="1"/>
      </rPr>
      <t>https://nld.com.vn/suc-khoe/ngay-20-10-ky-luc-tiem-gan-2-trieu-lieu-vac-xin-so-tu-vong-do-covid-19-o-tp-hcm-thap-nhat-nhieu-thang-qua-20211020161005188.htm</t>
    </r>
  </si>
  <si>
    <t>https://suckhoedoisong.vn/ngay-21-10-co-3636-ca-mac-covid-19-tai-50-tinh-thanh-1541-benh-nhan-khoi-169211021182707088.htm
https://tuoitre.vn/ban-do-mau-cap-do-dich-toan-quoc-20211021123000992.htm</t>
  </si>
  <si>
    <t>https://suckhoedoisong.vn/ngay-22-10-co-3985-ca-mac-covid-19-va-5202-nguoi-khoi-benh-so-tu-vong-giam-manh-con-55-ca-169211022181414894.htm</t>
  </si>
  <si>
    <t>https://suckhoedoisong.vn/ngay-24-10-co-4045-ca-mac-covid-19-tai-47-tinh-thanh-them-386400-lieu-vaccine-astrazeneca-ve-viet-nam-169211024180227579.htm</t>
  </si>
  <si>
    <t>https://suckhoedoisong.vn/ngay-25-10-co-3639-ca-mac-covid-19-tai-tp-hcm-va-52-tinh-thanh-1323-benh-nhan-khoi-169211025183826993.htm</t>
  </si>
  <si>
    <t>https://suckhoedoisong.vn/ngay-26-10-co-3595-ca-mac-covid-19-tai-tp-hcm-ha-noi-va-47-tinh-thanh-gan-3000-benh-nhan-khoi-169211026183804751.htm</t>
  </si>
  <si>
    <t>https://suckhoedoisong.vn/ngay-27-10-co-4411-ca-mac-covid-19-tai-47-tinh-thanh-tang-hon-800-ca-so-voi-ngay-qua-16921102718233195.htm</t>
  </si>
  <si>
    <t>https://vnexpress.net/covid-19/covid-19-viet-nam</t>
  </si>
  <si>
    <t>90% CI</t>
  </si>
  <si>
    <t>lower</t>
  </si>
  <si>
    <t>Upper</t>
  </si>
  <si>
    <t>Mean</t>
  </si>
  <si>
    <t>Standard Error</t>
  </si>
  <si>
    <t>Confidence Level(90.0%)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</si>
  <si>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</si>
  <si>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</si>
  <si>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</si>
  <si>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</si>
  <si>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</si>
  <si>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</si>
  <si>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</si>
  <si>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</si>
  <si>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</si>
  <si>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</si>
  <si>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</si>
  <si>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95% CI</t>
  </si>
  <si>
    <t>upper</t>
  </si>
  <si>
    <t>mean</t>
  </si>
  <si>
    <t>confidence level (95%)</t>
  </si>
  <si>
    <t>Confidence Level(95.0%)</t>
  </si>
  <si>
    <t>first 2 digits</t>
  </si>
  <si>
    <t>Data value</t>
  </si>
  <si>
    <t>Second digit</t>
  </si>
  <si>
    <t>STT</t>
  </si>
  <si>
    <t>First digit</t>
  </si>
  <si>
    <t>second digit</t>
  </si>
  <si>
    <t>sum % for 1st digit</t>
  </si>
  <si>
    <t>Digit</t>
  </si>
  <si>
    <t>Benford</t>
  </si>
  <si>
    <t>Data Value</t>
  </si>
  <si>
    <t>Upper limit</t>
  </si>
  <si>
    <t>Lower limit</t>
  </si>
  <si>
    <t>Upper linit</t>
  </si>
  <si>
    <t>sum</t>
  </si>
  <si>
    <t>Sum % for 2nd digit</t>
  </si>
  <si>
    <t>FIRST DIGIT</t>
  </si>
  <si>
    <t>E1(i)</t>
  </si>
  <si>
    <t>O1(i)</t>
  </si>
  <si>
    <t>Benford 1</t>
  </si>
  <si>
    <t>Frequency 1</t>
  </si>
  <si>
    <t>[O1(i) - E1(i)]^2 / E1(i)</t>
  </si>
  <si>
    <t>1st digit</t>
  </si>
  <si>
    <t>10% confidence level</t>
  </si>
  <si>
    <t>5% confidence level</t>
  </si>
  <si>
    <t>Chi-square</t>
  </si>
  <si>
    <t>X1^2 =</t>
  </si>
  <si>
    <t>Critical value = 13.4</t>
  </si>
  <si>
    <t>reject H0</t>
  </si>
  <si>
    <t>Critical value = 15.5</t>
  </si>
  <si>
    <t>degree of freedom = k-s-1 = 9-0-1 = 8</t>
  </si>
  <si>
    <t>d* above 0.25 indicates nonconformity with the Benford's law</t>
  </si>
  <si>
    <t>MAD &gt; 0.015 and an SSD &gt; 100 indicate non-conformity with the law</t>
  </si>
  <si>
    <t>p*1(i)</t>
  </si>
  <si>
    <t>p1(i)</t>
  </si>
  <si>
    <t>p1a(i)</t>
  </si>
  <si>
    <t>p1b(i)</t>
  </si>
  <si>
    <t>[p1(i) - p*1(i)]^2</t>
  </si>
  <si>
    <t>|p1(i) - p*1(i)|</t>
  </si>
  <si>
    <t>upper limit frequency</t>
  </si>
  <si>
    <t>lower limit frequency</t>
  </si>
  <si>
    <t>[p1a(i) - p*1(i)]^2</t>
  </si>
  <si>
    <t>|p1a(i) - p*1(i)|</t>
  </si>
  <si>
    <t>[p1b(i) - p*1(i)]^2</t>
  </si>
  <si>
    <t>|p1b(i) - p*1(i)|</t>
  </si>
  <si>
    <t>Accept H0 if:</t>
  </si>
  <si>
    <t>Lower</t>
  </si>
  <si>
    <t>d-factor</t>
  </si>
  <si>
    <t>&lt; 0.25</t>
  </si>
  <si>
    <t>MAD</t>
  </si>
  <si>
    <t>&lt; 0.015</t>
  </si>
  <si>
    <t>SSD</t>
  </si>
  <si>
    <t>&lt; 100</t>
  </si>
  <si>
    <t>SECOND DIGIT</t>
  </si>
  <si>
    <t>E2(i)</t>
  </si>
  <si>
    <t>O2(i)</t>
  </si>
  <si>
    <t>Benford 2</t>
  </si>
  <si>
    <t>Frequency 2</t>
  </si>
  <si>
    <t>[O2(i) - E2(i)]^2 / E2(i)</t>
  </si>
  <si>
    <t>X2^2 =</t>
  </si>
  <si>
    <t>Critical value = 14.7</t>
  </si>
  <si>
    <t>Accept H0</t>
  </si>
  <si>
    <t>Critical value = 16.9</t>
  </si>
  <si>
    <t>accept H0</t>
  </si>
  <si>
    <t>degree of freedom = k-s-1 = 10-0-1 = 9</t>
  </si>
  <si>
    <t>p2a(i)</t>
  </si>
  <si>
    <t>p2b(i)</t>
  </si>
  <si>
    <t>[p2a(i) - p*2(i)]^2</t>
  </si>
  <si>
    <t>|p2a(i) - p*2(i)|</t>
  </si>
  <si>
    <t>[p2b(i) - p*2(i)]^2</t>
  </si>
  <si>
    <t>|p2b(i) - p*2(i)|</t>
  </si>
  <si>
    <t>p*2(i)</t>
  </si>
  <si>
    <t>p2(i)</t>
  </si>
  <si>
    <t>[p2(i) - p*2(i)]^2</t>
  </si>
  <si>
    <t>|p2(i) - p*2(i)|</t>
  </si>
  <si>
    <t>Value</t>
  </si>
  <si>
    <t>Goodness-to-fit test</t>
  </si>
  <si>
    <t>1st dgit</t>
  </si>
  <si>
    <t>2nd digit</t>
  </si>
  <si>
    <t>Benford fit</t>
  </si>
  <si>
    <t>K-S test:</t>
  </si>
  <si>
    <t>test value</t>
  </si>
  <si>
    <t>critical value</t>
  </si>
  <si>
    <t>Chi-square:</t>
  </si>
  <si>
    <t>Tolerance limit allow:</t>
  </si>
  <si>
    <t>Statistical measures</t>
  </si>
  <si>
    <t>d-factor (Euclipean distance)</t>
  </si>
  <si>
    <t>&lt; 0.25 =&gt; conformity to Benford dist.</t>
  </si>
  <si>
    <t>&lt; 0.015 =&gt; conformity to Benford dist.</t>
  </si>
  <si>
    <t>&lt; 100 =&gt; conformity to Benford dist.</t>
  </si>
  <si>
    <t>Probabilities of first- and higher-order significant digits</t>
  </si>
  <si>
    <t>Probability of first significant digit</t>
  </si>
  <si>
    <t>Probability of second significant digit</t>
  </si>
  <si>
    <t>Probability of third significant digit</t>
  </si>
  <si>
    <t>Probability of fourth significant digit</t>
  </si>
  <si>
    <t>not applicable</t>
  </si>
  <si>
    <t>Source: Using Benford’s Law to detect data error and fraud: An examination of companies listed on the Johannesburg Stock Exchange,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</si>
</sst>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00"/>
    <numFmt numFmtId="168" formatCode="0.0000"/>
    <numFmt numFmtId="169" formatCode="[$-409]d\-mmm;@"/>
    <numFmt numFmtId="170" formatCode="0.000%"/>
    <numFmt numFmtId="171" formatCode="0.00000"/>
    <numFmt numFmtId="172" formatCode="0.0000000"/>
    <numFmt numFmtId="173" formatCode="0.000000"/>
  </numFmts>
  <fonts count="48">
    <font>
      <sz val="11"/>
      <color theme="1"/>
      <name val="Arial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0"/>
      <color rgb="FF333333"/>
      <name val="Arial"/>
      <family val="2"/>
    </font>
    <font>
      <u/>
      <sz val="11"/>
      <color theme="10"/>
      <name val="Arial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Calibri"/>
      <family val="2"/>
    </font>
    <font>
      <b/>
      <sz val="12"/>
      <color rgb="FF0000FF"/>
      <name val="Times New Roman"/>
      <family val="1"/>
    </font>
    <font>
      <b/>
      <sz val="12"/>
      <color theme="1"/>
      <name val="Calibri"/>
      <family val="2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rgb="FF1155CC"/>
      <name val="Times New Roman"/>
      <family val="1"/>
    </font>
    <font>
      <u/>
      <sz val="12"/>
      <color rgb="FF0000FF"/>
      <name val="Times New Roman"/>
      <family val="1"/>
    </font>
    <font>
      <sz val="10"/>
      <color theme="1"/>
      <name val="Arial"/>
      <family val="2"/>
    </font>
    <font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rgb="FF0000FF"/>
      <name val="Times New Roman"/>
      <family val="1"/>
    </font>
    <font>
      <u/>
      <sz val="12"/>
      <color rgb="FF4472C4"/>
      <name val="Times New Roman"/>
      <family val="1"/>
    </font>
    <font>
      <u/>
      <sz val="12"/>
      <color rgb="FF2F5496"/>
      <name val="Times New Roman"/>
      <family val="1"/>
    </font>
    <font>
      <sz val="12"/>
      <color rgb="FF000000"/>
      <name val="&quot;Times New Roman&quot;"/>
    </font>
    <font>
      <u/>
      <sz val="12"/>
      <color rgb="FF0098D0"/>
      <name val="Times New Roman"/>
      <family val="1"/>
    </font>
    <font>
      <u/>
      <sz val="12"/>
      <color theme="4"/>
      <name val="Times New Roman"/>
      <family val="1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rgb="FFC0000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0"/>
      <color theme="1"/>
      <name val="Times New Roman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36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6" fontId="7" fillId="2" borderId="1" xfId="1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4" xfId="0" applyBorder="1"/>
    <xf numFmtId="0" fontId="0" fillId="0" borderId="13" xfId="0" applyBorder="1"/>
    <xf numFmtId="0" fontId="2" fillId="0" borderId="13" xfId="0" applyFont="1" applyBorder="1"/>
    <xf numFmtId="0" fontId="3" fillId="0" borderId="13" xfId="0" applyFont="1" applyBorder="1"/>
    <xf numFmtId="0" fontId="2" fillId="0" borderId="15" xfId="0" applyFont="1" applyBorder="1"/>
    <xf numFmtId="167" fontId="2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9" fillId="0" borderId="0" xfId="2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2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8" fillId="5" borderId="1" xfId="0" applyFont="1" applyFill="1" applyBorder="1" applyAlignment="1">
      <alignment vertical="center" wrapText="1"/>
    </xf>
    <xf numFmtId="0" fontId="0" fillId="0" borderId="0" xfId="0" applyFill="1"/>
    <xf numFmtId="166" fontId="0" fillId="0" borderId="0" xfId="1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/>
    <xf numFmtId="167" fontId="2" fillId="0" borderId="0" xfId="0" applyNumberFormat="1" applyFont="1" applyBorder="1" applyAlignment="1">
      <alignment horizontal="center"/>
    </xf>
    <xf numFmtId="0" fontId="13" fillId="0" borderId="0" xfId="0" applyFont="1" applyFill="1" applyAlignment="1">
      <alignment vertical="center"/>
    </xf>
    <xf numFmtId="166" fontId="13" fillId="0" borderId="0" xfId="1" applyNumberFormat="1" applyFont="1" applyFill="1" applyAlignment="1">
      <alignment vertical="center"/>
    </xf>
    <xf numFmtId="0" fontId="0" fillId="0" borderId="0" xfId="0" applyFont="1" applyFill="1"/>
    <xf numFmtId="166" fontId="0" fillId="0" borderId="0" xfId="0" applyNumberFormat="1" applyFont="1" applyFill="1"/>
    <xf numFmtId="14" fontId="15" fillId="0" borderId="1" xfId="0" applyNumberFormat="1" applyFont="1" applyFill="1" applyBorder="1" applyAlignment="1">
      <alignment horizontal="center"/>
    </xf>
    <xf numFmtId="1" fontId="15" fillId="0" borderId="1" xfId="1" applyNumberFormat="1" applyFont="1" applyFill="1" applyBorder="1" applyAlignment="1">
      <alignment horizontal="center" vertical="center" wrapText="1"/>
    </xf>
    <xf numFmtId="1" fontId="15" fillId="0" borderId="1" xfId="3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/>
    </xf>
    <xf numFmtId="1" fontId="15" fillId="0" borderId="1" xfId="1" applyNumberFormat="1" applyFont="1" applyFill="1" applyBorder="1" applyAlignment="1">
      <alignment horizontal="center" vertical="center"/>
    </xf>
    <xf numFmtId="166" fontId="15" fillId="0" borderId="1" xfId="1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5" fillId="0" borderId="0" xfId="0" applyFont="1"/>
    <xf numFmtId="14" fontId="15" fillId="2" borderId="1" xfId="0" applyNumberFormat="1" applyFont="1" applyFill="1" applyBorder="1" applyAlignment="1">
      <alignment horizontal="center"/>
    </xf>
    <xf numFmtId="1" fontId="15" fillId="0" borderId="1" xfId="1" applyNumberFormat="1" applyFont="1" applyBorder="1" applyAlignment="1">
      <alignment horizontal="center" vertical="center" wrapText="1"/>
    </xf>
    <xf numFmtId="1" fontId="15" fillId="2" borderId="1" xfId="1" applyNumberFormat="1" applyFont="1" applyFill="1" applyBorder="1" applyAlignment="1">
      <alignment horizontal="center" vertical="center"/>
    </xf>
    <xf numFmtId="1" fontId="15" fillId="2" borderId="1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16" fillId="3" borderId="18" xfId="0" applyFont="1" applyFill="1" applyBorder="1" applyAlignment="1">
      <alignment horizontal="center" vertical="center"/>
    </xf>
    <xf numFmtId="0" fontId="15" fillId="0" borderId="0" xfId="0" applyFont="1" applyBorder="1"/>
    <xf numFmtId="0" fontId="15" fillId="4" borderId="1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15" fillId="0" borderId="1" xfId="0" applyNumberFormat="1" applyFont="1" applyFill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5" fillId="0" borderId="1" xfId="0" applyNumberFormat="1" applyFont="1" applyBorder="1"/>
    <xf numFmtId="167" fontId="15" fillId="2" borderId="1" xfId="0" applyNumberFormat="1" applyFont="1" applyFill="1" applyBorder="1"/>
    <xf numFmtId="0" fontId="15" fillId="0" borderId="0" xfId="0" applyFont="1" applyBorder="1" applyAlignment="1">
      <alignment horizontal="center"/>
    </xf>
    <xf numFmtId="0" fontId="15" fillId="0" borderId="1" xfId="0" applyFont="1" applyBorder="1"/>
    <xf numFmtId="167" fontId="15" fillId="6" borderId="1" xfId="0" applyNumberFormat="1" applyFont="1" applyFill="1" applyBorder="1" applyAlignment="1">
      <alignment horizontal="center"/>
    </xf>
    <xf numFmtId="167" fontId="15" fillId="0" borderId="0" xfId="0" applyNumberFormat="1" applyFont="1"/>
    <xf numFmtId="0" fontId="15" fillId="0" borderId="0" xfId="0" applyFont="1" applyFill="1" applyAlignment="1"/>
    <xf numFmtId="0" fontId="15" fillId="0" borderId="0" xfId="0" applyFont="1" applyFill="1"/>
    <xf numFmtId="0" fontId="15" fillId="0" borderId="9" xfId="0" applyFont="1" applyBorder="1" applyAlignment="1">
      <alignment horizontal="center" vertical="center" wrapText="1"/>
    </xf>
    <xf numFmtId="2" fontId="15" fillId="2" borderId="1" xfId="1" applyNumberFormat="1" applyFont="1" applyFill="1" applyBorder="1" applyAlignment="1">
      <alignment horizontal="center"/>
    </xf>
    <xf numFmtId="168" fontId="15" fillId="5" borderId="1" xfId="0" applyNumberFormat="1" applyFont="1" applyFill="1" applyBorder="1"/>
    <xf numFmtId="2" fontId="15" fillId="0" borderId="1" xfId="1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13" fillId="0" borderId="0" xfId="1" applyNumberFormat="1" applyFont="1" applyFill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8" fontId="15" fillId="2" borderId="1" xfId="0" applyNumberFormat="1" applyFont="1" applyFill="1" applyBorder="1"/>
    <xf numFmtId="0" fontId="15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6" xfId="0" applyFont="1" applyBorder="1"/>
    <xf numFmtId="167" fontId="2" fillId="0" borderId="19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9" fontId="7" fillId="2" borderId="1" xfId="0" applyNumberFormat="1" applyFont="1" applyFill="1" applyBorder="1" applyAlignment="1">
      <alignment horizontal="center" vertical="center"/>
    </xf>
    <xf numFmtId="169" fontId="15" fillId="2" borderId="1" xfId="0" applyNumberFormat="1" applyFont="1" applyFill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40" fontId="0" fillId="0" borderId="0" xfId="0" applyNumberFormat="1" applyFill="1"/>
    <xf numFmtId="169" fontId="0" fillId="0" borderId="0" xfId="0" applyNumberFormat="1"/>
    <xf numFmtId="0" fontId="15" fillId="0" borderId="19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6" fillId="3" borderId="1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9" fontId="15" fillId="0" borderId="1" xfId="0" applyNumberFormat="1" applyFont="1" applyFill="1" applyBorder="1" applyAlignment="1">
      <alignment horizontal="center"/>
    </xf>
    <xf numFmtId="0" fontId="2" fillId="0" borderId="0" xfId="4" applyAlignment="1">
      <alignment vertical="center"/>
    </xf>
    <xf numFmtId="0" fontId="17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" fillId="0" borderId="0" xfId="4"/>
    <xf numFmtId="0" fontId="20" fillId="0" borderId="0" xfId="4" applyFont="1" applyAlignment="1">
      <alignment vertical="center"/>
    </xf>
    <xf numFmtId="0" fontId="2" fillId="0" borderId="0" xfId="4" applyAlignment="1">
      <alignment horizontal="center" vertical="center" wrapText="1"/>
    </xf>
    <xf numFmtId="0" fontId="2" fillId="0" borderId="0" xfId="4" applyAlignment="1">
      <alignment horizontal="center" vertical="center"/>
    </xf>
    <xf numFmtId="0" fontId="3" fillId="0" borderId="9" xfId="4" applyFont="1" applyBorder="1" applyAlignment="1">
      <alignment horizontal="center" vertical="center" wrapText="1"/>
    </xf>
    <xf numFmtId="0" fontId="22" fillId="0" borderId="0" xfId="4" applyFont="1" applyAlignment="1">
      <alignment vertical="center"/>
    </xf>
    <xf numFmtId="15" fontId="3" fillId="0" borderId="9" xfId="4" applyNumberFormat="1" applyFont="1" applyBorder="1" applyAlignment="1">
      <alignment vertical="center"/>
    </xf>
    <xf numFmtId="0" fontId="2" fillId="0" borderId="9" xfId="4" applyBorder="1" applyAlignment="1">
      <alignment horizontal="center" vertical="center" wrapText="1"/>
    </xf>
    <xf numFmtId="0" fontId="2" fillId="0" borderId="9" xfId="4" applyBorder="1" applyAlignment="1">
      <alignment horizontal="center" vertical="center"/>
    </xf>
    <xf numFmtId="0" fontId="23" fillId="0" borderId="9" xfId="4" applyFont="1" applyBorder="1" applyAlignment="1">
      <alignment horizontal="left" vertical="center" wrapText="1"/>
    </xf>
    <xf numFmtId="0" fontId="24" fillId="0" borderId="9" xfId="4" applyFont="1" applyBorder="1" applyAlignment="1">
      <alignment horizontal="left" vertical="center" wrapText="1"/>
    </xf>
    <xf numFmtId="0" fontId="17" fillId="0" borderId="9" xfId="4" applyFont="1" applyBorder="1" applyAlignment="1">
      <alignment horizontal="left" vertical="center" wrapText="1"/>
    </xf>
    <xf numFmtId="0" fontId="25" fillId="0" borderId="0" xfId="4" applyFont="1" applyAlignment="1">
      <alignment horizontal="center" vertical="center" wrapText="1"/>
    </xf>
    <xf numFmtId="0" fontId="26" fillId="0" borderId="9" xfId="4" applyFont="1" applyBorder="1" applyAlignment="1">
      <alignment horizontal="left" vertical="center" wrapText="1"/>
    </xf>
    <xf numFmtId="0" fontId="28" fillId="0" borderId="9" xfId="4" applyFont="1" applyBorder="1" applyAlignment="1">
      <alignment horizontal="center" vertical="center"/>
    </xf>
    <xf numFmtId="0" fontId="2" fillId="0" borderId="9" xfId="4" applyBorder="1" applyAlignment="1">
      <alignment horizontal="left" vertical="center" wrapText="1"/>
    </xf>
    <xf numFmtId="0" fontId="29" fillId="0" borderId="9" xfId="4" applyFont="1" applyBorder="1" applyAlignment="1">
      <alignment horizontal="left" vertical="center" wrapText="1"/>
    </xf>
    <xf numFmtId="0" fontId="30" fillId="0" borderId="9" xfId="4" applyFont="1" applyBorder="1" applyAlignment="1">
      <alignment horizontal="left" vertical="center" wrapText="1"/>
    </xf>
    <xf numFmtId="0" fontId="31" fillId="0" borderId="9" xfId="4" applyFont="1" applyBorder="1" applyAlignment="1">
      <alignment horizontal="left" vertical="center" wrapText="1"/>
    </xf>
    <xf numFmtId="0" fontId="32" fillId="0" borderId="9" xfId="4" applyFont="1" applyBorder="1" applyAlignment="1">
      <alignment horizontal="center"/>
    </xf>
    <xf numFmtId="0" fontId="32" fillId="0" borderId="26" xfId="4" applyFont="1" applyBorder="1" applyAlignment="1">
      <alignment horizontal="center"/>
    </xf>
    <xf numFmtId="0" fontId="32" fillId="0" borderId="27" xfId="4" applyFont="1" applyBorder="1" applyAlignment="1">
      <alignment horizontal="center"/>
    </xf>
    <xf numFmtId="0" fontId="32" fillId="0" borderId="28" xfId="4" applyFont="1" applyBorder="1" applyAlignment="1">
      <alignment horizontal="center"/>
    </xf>
    <xf numFmtId="0" fontId="32" fillId="0" borderId="29" xfId="4" applyFont="1" applyBorder="1" applyAlignment="1">
      <alignment horizontal="center"/>
    </xf>
    <xf numFmtId="0" fontId="32" fillId="0" borderId="30" xfId="4" applyFont="1" applyBorder="1" applyAlignment="1">
      <alignment horizontal="center"/>
    </xf>
    <xf numFmtId="0" fontId="32" fillId="0" borderId="31" xfId="4" applyFont="1" applyBorder="1" applyAlignment="1">
      <alignment horizontal="center"/>
    </xf>
    <xf numFmtId="0" fontId="33" fillId="7" borderId="9" xfId="4" applyFont="1" applyFill="1" applyBorder="1" applyAlignment="1">
      <alignment vertical="center" wrapText="1"/>
    </xf>
    <xf numFmtId="0" fontId="23" fillId="7" borderId="9" xfId="4" applyFont="1" applyFill="1" applyBorder="1" applyAlignment="1">
      <alignment vertical="center" wrapText="1"/>
    </xf>
    <xf numFmtId="0" fontId="34" fillId="0" borderId="9" xfId="4" applyFont="1" applyBorder="1" applyAlignment="1">
      <alignment horizontal="left" vertical="center" wrapText="1"/>
    </xf>
    <xf numFmtId="0" fontId="26" fillId="0" borderId="9" xfId="4" applyFont="1" applyBorder="1" applyAlignment="1">
      <alignment horizontal="left" vertical="center"/>
    </xf>
    <xf numFmtId="0" fontId="35" fillId="0" borderId="1" xfId="0" applyFont="1" applyBorder="1" applyAlignment="1">
      <alignment horizontal="centerContinuous"/>
    </xf>
    <xf numFmtId="0" fontId="0" fillId="0" borderId="1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16" xfId="0" applyNumberFormat="1" applyBorder="1"/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35" fillId="0" borderId="32" xfId="0" applyFont="1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0" xfId="4" applyFont="1"/>
    <xf numFmtId="1" fontId="15" fillId="0" borderId="0" xfId="4" applyNumberFormat="1" applyFont="1" applyAlignment="1">
      <alignment horizontal="center"/>
    </xf>
    <xf numFmtId="0" fontId="15" fillId="0" borderId="14" xfId="4" applyFont="1" applyBorder="1" applyAlignment="1">
      <alignment horizontal="center"/>
    </xf>
    <xf numFmtId="0" fontId="36" fillId="8" borderId="16" xfId="0" applyFont="1" applyFill="1" applyBorder="1" applyAlignment="1">
      <alignment horizontal="center"/>
    </xf>
    <xf numFmtId="0" fontId="6" fillId="0" borderId="0" xfId="0" applyFont="1"/>
    <xf numFmtId="0" fontId="36" fillId="0" borderId="1" xfId="0" applyFont="1" applyBorder="1"/>
    <xf numFmtId="0" fontId="0" fillId="0" borderId="1" xfId="4" applyFont="1" applyBorder="1" applyAlignment="1">
      <alignment horizontal="center" vertical="center"/>
    </xf>
    <xf numFmtId="1" fontId="37" fillId="0" borderId="1" xfId="4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33" xfId="0" applyBorder="1"/>
    <xf numFmtId="0" fontId="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15" fontId="6" fillId="0" borderId="27" xfId="4" applyNumberFormat="1" applyFont="1" applyBorder="1" applyAlignment="1">
      <alignment vertical="center"/>
    </xf>
    <xf numFmtId="1" fontId="6" fillId="0" borderId="27" xfId="4" applyNumberFormat="1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0" fontId="6" fillId="0" borderId="0" xfId="0" applyFont="1" applyAlignment="1">
      <alignment horizontal="left"/>
    </xf>
    <xf numFmtId="0" fontId="36" fillId="0" borderId="16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9" borderId="38" xfId="0" applyFill="1" applyBorder="1" applyAlignment="1">
      <alignment horizontal="center"/>
    </xf>
    <xf numFmtId="0" fontId="0" fillId="5" borderId="17" xfId="0" applyFill="1" applyBorder="1"/>
    <xf numFmtId="0" fontId="0" fillId="5" borderId="4" xfId="0" applyFill="1" applyBorder="1"/>
    <xf numFmtId="15" fontId="6" fillId="0" borderId="9" xfId="4" applyNumberFormat="1" applyFont="1" applyBorder="1" applyAlignment="1">
      <alignment vertical="center"/>
    </xf>
    <xf numFmtId="1" fontId="6" fillId="0" borderId="9" xfId="4" applyNumberFormat="1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 wrapText="1"/>
    </xf>
    <xf numFmtId="170" fontId="6" fillId="8" borderId="1" xfId="3" applyNumberFormat="1" applyFont="1" applyFill="1" applyBorder="1"/>
    <xf numFmtId="170" fontId="6" fillId="8" borderId="16" xfId="3" applyNumberFormat="1" applyFont="1" applyFill="1" applyBorder="1"/>
    <xf numFmtId="10" fontId="6" fillId="5" borderId="1" xfId="0" applyNumberFormat="1" applyFont="1" applyFill="1" applyBorder="1"/>
    <xf numFmtId="0" fontId="6" fillId="9" borderId="38" xfId="0" applyFont="1" applyFill="1" applyBorder="1" applyAlignment="1">
      <alignment horizontal="center"/>
    </xf>
    <xf numFmtId="0" fontId="6" fillId="5" borderId="17" xfId="0" applyFont="1" applyFill="1" applyBorder="1"/>
    <xf numFmtId="0" fontId="6" fillId="10" borderId="1" xfId="0" applyFont="1" applyFill="1" applyBorder="1"/>
    <xf numFmtId="0" fontId="6" fillId="10" borderId="5" xfId="0" applyFont="1" applyFill="1" applyBorder="1"/>
    <xf numFmtId="1" fontId="6" fillId="9" borderId="38" xfId="0" applyNumberFormat="1" applyFont="1" applyFill="1" applyBorder="1" applyAlignment="1">
      <alignment horizontal="center"/>
    </xf>
    <xf numFmtId="10" fontId="6" fillId="5" borderId="4" xfId="0" applyNumberFormat="1" applyFont="1" applyFill="1" applyBorder="1"/>
    <xf numFmtId="10" fontId="6" fillId="0" borderId="1" xfId="0" applyNumberFormat="1" applyFont="1" applyBorder="1"/>
    <xf numFmtId="170" fontId="6" fillId="0" borderId="1" xfId="0" applyNumberFormat="1" applyFont="1" applyBorder="1"/>
    <xf numFmtId="170" fontId="6" fillId="0" borderId="5" xfId="0" applyNumberFormat="1" applyFont="1" applyBorder="1"/>
    <xf numFmtId="10" fontId="6" fillId="5" borderId="17" xfId="0" applyNumberFormat="1" applyFont="1" applyFill="1" applyBorder="1"/>
    <xf numFmtId="0" fontId="0" fillId="0" borderId="39" xfId="0" applyBorder="1"/>
    <xf numFmtId="0" fontId="6" fillId="0" borderId="39" xfId="0" applyFont="1" applyBorder="1"/>
    <xf numFmtId="0" fontId="0" fillId="0" borderId="40" xfId="0" applyBorder="1" applyAlignment="1">
      <alignment horizontal="left"/>
    </xf>
    <xf numFmtId="0" fontId="36" fillId="0" borderId="8" xfId="0" applyFont="1" applyBorder="1"/>
    <xf numFmtId="170" fontId="6" fillId="8" borderId="8" xfId="3" applyNumberFormat="1" applyFont="1" applyFill="1" applyBorder="1"/>
    <xf numFmtId="170" fontId="6" fillId="8" borderId="41" xfId="3" applyNumberFormat="1" applyFont="1" applyFill="1" applyBorder="1"/>
    <xf numFmtId="0" fontId="0" fillId="0" borderId="1" xfId="0" applyBorder="1" applyAlignment="1">
      <alignment wrapText="1"/>
    </xf>
    <xf numFmtId="10" fontId="6" fillId="5" borderId="1" xfId="0" applyNumberFormat="1" applyFont="1" applyFill="1" applyBorder="1" applyAlignment="1">
      <alignment vertical="center"/>
    </xf>
    <xf numFmtId="10" fontId="6" fillId="0" borderId="1" xfId="0" applyNumberFormat="1" applyFont="1" applyBorder="1" applyAlignment="1">
      <alignment vertical="center"/>
    </xf>
    <xf numFmtId="0" fontId="6" fillId="9" borderId="42" xfId="0" applyFont="1" applyFill="1" applyBorder="1" applyAlignment="1">
      <alignment horizontal="center" vertical="center"/>
    </xf>
    <xf numFmtId="10" fontId="6" fillId="5" borderId="43" xfId="0" applyNumberFormat="1" applyFont="1" applyFill="1" applyBorder="1" applyAlignment="1">
      <alignment horizontal="right" vertical="center"/>
    </xf>
    <xf numFmtId="10" fontId="6" fillId="0" borderId="39" xfId="0" applyNumberFormat="1" applyFont="1" applyBorder="1" applyAlignment="1">
      <alignment horizontal="right" vertical="center"/>
    </xf>
    <xf numFmtId="170" fontId="6" fillId="0" borderId="39" xfId="0" applyNumberFormat="1" applyFont="1" applyBorder="1" applyAlignment="1">
      <alignment horizontal="right" vertical="center"/>
    </xf>
    <xf numFmtId="170" fontId="6" fillId="0" borderId="7" xfId="0" applyNumberFormat="1" applyFont="1" applyBorder="1" applyAlignment="1">
      <alignment horizontal="right" vertical="center"/>
    </xf>
    <xf numFmtId="1" fontId="6" fillId="9" borderId="42" xfId="0" applyNumberFormat="1" applyFont="1" applyFill="1" applyBorder="1" applyAlignment="1">
      <alignment horizontal="center" vertical="center"/>
    </xf>
    <xf numFmtId="10" fontId="6" fillId="5" borderId="6" xfId="0" applyNumberFormat="1" applyFont="1" applyFill="1" applyBorder="1" applyAlignment="1">
      <alignment vertical="center"/>
    </xf>
    <xf numFmtId="10" fontId="6" fillId="0" borderId="39" xfId="0" applyNumberFormat="1" applyFont="1" applyBorder="1" applyAlignment="1">
      <alignment vertical="center"/>
    </xf>
    <xf numFmtId="170" fontId="6" fillId="0" borderId="39" xfId="0" applyNumberFormat="1" applyFont="1" applyBorder="1" applyAlignment="1">
      <alignment vertical="center"/>
    </xf>
    <xf numFmtId="170" fontId="6" fillId="0" borderId="7" xfId="0" applyNumberFormat="1" applyFont="1" applyBorder="1" applyAlignment="1">
      <alignment vertical="center"/>
    </xf>
    <xf numFmtId="0" fontId="36" fillId="0" borderId="0" xfId="0" applyFont="1"/>
    <xf numFmtId="0" fontId="0" fillId="0" borderId="0" xfId="0" applyAlignment="1">
      <alignment vertical="center" wrapText="1"/>
    </xf>
    <xf numFmtId="170" fontId="6" fillId="0" borderId="0" xfId="0" applyNumberFormat="1" applyFont="1"/>
    <xf numFmtId="9" fontId="6" fillId="0" borderId="0" xfId="0" applyNumberFormat="1" applyFont="1"/>
    <xf numFmtId="0" fontId="38" fillId="0" borderId="25" xfId="4" applyFont="1" applyBorder="1" applyAlignment="1">
      <alignment horizontal="center"/>
    </xf>
    <xf numFmtId="0" fontId="38" fillId="0" borderId="30" xfId="4" applyFont="1" applyBorder="1" applyAlignment="1">
      <alignment horizontal="center"/>
    </xf>
    <xf numFmtId="0" fontId="38" fillId="0" borderId="24" xfId="4" applyFont="1" applyBorder="1" applyAlignment="1">
      <alignment horizontal="center"/>
    </xf>
    <xf numFmtId="0" fontId="38" fillId="0" borderId="0" xfId="4" applyFont="1" applyAlignment="1">
      <alignment horizontal="center"/>
    </xf>
    <xf numFmtId="0" fontId="38" fillId="0" borderId="44" xfId="4" applyFont="1" applyBorder="1" applyAlignment="1">
      <alignment horizontal="center"/>
    </xf>
    <xf numFmtId="0" fontId="39" fillId="0" borderId="0" xfId="4" applyFont="1" applyAlignment="1">
      <alignment vertical="center"/>
    </xf>
    <xf numFmtId="1" fontId="39" fillId="0" borderId="0" xfId="4" applyNumberFormat="1" applyFont="1" applyAlignment="1">
      <alignment horizontal="center" vertical="center"/>
    </xf>
    <xf numFmtId="0" fontId="15" fillId="0" borderId="0" xfId="4" applyFont="1" applyAlignment="1">
      <alignment horizontal="center" vertical="center" wrapText="1"/>
    </xf>
    <xf numFmtId="0" fontId="36" fillId="11" borderId="0" xfId="0" applyFont="1" applyFill="1"/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71" fontId="0" fillId="0" borderId="1" xfId="0" applyNumberFormat="1" applyBorder="1"/>
    <xf numFmtId="1" fontId="0" fillId="0" borderId="0" xfId="0" applyNumberFormat="1"/>
    <xf numFmtId="171" fontId="0" fillId="0" borderId="0" xfId="0" applyNumberFormat="1"/>
    <xf numFmtId="168" fontId="0" fillId="0" borderId="0" xfId="0" applyNumberFormat="1"/>
    <xf numFmtId="172" fontId="0" fillId="0" borderId="0" xfId="0" applyNumberFormat="1"/>
    <xf numFmtId="0" fontId="0" fillId="0" borderId="46" xfId="0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36" fillId="5" borderId="0" xfId="0" applyFont="1" applyFill="1"/>
    <xf numFmtId="0" fontId="0" fillId="0" borderId="17" xfId="0" applyBorder="1"/>
    <xf numFmtId="168" fontId="0" fillId="0" borderId="17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73" fontId="0" fillId="0" borderId="1" xfId="0" applyNumberFormat="1" applyBorder="1"/>
    <xf numFmtId="173" fontId="0" fillId="0" borderId="0" xfId="0" applyNumberFormat="1"/>
    <xf numFmtId="173" fontId="0" fillId="0" borderId="8" xfId="0" applyNumberFormat="1" applyBorder="1"/>
    <xf numFmtId="0" fontId="0" fillId="5" borderId="16" xfId="0" applyFill="1" applyBorder="1"/>
    <xf numFmtId="168" fontId="0" fillId="0" borderId="1" xfId="0" applyNumberFormat="1" applyBorder="1" applyAlignment="1">
      <alignment horizontal="center"/>
    </xf>
    <xf numFmtId="0" fontId="40" fillId="0" borderId="0" xfId="0" applyFont="1"/>
    <xf numFmtId="0" fontId="41" fillId="0" borderId="2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1" fillId="0" borderId="0" xfId="0" applyFont="1"/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wrapText="1"/>
    </xf>
    <xf numFmtId="0" fontId="40" fillId="0" borderId="16" xfId="0" applyFont="1" applyBorder="1"/>
    <xf numFmtId="167" fontId="40" fillId="0" borderId="4" xfId="0" applyNumberFormat="1" applyFont="1" applyBorder="1" applyAlignment="1">
      <alignment horizontal="center" vertical="center"/>
    </xf>
    <xf numFmtId="167" fontId="40" fillId="0" borderId="5" xfId="0" applyNumberFormat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167" fontId="40" fillId="0" borderId="4" xfId="0" applyNumberFormat="1" applyFont="1" applyBorder="1" applyAlignment="1">
      <alignment horizontal="center"/>
    </xf>
    <xf numFmtId="167" fontId="40" fillId="0" borderId="5" xfId="0" applyNumberFormat="1" applyFont="1" applyBorder="1" applyAlignment="1">
      <alignment horizontal="center"/>
    </xf>
    <xf numFmtId="0" fontId="40" fillId="0" borderId="53" xfId="0" applyFont="1" applyBorder="1"/>
    <xf numFmtId="167" fontId="40" fillId="0" borderId="6" xfId="0" applyNumberFormat="1" applyFont="1" applyBorder="1" applyAlignment="1">
      <alignment horizontal="center"/>
    </xf>
    <xf numFmtId="167" fontId="40" fillId="5" borderId="7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40" fillId="0" borderId="4" xfId="0" applyFont="1" applyBorder="1" applyAlignment="1">
      <alignment horizontal="center" vertical="center" wrapText="1"/>
    </xf>
    <xf numFmtId="0" fontId="40" fillId="0" borderId="1" xfId="0" applyFont="1" applyBorder="1" applyAlignment="1">
      <alignment wrapText="1"/>
    </xf>
    <xf numFmtId="0" fontId="40" fillId="0" borderId="4" xfId="0" applyFont="1" applyBorder="1" applyAlignment="1">
      <alignment horizontal="center" vertical="center"/>
    </xf>
    <xf numFmtId="0" fontId="43" fillId="0" borderId="0" xfId="0" applyFont="1"/>
    <xf numFmtId="0" fontId="40" fillId="0" borderId="6" xfId="0" applyFont="1" applyBorder="1" applyAlignment="1">
      <alignment horizontal="center" vertical="center"/>
    </xf>
    <xf numFmtId="0" fontId="40" fillId="0" borderId="39" xfId="0" applyFont="1" applyBorder="1" applyAlignment="1">
      <alignment wrapText="1"/>
    </xf>
    <xf numFmtId="167" fontId="41" fillId="0" borderId="0" xfId="0" applyNumberFormat="1" applyFont="1"/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wrapText="1"/>
    </xf>
    <xf numFmtId="168" fontId="43" fillId="0" borderId="0" xfId="0" applyNumberFormat="1" applyFont="1" applyAlignment="1">
      <alignment horizontal="center" vertical="center"/>
    </xf>
    <xf numFmtId="168" fontId="44" fillId="0" borderId="0" xfId="0" applyNumberFormat="1" applyFont="1"/>
    <xf numFmtId="168" fontId="40" fillId="0" borderId="0" xfId="0" applyNumberFormat="1" applyFont="1"/>
    <xf numFmtId="0" fontId="46" fillId="0" borderId="0" xfId="0" applyFont="1" applyAlignment="1">
      <alignment vertical="center" wrapText="1"/>
    </xf>
    <xf numFmtId="0" fontId="46" fillId="0" borderId="1" xfId="0" applyFont="1" applyBorder="1" applyAlignment="1">
      <alignment horizontal="center" vertical="center" wrapText="1"/>
    </xf>
    <xf numFmtId="10" fontId="46" fillId="0" borderId="1" xfId="3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" fillId="0" borderId="0" xfId="4"/>
    <xf numFmtId="0" fontId="19" fillId="0" borderId="0" xfId="4" applyFont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21" fillId="0" borderId="27" xfId="4" applyFont="1" applyBorder="1"/>
    <xf numFmtId="0" fontId="3" fillId="0" borderId="24" xfId="4" applyFont="1" applyBorder="1" applyAlignment="1">
      <alignment horizontal="center" vertical="center"/>
    </xf>
    <xf numFmtId="0" fontId="21" fillId="0" borderId="25" xfId="4" applyFont="1" applyBorder="1"/>
    <xf numFmtId="0" fontId="21" fillId="0" borderId="26" xfId="4" applyFont="1" applyBorder="1"/>
    <xf numFmtId="0" fontId="3" fillId="0" borderId="23" xfId="4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40" fillId="12" borderId="16" xfId="0" applyNumberFormat="1" applyFont="1" applyFill="1" applyBorder="1" applyAlignment="1">
      <alignment horizontal="center" vertical="center"/>
    </xf>
    <xf numFmtId="167" fontId="40" fillId="12" borderId="17" xfId="0" applyNumberFormat="1" applyFont="1" applyFill="1" applyBorder="1" applyAlignment="1">
      <alignment horizontal="center" vertical="center"/>
    </xf>
    <xf numFmtId="167" fontId="40" fillId="12" borderId="55" xfId="0" applyNumberFormat="1" applyFont="1" applyFill="1" applyBorder="1" applyAlignment="1">
      <alignment horizontal="center" vertical="center"/>
    </xf>
    <xf numFmtId="167" fontId="40" fillId="0" borderId="16" xfId="0" applyNumberFormat="1" applyFont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 vertical="center"/>
    </xf>
    <xf numFmtId="167" fontId="40" fillId="0" borderId="55" xfId="0" applyNumberFormat="1" applyFont="1" applyBorder="1" applyAlignment="1">
      <alignment horizontal="center" vertical="center"/>
    </xf>
    <xf numFmtId="167" fontId="40" fillId="0" borderId="53" xfId="0" applyNumberFormat="1" applyFont="1" applyBorder="1" applyAlignment="1">
      <alignment horizontal="center" vertical="center"/>
    </xf>
    <xf numFmtId="167" fontId="40" fillId="0" borderId="43" xfId="0" applyNumberFormat="1" applyFont="1" applyBorder="1" applyAlignment="1">
      <alignment horizontal="center" vertical="center"/>
    </xf>
    <xf numFmtId="167" fontId="40" fillId="12" borderId="53" xfId="0" applyNumberFormat="1" applyFont="1" applyFill="1" applyBorder="1" applyAlignment="1">
      <alignment horizontal="center" vertical="center"/>
    </xf>
    <xf numFmtId="167" fontId="40" fillId="12" borderId="56" xfId="0" applyNumberFormat="1" applyFont="1" applyFill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0" fontId="40" fillId="0" borderId="51" xfId="0" applyFont="1" applyBorder="1" applyAlignment="1">
      <alignment horizontal="center" vertical="center"/>
    </xf>
    <xf numFmtId="0" fontId="40" fillId="0" borderId="5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167" fontId="41" fillId="0" borderId="16" xfId="0" applyNumberFormat="1" applyFont="1" applyBorder="1" applyAlignment="1">
      <alignment horizontal="center"/>
    </xf>
    <xf numFmtId="167" fontId="41" fillId="0" borderId="17" xfId="0" applyNumberFormat="1" applyFont="1" applyBorder="1" applyAlignment="1">
      <alignment horizontal="center"/>
    </xf>
    <xf numFmtId="167" fontId="41" fillId="0" borderId="55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left" vertical="center" wrapText="1"/>
    </xf>
    <xf numFmtId="0" fontId="47" fillId="0" borderId="19" xfId="0" applyFont="1" applyBorder="1" applyAlignment="1">
      <alignment horizontal="left" vertical="center" wrapText="1"/>
    </xf>
    <xf numFmtId="0" fontId="47" fillId="0" borderId="17" xfId="0" applyFont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4" xr:uid="{761B9A01-7C59-4781-9938-93C29C3FE34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confirmed case time series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3513180918974746"/>
          <c:y val="0.16406492751062121"/>
          <c:w val="0.84238097156296365"/>
          <c:h val="0.52347639769388787"/>
        </c:manualLayout>
      </c:layout>
      <c:lineChart>
        <c:grouping val="stacked"/>
        <c:varyColors val="0"/>
        <c:ser>
          <c:idx val="0"/>
          <c:order val="0"/>
          <c:tx>
            <c:strRef>
              <c:f>'ARIMA develop'!$C$1</c:f>
              <c:strCache>
                <c:ptCount val="1"/>
                <c:pt idx="0">
                  <c:v>No. confirmed case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'ARIMA develop'!$B$2:$B$213</c:f>
              <c:numCache>
                <c:formatCode>d\-mmm\-yy</c:formatCode>
                <c:ptCount val="212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  <c:pt idx="211">
                  <c:v>44524</c:v>
                </c:pt>
              </c:numCache>
            </c:numRef>
          </c:cat>
          <c:val>
            <c:numRef>
              <c:f>'ARIMA develop'!$C$2:$C$213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51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36</c:v>
                </c:pt>
                <c:pt idx="39">
                  <c:v>31</c:v>
                </c:pt>
                <c:pt idx="40">
                  <c:v>33</c:v>
                </c:pt>
                <c:pt idx="41">
                  <c:v>69</c:v>
                </c:pt>
                <c:pt idx="42">
                  <c:v>39</c:v>
                </c:pt>
                <c:pt idx="43">
                  <c:v>66</c:v>
                </c:pt>
                <c:pt idx="44">
                  <c:v>45</c:v>
                </c:pt>
                <c:pt idx="45">
                  <c:v>58</c:v>
                </c:pt>
                <c:pt idx="46">
                  <c:v>84</c:v>
                </c:pt>
                <c:pt idx="47">
                  <c:v>95</c:v>
                </c:pt>
                <c:pt idx="48">
                  <c:v>86</c:v>
                </c:pt>
                <c:pt idx="49">
                  <c:v>90</c:v>
                </c:pt>
                <c:pt idx="50">
                  <c:v>100</c:v>
                </c:pt>
                <c:pt idx="51">
                  <c:v>137</c:v>
                </c:pt>
                <c:pt idx="52">
                  <c:v>149</c:v>
                </c:pt>
                <c:pt idx="53">
                  <c:v>135</c:v>
                </c:pt>
                <c:pt idx="54">
                  <c:v>137</c:v>
                </c:pt>
                <c:pt idx="55">
                  <c:v>166</c:v>
                </c:pt>
                <c:pt idx="56">
                  <c:v>136</c:v>
                </c:pt>
                <c:pt idx="57">
                  <c:v>152</c:v>
                </c:pt>
                <c:pt idx="58">
                  <c:v>207</c:v>
                </c:pt>
                <c:pt idx="59">
                  <c:v>165</c:v>
                </c:pt>
                <c:pt idx="60">
                  <c:v>621</c:v>
                </c:pt>
                <c:pt idx="61">
                  <c:v>230</c:v>
                </c:pt>
                <c:pt idx="62">
                  <c:v>218</c:v>
                </c:pt>
                <c:pt idx="63">
                  <c:v>155</c:v>
                </c:pt>
                <c:pt idx="64">
                  <c:v>249</c:v>
                </c:pt>
                <c:pt idx="65">
                  <c:v>464</c:v>
                </c:pt>
                <c:pt idx="66">
                  <c:v>419</c:v>
                </c:pt>
                <c:pt idx="67">
                  <c:v>714</c:v>
                </c:pt>
                <c:pt idx="68">
                  <c:v>599</c:v>
                </c:pt>
                <c:pt idx="69">
                  <c:v>641</c:v>
                </c:pt>
                <c:pt idx="70">
                  <c:v>710</c:v>
                </c:pt>
                <c:pt idx="71">
                  <c:v>766</c:v>
                </c:pt>
                <c:pt idx="72">
                  <c:v>915</c:v>
                </c:pt>
                <c:pt idx="73">
                  <c:v>1229</c:v>
                </c:pt>
                <c:pt idx="74">
                  <c:v>1320</c:v>
                </c:pt>
                <c:pt idx="75">
                  <c:v>1397</c:v>
                </c:pt>
                <c:pt idx="76">
                  <c:v>1764</c:v>
                </c:pt>
                <c:pt idx="77">
                  <c:v>1802</c:v>
                </c:pt>
                <c:pt idx="78">
                  <c:v>2229</c:v>
                </c:pt>
                <c:pt idx="79">
                  <c:v>2691</c:v>
                </c:pt>
                <c:pt idx="80">
                  <c:v>2436</c:v>
                </c:pt>
                <c:pt idx="81">
                  <c:v>3420</c:v>
                </c:pt>
                <c:pt idx="82">
                  <c:v>4083</c:v>
                </c:pt>
                <c:pt idx="83">
                  <c:v>3074</c:v>
                </c:pt>
                <c:pt idx="84">
                  <c:v>3322</c:v>
                </c:pt>
                <c:pt idx="85">
                  <c:v>3558</c:v>
                </c:pt>
                <c:pt idx="86">
                  <c:v>4473</c:v>
                </c:pt>
                <c:pt idx="87">
                  <c:v>4913</c:v>
                </c:pt>
                <c:pt idx="88">
                  <c:v>5546</c:v>
                </c:pt>
                <c:pt idx="89">
                  <c:v>4555</c:v>
                </c:pt>
                <c:pt idx="90">
                  <c:v>6097</c:v>
                </c:pt>
                <c:pt idx="91">
                  <c:v>6622</c:v>
                </c:pt>
                <c:pt idx="92">
                  <c:v>4045</c:v>
                </c:pt>
                <c:pt idx="93">
                  <c:v>2877</c:v>
                </c:pt>
                <c:pt idx="94">
                  <c:v>1541</c:v>
                </c:pt>
                <c:pt idx="95">
                  <c:v>4180</c:v>
                </c:pt>
                <c:pt idx="96">
                  <c:v>2025</c:v>
                </c:pt>
                <c:pt idx="97">
                  <c:v>2267</c:v>
                </c:pt>
                <c:pt idx="98">
                  <c:v>4171</c:v>
                </c:pt>
                <c:pt idx="99">
                  <c:v>936</c:v>
                </c:pt>
                <c:pt idx="100">
                  <c:v>3886</c:v>
                </c:pt>
                <c:pt idx="101">
                  <c:v>1497</c:v>
                </c:pt>
                <c:pt idx="102">
                  <c:v>5827</c:v>
                </c:pt>
                <c:pt idx="103">
                  <c:v>2002</c:v>
                </c:pt>
                <c:pt idx="104">
                  <c:v>4132</c:v>
                </c:pt>
                <c:pt idx="105">
                  <c:v>1466</c:v>
                </c:pt>
                <c:pt idx="106">
                  <c:v>3609</c:v>
                </c:pt>
                <c:pt idx="107">
                  <c:v>1521</c:v>
                </c:pt>
                <c:pt idx="108">
                  <c:v>3399</c:v>
                </c:pt>
                <c:pt idx="109">
                  <c:v>4915</c:v>
                </c:pt>
                <c:pt idx="110">
                  <c:v>3975</c:v>
                </c:pt>
                <c:pt idx="111">
                  <c:v>2855</c:v>
                </c:pt>
                <c:pt idx="112">
                  <c:v>3740</c:v>
                </c:pt>
                <c:pt idx="113">
                  <c:v>3873</c:v>
                </c:pt>
                <c:pt idx="114">
                  <c:v>4307</c:v>
                </c:pt>
                <c:pt idx="115">
                  <c:v>3504</c:v>
                </c:pt>
                <c:pt idx="116">
                  <c:v>4084</c:v>
                </c:pt>
                <c:pt idx="117">
                  <c:v>4193</c:v>
                </c:pt>
                <c:pt idx="118">
                  <c:v>4251</c:v>
                </c:pt>
                <c:pt idx="119">
                  <c:v>4634</c:v>
                </c:pt>
                <c:pt idx="120">
                  <c:v>5294</c:v>
                </c:pt>
                <c:pt idx="121">
                  <c:v>3934</c:v>
                </c:pt>
                <c:pt idx="122">
                  <c:v>5383</c:v>
                </c:pt>
                <c:pt idx="123">
                  <c:v>5481</c:v>
                </c:pt>
                <c:pt idx="124">
                  <c:v>4957</c:v>
                </c:pt>
                <c:pt idx="125">
                  <c:v>5889</c:v>
                </c:pt>
                <c:pt idx="126">
                  <c:v>5444</c:v>
                </c:pt>
                <c:pt idx="127">
                  <c:v>5368</c:v>
                </c:pt>
                <c:pt idx="128">
                  <c:v>5964</c:v>
                </c:pt>
                <c:pt idx="129">
                  <c:v>8510</c:v>
                </c:pt>
                <c:pt idx="130">
                  <c:v>4104</c:v>
                </c:pt>
                <c:pt idx="131">
                  <c:v>6226</c:v>
                </c:pt>
                <c:pt idx="132">
                  <c:v>7122</c:v>
                </c:pt>
                <c:pt idx="133">
                  <c:v>7310</c:v>
                </c:pt>
                <c:pt idx="134">
                  <c:v>7308</c:v>
                </c:pt>
                <c:pt idx="135">
                  <c:v>5549</c:v>
                </c:pt>
                <c:pt idx="136">
                  <c:v>7539</c:v>
                </c:pt>
                <c:pt idx="137">
                  <c:v>5629</c:v>
                </c:pt>
                <c:pt idx="138">
                  <c:v>6158</c:v>
                </c:pt>
                <c:pt idx="139">
                  <c:v>5446</c:v>
                </c:pt>
                <c:pt idx="140">
                  <c:v>6315</c:v>
                </c:pt>
                <c:pt idx="141">
                  <c:v>5301</c:v>
                </c:pt>
                <c:pt idx="142">
                  <c:v>5735</c:v>
                </c:pt>
                <c:pt idx="143">
                  <c:v>5972</c:v>
                </c:pt>
                <c:pt idx="144">
                  <c:v>4273</c:v>
                </c:pt>
                <c:pt idx="145">
                  <c:v>5496</c:v>
                </c:pt>
                <c:pt idx="146">
                  <c:v>5172</c:v>
                </c:pt>
                <c:pt idx="147">
                  <c:v>6521</c:v>
                </c:pt>
                <c:pt idx="148">
                  <c:v>5435</c:v>
                </c:pt>
                <c:pt idx="149">
                  <c:v>5052</c:v>
                </c:pt>
                <c:pt idx="150">
                  <c:v>3786</c:v>
                </c:pt>
                <c:pt idx="151">
                  <c:v>4050</c:v>
                </c:pt>
                <c:pt idx="152">
                  <c:v>5121</c:v>
                </c:pt>
                <c:pt idx="153">
                  <c:v>4134</c:v>
                </c:pt>
                <c:pt idx="154">
                  <c:v>3749</c:v>
                </c:pt>
                <c:pt idx="155">
                  <c:v>4699</c:v>
                </c:pt>
                <c:pt idx="156">
                  <c:v>4372</c:v>
                </c:pt>
                <c:pt idx="157">
                  <c:v>3670</c:v>
                </c:pt>
                <c:pt idx="158">
                  <c:v>2723</c:v>
                </c:pt>
                <c:pt idx="159">
                  <c:v>2461</c:v>
                </c:pt>
                <c:pt idx="160">
                  <c:v>2490</c:v>
                </c:pt>
                <c:pt idx="161">
                  <c:v>1491</c:v>
                </c:pt>
                <c:pt idx="162">
                  <c:v>1960</c:v>
                </c:pt>
                <c:pt idx="163">
                  <c:v>1730</c:v>
                </c:pt>
                <c:pt idx="164">
                  <c:v>2215</c:v>
                </c:pt>
                <c:pt idx="165">
                  <c:v>1662</c:v>
                </c:pt>
                <c:pt idx="166">
                  <c:v>1067</c:v>
                </c:pt>
                <c:pt idx="167">
                  <c:v>1527</c:v>
                </c:pt>
                <c:pt idx="168">
                  <c:v>1018</c:v>
                </c:pt>
                <c:pt idx="169">
                  <c:v>1162</c:v>
                </c:pt>
                <c:pt idx="170">
                  <c:v>909</c:v>
                </c:pt>
                <c:pt idx="171">
                  <c:v>1131</c:v>
                </c:pt>
                <c:pt idx="172">
                  <c:v>790</c:v>
                </c:pt>
                <c:pt idx="173">
                  <c:v>1059</c:v>
                </c:pt>
                <c:pt idx="174">
                  <c:v>968</c:v>
                </c:pt>
                <c:pt idx="175">
                  <c:v>907</c:v>
                </c:pt>
                <c:pt idx="176">
                  <c:v>1347</c:v>
                </c:pt>
                <c:pt idx="177">
                  <c:v>1255</c:v>
                </c:pt>
                <c:pt idx="178">
                  <c:v>1205</c:v>
                </c:pt>
                <c:pt idx="179">
                  <c:v>749</c:v>
                </c:pt>
                <c:pt idx="180">
                  <c:v>966</c:v>
                </c:pt>
                <c:pt idx="181">
                  <c:v>969</c:v>
                </c:pt>
                <c:pt idx="182">
                  <c:v>783</c:v>
                </c:pt>
                <c:pt idx="183">
                  <c:v>1140</c:v>
                </c:pt>
                <c:pt idx="184">
                  <c:v>1069</c:v>
                </c:pt>
                <c:pt idx="185">
                  <c:v>977</c:v>
                </c:pt>
                <c:pt idx="186">
                  <c:v>1042</c:v>
                </c:pt>
                <c:pt idx="187">
                  <c:v>1041</c:v>
                </c:pt>
                <c:pt idx="188">
                  <c:v>927</c:v>
                </c:pt>
                <c:pt idx="189">
                  <c:v>682</c:v>
                </c:pt>
                <c:pt idx="190">
                  <c:v>985</c:v>
                </c:pt>
                <c:pt idx="191">
                  <c:v>981</c:v>
                </c:pt>
                <c:pt idx="192">
                  <c:v>912</c:v>
                </c:pt>
                <c:pt idx="193">
                  <c:v>986</c:v>
                </c:pt>
                <c:pt idx="194">
                  <c:v>1009</c:v>
                </c:pt>
                <c:pt idx="195">
                  <c:v>1316</c:v>
                </c:pt>
                <c:pt idx="196">
                  <c:v>1276</c:v>
                </c:pt>
                <c:pt idx="197">
                  <c:v>1414</c:v>
                </c:pt>
                <c:pt idx="198">
                  <c:v>1185</c:v>
                </c:pt>
                <c:pt idx="199">
                  <c:v>1388</c:v>
                </c:pt>
                <c:pt idx="200">
                  <c:v>1240</c:v>
                </c:pt>
                <c:pt idx="201">
                  <c:v>985</c:v>
                </c:pt>
                <c:pt idx="202">
                  <c:v>1165</c:v>
                </c:pt>
                <c:pt idx="203">
                  <c:v>1183</c:v>
                </c:pt>
                <c:pt idx="204">
                  <c:v>1337</c:v>
                </c:pt>
                <c:pt idx="205">
                  <c:v>1609</c:v>
                </c:pt>
                <c:pt idx="206">
                  <c:v>1339</c:v>
                </c:pt>
                <c:pt idx="207">
                  <c:v>1046</c:v>
                </c:pt>
                <c:pt idx="208">
                  <c:v>1265</c:v>
                </c:pt>
                <c:pt idx="209">
                  <c:v>1547</c:v>
                </c:pt>
                <c:pt idx="210">
                  <c:v>1204</c:v>
                </c:pt>
                <c:pt idx="211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7DB-89DD-522ECE25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dropLines>
        <c:smooth val="0"/>
        <c:axId val="508418864"/>
        <c:axId val="283601616"/>
      </c:lineChart>
      <c:dateAx>
        <c:axId val="5084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325900008897497"/>
              <c:y val="0.92058565822123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83601616"/>
        <c:crosses val="autoZero"/>
        <c:auto val="1"/>
        <c:lblOffset val="100"/>
        <c:baseTimeUnit val="days"/>
      </c:dateAx>
      <c:valAx>
        <c:axId val="28360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</c:rich>
          </c:tx>
          <c:layout>
            <c:manualLayout>
              <c:xMode val="edge"/>
              <c:yMode val="edge"/>
              <c:x val="8.4327072177333862E-3"/>
              <c:y val="0.3350157937752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8418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Benford law 1st Sig.Digit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'Benford fit 95%'!$AG$3</c:f>
              <c:strCache>
                <c:ptCount val="1"/>
                <c:pt idx="0">
                  <c:v>Benford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'Benford fit 95%'!$AG$4:$AG$13</c:f>
              <c:numCache>
                <c:formatCode>0.00%</c:formatCode>
                <c:ptCount val="10"/>
                <c:pt idx="1">
                  <c:v>0.30099999999999999</c:v>
                </c:pt>
                <c:pt idx="2">
                  <c:v>0.17610000000000001</c:v>
                </c:pt>
                <c:pt idx="3">
                  <c:v>0.1249</c:v>
                </c:pt>
                <c:pt idx="4">
                  <c:v>9.69E-2</c:v>
                </c:pt>
                <c:pt idx="5">
                  <c:v>7.9200000000000007E-2</c:v>
                </c:pt>
                <c:pt idx="6">
                  <c:v>6.6900000000000001E-2</c:v>
                </c:pt>
                <c:pt idx="7">
                  <c:v>5.8000000000000003E-2</c:v>
                </c:pt>
                <c:pt idx="8">
                  <c:v>5.1200000000000002E-2</c:v>
                </c:pt>
                <c:pt idx="9">
                  <c:v>4.58E-2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C-4AA5-B9D8-DA3D78FD87D2}"/>
            </c:ext>
          </c:extLst>
        </c:ser>
        <c:ser>
          <c:idx val="1"/>
          <c:order val="1"/>
          <c:tx>
            <c:strRef>
              <c:f>'Benford fit 95%'!$AH$3</c:f>
              <c:strCache>
                <c:ptCount val="1"/>
                <c:pt idx="0">
                  <c:v>Data Value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'Benford fit 95%'!$AH$4:$AH$13</c:f>
              <c:numCache>
                <c:formatCode>0.00%</c:formatCode>
                <c:ptCount val="10"/>
                <c:pt idx="1">
                  <c:v>0.27906976744186052</c:v>
                </c:pt>
                <c:pt idx="2">
                  <c:v>9.3023255813953487E-2</c:v>
                </c:pt>
                <c:pt idx="3">
                  <c:v>0.12209302325581395</c:v>
                </c:pt>
                <c:pt idx="4">
                  <c:v>0.13953488372093023</c:v>
                </c:pt>
                <c:pt idx="5">
                  <c:v>0.13372093023255813</c:v>
                </c:pt>
                <c:pt idx="6">
                  <c:v>6.3953488372093026E-2</c:v>
                </c:pt>
                <c:pt idx="7">
                  <c:v>5.8139534883720922E-2</c:v>
                </c:pt>
                <c:pt idx="8">
                  <c:v>1.7441860465116279E-2</c:v>
                </c:pt>
                <c:pt idx="9">
                  <c:v>9.3023255813953487E-2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C-4AA5-B9D8-DA3D78FD87D2}"/>
            </c:ext>
          </c:extLst>
        </c:ser>
        <c:ser>
          <c:idx val="2"/>
          <c:order val="2"/>
          <c:tx>
            <c:strRef>
              <c:f>'[1]Benford fit 95%'!$AI$3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95%'!$AI$4:$AI$13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C-4AA5-B9D8-DA3D78FD87D2}"/>
            </c:ext>
          </c:extLst>
        </c:ser>
        <c:ser>
          <c:idx val="3"/>
          <c:order val="3"/>
          <c:tx>
            <c:strRef>
              <c:f>'[1]Benford fit 95%'!$AJ$3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95%'!$AJ$4:$AJ$13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C-4AA5-B9D8-DA3D78FD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9218224"/>
        <c:axId val="2099222576"/>
      </c:lineChart>
      <c:catAx>
        <c:axId val="20992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22576"/>
        <c:crosses val="autoZero"/>
        <c:auto val="1"/>
        <c:lblAlgn val="ctr"/>
        <c:lblOffset val="100"/>
        <c:noMultiLvlLbl val="0"/>
      </c:catAx>
      <c:valAx>
        <c:axId val="209922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18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Benford law 2nd Sig.Digit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'Benford fit 95%'!$AL$3</c:f>
              <c:strCache>
                <c:ptCount val="1"/>
                <c:pt idx="0">
                  <c:v>Benford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'Benford fit 95%'!$AK$4:$AK$13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'Benford fit 95%'!$AL$4:$AL$13</c:f>
              <c:numCache>
                <c:formatCode>0.00%</c:formatCode>
                <c:ptCount val="10"/>
                <c:pt idx="0">
                  <c:v>0.1197</c:v>
                </c:pt>
                <c:pt idx="1">
                  <c:v>0.1139</c:v>
                </c:pt>
                <c:pt idx="2">
                  <c:v>0.10879999999999999</c:v>
                </c:pt>
                <c:pt idx="3">
                  <c:v>0.1043</c:v>
                </c:pt>
                <c:pt idx="4">
                  <c:v>0.1003</c:v>
                </c:pt>
                <c:pt idx="5">
                  <c:v>9.6699999999999994E-2</c:v>
                </c:pt>
                <c:pt idx="6">
                  <c:v>9.3399999999999997E-2</c:v>
                </c:pt>
                <c:pt idx="7">
                  <c:v>9.0399999999999994E-2</c:v>
                </c:pt>
                <c:pt idx="8">
                  <c:v>8.7599999999999997E-2</c:v>
                </c:pt>
                <c:pt idx="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4E41-AE87-58D30B096485}"/>
            </c:ext>
          </c:extLst>
        </c:ser>
        <c:ser>
          <c:idx val="1"/>
          <c:order val="1"/>
          <c:tx>
            <c:strRef>
              <c:f>'Benford fit 95%'!$AM$3</c:f>
              <c:strCache>
                <c:ptCount val="1"/>
                <c:pt idx="0">
                  <c:v>Data Value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'Benford fit 95%'!$AK$4:$AK$13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'Benford fit 95%'!$AM$4:$AM$13</c:f>
              <c:numCache>
                <c:formatCode>0.00%</c:formatCode>
                <c:ptCount val="10"/>
                <c:pt idx="0">
                  <c:v>0.12209302325581395</c:v>
                </c:pt>
                <c:pt idx="1">
                  <c:v>0.13953488372093023</c:v>
                </c:pt>
                <c:pt idx="2">
                  <c:v>8.1395348837209294E-2</c:v>
                </c:pt>
                <c:pt idx="3">
                  <c:v>0.14534883720930233</c:v>
                </c:pt>
                <c:pt idx="4">
                  <c:v>0.11046511627906974</c:v>
                </c:pt>
                <c:pt idx="5">
                  <c:v>8.7209302325581384E-2</c:v>
                </c:pt>
                <c:pt idx="6">
                  <c:v>0.11627906976744184</c:v>
                </c:pt>
                <c:pt idx="7">
                  <c:v>4.6511627906976744E-2</c:v>
                </c:pt>
                <c:pt idx="8">
                  <c:v>8.1395348837209294E-2</c:v>
                </c:pt>
                <c:pt idx="9">
                  <c:v>6.9767441860465115E-2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0-4E41-AE87-58D30B096485}"/>
            </c:ext>
          </c:extLst>
        </c:ser>
        <c:ser>
          <c:idx val="2"/>
          <c:order val="2"/>
          <c:tx>
            <c:strRef>
              <c:f>'[1]Benford fit 95%'!$AN$3</c:f>
              <c:strCache>
                <c:ptCount val="1"/>
                <c:pt idx="0">
                  <c:v>Upper linit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95%'!$AN$4:$AN$13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0-4E41-AE87-58D30B096485}"/>
            </c:ext>
          </c:extLst>
        </c:ser>
        <c:ser>
          <c:idx val="3"/>
          <c:order val="3"/>
          <c:tx>
            <c:strRef>
              <c:f>'[1]Benford fit 95%'!$AO$3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95%'!$AO$4:$AO$13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0-4E41-AE87-58D30B0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9218768"/>
        <c:axId val="2099230736"/>
      </c:lineChart>
      <c:catAx>
        <c:axId val="20992187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30736"/>
        <c:crosses val="autoZero"/>
        <c:auto val="1"/>
        <c:lblAlgn val="ctr"/>
        <c:lblOffset val="100"/>
        <c:noMultiLvlLbl val="0"/>
      </c:catAx>
      <c:valAx>
        <c:axId val="20992307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Benford law 1st Sig.Digit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'[1]Benford fit 95%'!$AG$3</c:f>
              <c:strCache>
                <c:ptCount val="1"/>
                <c:pt idx="0">
                  <c:v>Benford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95%'!$AG$4:$AG$13</c:f>
              <c:numCache>
                <c:formatCode>General</c:formatCode>
                <c:ptCount val="10"/>
                <c:pt idx="1">
                  <c:v>0.30099999999999999</c:v>
                </c:pt>
                <c:pt idx="2">
                  <c:v>0.17610000000000001</c:v>
                </c:pt>
                <c:pt idx="3">
                  <c:v>0.1249</c:v>
                </c:pt>
                <c:pt idx="4">
                  <c:v>9.69E-2</c:v>
                </c:pt>
                <c:pt idx="5">
                  <c:v>7.9200000000000007E-2</c:v>
                </c:pt>
                <c:pt idx="6">
                  <c:v>6.6900000000000001E-2</c:v>
                </c:pt>
                <c:pt idx="7">
                  <c:v>5.8000000000000003E-2</c:v>
                </c:pt>
                <c:pt idx="8">
                  <c:v>5.1200000000000002E-2</c:v>
                </c:pt>
                <c:pt idx="9">
                  <c:v>4.58E-2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5-46A5-A46E-009B37401D6C}"/>
            </c:ext>
          </c:extLst>
        </c:ser>
        <c:ser>
          <c:idx val="1"/>
          <c:order val="1"/>
          <c:tx>
            <c:strRef>
              <c:f>'[1]Benford fit 95%'!$AH$3</c:f>
              <c:strCache>
                <c:ptCount val="1"/>
                <c:pt idx="0">
                  <c:v>Data Value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95%'!$AH$4:$AH$13</c:f>
              <c:numCache>
                <c:formatCode>General</c:formatCode>
                <c:ptCount val="10"/>
                <c:pt idx="1">
                  <c:v>0.27906976744186052</c:v>
                </c:pt>
                <c:pt idx="2">
                  <c:v>9.3023255813953487E-2</c:v>
                </c:pt>
                <c:pt idx="3">
                  <c:v>0.12209302325581395</c:v>
                </c:pt>
                <c:pt idx="4">
                  <c:v>0.13953488372093023</c:v>
                </c:pt>
                <c:pt idx="5">
                  <c:v>0.13372093023255813</c:v>
                </c:pt>
                <c:pt idx="6">
                  <c:v>6.3953488372093026E-2</c:v>
                </c:pt>
                <c:pt idx="7">
                  <c:v>5.8139534883720922E-2</c:v>
                </c:pt>
                <c:pt idx="8">
                  <c:v>1.7441860465116279E-2</c:v>
                </c:pt>
                <c:pt idx="9">
                  <c:v>9.3023255813953487E-2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5-46A5-A46E-009B37401D6C}"/>
            </c:ext>
          </c:extLst>
        </c:ser>
        <c:ser>
          <c:idx val="2"/>
          <c:order val="2"/>
          <c:tx>
            <c:strRef>
              <c:f>'[1]Benford fit 95%'!$AI$3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95%'!$AI$4:$AI$13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5-46A5-A46E-009B37401D6C}"/>
            </c:ext>
          </c:extLst>
        </c:ser>
        <c:ser>
          <c:idx val="3"/>
          <c:order val="3"/>
          <c:tx>
            <c:strRef>
              <c:f>'[1]Benford fit 95%'!$AJ$3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95%'!$AF$4:$AF$13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95%'!$AJ$4:$AJ$13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5-46A5-A46E-009B3740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9218224"/>
        <c:axId val="2099222576"/>
      </c:lineChart>
      <c:catAx>
        <c:axId val="20992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22576"/>
        <c:crosses val="autoZero"/>
        <c:auto val="1"/>
        <c:lblAlgn val="ctr"/>
        <c:lblOffset val="100"/>
        <c:noMultiLvlLbl val="0"/>
      </c:catAx>
      <c:valAx>
        <c:axId val="209922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18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Benford law 2nd Sig.Digit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'[1]Benford fit 95%'!$AL$3</c:f>
              <c:strCache>
                <c:ptCount val="1"/>
                <c:pt idx="0">
                  <c:v>Benford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95%'!$AL$4:$AL$13</c:f>
              <c:numCache>
                <c:formatCode>General</c:formatCode>
                <c:ptCount val="10"/>
                <c:pt idx="0">
                  <c:v>0.1197</c:v>
                </c:pt>
                <c:pt idx="1">
                  <c:v>0.1139</c:v>
                </c:pt>
                <c:pt idx="2">
                  <c:v>0.10879999999999999</c:v>
                </c:pt>
                <c:pt idx="3">
                  <c:v>0.1043</c:v>
                </c:pt>
                <c:pt idx="4">
                  <c:v>0.1003</c:v>
                </c:pt>
                <c:pt idx="5">
                  <c:v>9.6699999999999994E-2</c:v>
                </c:pt>
                <c:pt idx="6">
                  <c:v>9.3399999999999997E-2</c:v>
                </c:pt>
                <c:pt idx="7">
                  <c:v>9.0399999999999994E-2</c:v>
                </c:pt>
                <c:pt idx="8">
                  <c:v>8.7599999999999997E-2</c:v>
                </c:pt>
                <c:pt idx="9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E6F-89E5-106CB992FC26}"/>
            </c:ext>
          </c:extLst>
        </c:ser>
        <c:ser>
          <c:idx val="1"/>
          <c:order val="1"/>
          <c:tx>
            <c:strRef>
              <c:f>'[1]Benford fit 95%'!$AM$3</c:f>
              <c:strCache>
                <c:ptCount val="1"/>
                <c:pt idx="0">
                  <c:v>Data Value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95%'!$AM$4:$AM$13</c:f>
              <c:numCache>
                <c:formatCode>General</c:formatCode>
                <c:ptCount val="10"/>
                <c:pt idx="0">
                  <c:v>0.12209302325581395</c:v>
                </c:pt>
                <c:pt idx="1">
                  <c:v>0.13953488372093023</c:v>
                </c:pt>
                <c:pt idx="2">
                  <c:v>8.1395348837209294E-2</c:v>
                </c:pt>
                <c:pt idx="3">
                  <c:v>0.14534883720930233</c:v>
                </c:pt>
                <c:pt idx="4">
                  <c:v>0.11046511627906974</c:v>
                </c:pt>
                <c:pt idx="5">
                  <c:v>8.7209302325581384E-2</c:v>
                </c:pt>
                <c:pt idx="6">
                  <c:v>0.11627906976744184</c:v>
                </c:pt>
                <c:pt idx="7">
                  <c:v>4.6511627906976744E-2</c:v>
                </c:pt>
                <c:pt idx="8">
                  <c:v>8.1395348837209294E-2</c:v>
                </c:pt>
                <c:pt idx="9">
                  <c:v>6.9767441860465115E-2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E-4E6F-89E5-106CB992FC26}"/>
            </c:ext>
          </c:extLst>
        </c:ser>
        <c:ser>
          <c:idx val="2"/>
          <c:order val="2"/>
          <c:tx>
            <c:strRef>
              <c:f>'[1]Benford fit 95%'!$AN$3</c:f>
              <c:strCache>
                <c:ptCount val="1"/>
                <c:pt idx="0">
                  <c:v>Upper linit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95%'!$AN$4:$AN$13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E-4E6F-89E5-106CB992FC26}"/>
            </c:ext>
          </c:extLst>
        </c:ser>
        <c:ser>
          <c:idx val="3"/>
          <c:order val="3"/>
          <c:tx>
            <c:strRef>
              <c:f>'[1]Benford fit 95%'!$AO$3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'[1]Benford fit 95%'!$AK$4:$AK$13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'[1]Benford fit 95%'!$AO$4:$AO$13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E-4E6F-89E5-106CB992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9218768"/>
        <c:axId val="2099230736"/>
      </c:lineChart>
      <c:catAx>
        <c:axId val="20992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30736"/>
        <c:crosses val="autoZero"/>
        <c:auto val="1"/>
        <c:lblAlgn val="ctr"/>
        <c:lblOffset val="100"/>
        <c:noMultiLvlLbl val="0"/>
      </c:catAx>
      <c:valAx>
        <c:axId val="209923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992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confirmed case time series after the first difference</a:t>
            </a:r>
          </a:p>
        </c:rich>
      </c:tx>
      <c:layout>
        <c:manualLayout>
          <c:xMode val="edge"/>
          <c:yMode val="edge"/>
          <c:x val="0.1584906430082848"/>
          <c:y val="3.2728825664700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4875120387795027"/>
          <c:y val="0.22526783150361157"/>
          <c:w val="0.83153889745176945"/>
          <c:h val="0.66726454757644693"/>
        </c:manualLayout>
      </c:layout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'ARIMA develop'!$B$3:$B$213</c:f>
              <c:numCache>
                <c:formatCode>d\-mmm\-yy</c:formatCode>
                <c:ptCount val="211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  <c:pt idx="41">
                  <c:v>44355</c:v>
                </c:pt>
                <c:pt idx="42">
                  <c:v>44356</c:v>
                </c:pt>
                <c:pt idx="43">
                  <c:v>44357</c:v>
                </c:pt>
                <c:pt idx="44">
                  <c:v>44358</c:v>
                </c:pt>
                <c:pt idx="45">
                  <c:v>44359</c:v>
                </c:pt>
                <c:pt idx="46">
                  <c:v>44360</c:v>
                </c:pt>
                <c:pt idx="47">
                  <c:v>44361</c:v>
                </c:pt>
                <c:pt idx="48">
                  <c:v>44362</c:v>
                </c:pt>
                <c:pt idx="49">
                  <c:v>44363</c:v>
                </c:pt>
                <c:pt idx="50">
                  <c:v>44364</c:v>
                </c:pt>
                <c:pt idx="51">
                  <c:v>44365</c:v>
                </c:pt>
                <c:pt idx="52">
                  <c:v>44366</c:v>
                </c:pt>
                <c:pt idx="53">
                  <c:v>44367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  <c:pt idx="57">
                  <c:v>44371</c:v>
                </c:pt>
                <c:pt idx="58">
                  <c:v>44372</c:v>
                </c:pt>
                <c:pt idx="59">
                  <c:v>44373</c:v>
                </c:pt>
                <c:pt idx="60">
                  <c:v>44374</c:v>
                </c:pt>
                <c:pt idx="61">
                  <c:v>44375</c:v>
                </c:pt>
                <c:pt idx="62">
                  <c:v>44376</c:v>
                </c:pt>
                <c:pt idx="63">
                  <c:v>44377</c:v>
                </c:pt>
                <c:pt idx="64">
                  <c:v>44378</c:v>
                </c:pt>
                <c:pt idx="65">
                  <c:v>44379</c:v>
                </c:pt>
                <c:pt idx="66">
                  <c:v>44380</c:v>
                </c:pt>
                <c:pt idx="67">
                  <c:v>44381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44387</c:v>
                </c:pt>
                <c:pt idx="74">
                  <c:v>44388</c:v>
                </c:pt>
                <c:pt idx="75">
                  <c:v>44389</c:v>
                </c:pt>
                <c:pt idx="76">
                  <c:v>44390</c:v>
                </c:pt>
                <c:pt idx="77">
                  <c:v>44391</c:v>
                </c:pt>
                <c:pt idx="78">
                  <c:v>44392</c:v>
                </c:pt>
                <c:pt idx="79">
                  <c:v>44393</c:v>
                </c:pt>
                <c:pt idx="80">
                  <c:v>44394</c:v>
                </c:pt>
                <c:pt idx="81">
                  <c:v>44395</c:v>
                </c:pt>
                <c:pt idx="82">
                  <c:v>44396</c:v>
                </c:pt>
                <c:pt idx="83">
                  <c:v>44397</c:v>
                </c:pt>
                <c:pt idx="84">
                  <c:v>44398</c:v>
                </c:pt>
                <c:pt idx="85">
                  <c:v>44399</c:v>
                </c:pt>
                <c:pt idx="86">
                  <c:v>44400</c:v>
                </c:pt>
                <c:pt idx="87">
                  <c:v>44401</c:v>
                </c:pt>
                <c:pt idx="88">
                  <c:v>44402</c:v>
                </c:pt>
                <c:pt idx="89">
                  <c:v>44403</c:v>
                </c:pt>
                <c:pt idx="90">
                  <c:v>44404</c:v>
                </c:pt>
                <c:pt idx="91">
                  <c:v>44405</c:v>
                </c:pt>
                <c:pt idx="92">
                  <c:v>44406</c:v>
                </c:pt>
                <c:pt idx="93">
                  <c:v>44407</c:v>
                </c:pt>
                <c:pt idx="94">
                  <c:v>44408</c:v>
                </c:pt>
                <c:pt idx="95">
                  <c:v>44409</c:v>
                </c:pt>
                <c:pt idx="96">
                  <c:v>44410</c:v>
                </c:pt>
                <c:pt idx="97">
                  <c:v>44411</c:v>
                </c:pt>
                <c:pt idx="98">
                  <c:v>44412</c:v>
                </c:pt>
                <c:pt idx="99">
                  <c:v>44413</c:v>
                </c:pt>
                <c:pt idx="100">
                  <c:v>44414</c:v>
                </c:pt>
                <c:pt idx="101">
                  <c:v>44415</c:v>
                </c:pt>
                <c:pt idx="102">
                  <c:v>44416</c:v>
                </c:pt>
                <c:pt idx="103">
                  <c:v>44417</c:v>
                </c:pt>
                <c:pt idx="104">
                  <c:v>44418</c:v>
                </c:pt>
                <c:pt idx="105">
                  <c:v>44419</c:v>
                </c:pt>
                <c:pt idx="106">
                  <c:v>44420</c:v>
                </c:pt>
                <c:pt idx="107">
                  <c:v>44421</c:v>
                </c:pt>
                <c:pt idx="108">
                  <c:v>44422</c:v>
                </c:pt>
                <c:pt idx="109">
                  <c:v>44423</c:v>
                </c:pt>
                <c:pt idx="110">
                  <c:v>44424</c:v>
                </c:pt>
                <c:pt idx="111">
                  <c:v>44425</c:v>
                </c:pt>
                <c:pt idx="112">
                  <c:v>44426</c:v>
                </c:pt>
                <c:pt idx="113">
                  <c:v>44427</c:v>
                </c:pt>
                <c:pt idx="114">
                  <c:v>44428</c:v>
                </c:pt>
                <c:pt idx="115">
                  <c:v>44429</c:v>
                </c:pt>
                <c:pt idx="116">
                  <c:v>44430</c:v>
                </c:pt>
                <c:pt idx="117">
                  <c:v>44431</c:v>
                </c:pt>
                <c:pt idx="118">
                  <c:v>44432</c:v>
                </c:pt>
                <c:pt idx="119">
                  <c:v>44433</c:v>
                </c:pt>
                <c:pt idx="120">
                  <c:v>44434</c:v>
                </c:pt>
                <c:pt idx="121">
                  <c:v>44435</c:v>
                </c:pt>
                <c:pt idx="122">
                  <c:v>44436</c:v>
                </c:pt>
                <c:pt idx="123">
                  <c:v>44437</c:v>
                </c:pt>
                <c:pt idx="124">
                  <c:v>44438</c:v>
                </c:pt>
                <c:pt idx="125">
                  <c:v>44439</c:v>
                </c:pt>
                <c:pt idx="126">
                  <c:v>44440</c:v>
                </c:pt>
                <c:pt idx="127">
                  <c:v>44441</c:v>
                </c:pt>
                <c:pt idx="128">
                  <c:v>44442</c:v>
                </c:pt>
                <c:pt idx="129">
                  <c:v>44443</c:v>
                </c:pt>
                <c:pt idx="130">
                  <c:v>44444</c:v>
                </c:pt>
                <c:pt idx="131">
                  <c:v>44445</c:v>
                </c:pt>
                <c:pt idx="132">
                  <c:v>44446</c:v>
                </c:pt>
                <c:pt idx="133">
                  <c:v>44447</c:v>
                </c:pt>
                <c:pt idx="134">
                  <c:v>44448</c:v>
                </c:pt>
                <c:pt idx="135">
                  <c:v>44449</c:v>
                </c:pt>
                <c:pt idx="136">
                  <c:v>44450</c:v>
                </c:pt>
                <c:pt idx="137">
                  <c:v>44451</c:v>
                </c:pt>
                <c:pt idx="138">
                  <c:v>44452</c:v>
                </c:pt>
                <c:pt idx="139">
                  <c:v>44453</c:v>
                </c:pt>
                <c:pt idx="140">
                  <c:v>44454</c:v>
                </c:pt>
                <c:pt idx="141">
                  <c:v>44455</c:v>
                </c:pt>
                <c:pt idx="142">
                  <c:v>44456</c:v>
                </c:pt>
                <c:pt idx="143">
                  <c:v>44457</c:v>
                </c:pt>
                <c:pt idx="144">
                  <c:v>44458</c:v>
                </c:pt>
                <c:pt idx="145">
                  <c:v>44459</c:v>
                </c:pt>
                <c:pt idx="146">
                  <c:v>44460</c:v>
                </c:pt>
                <c:pt idx="147">
                  <c:v>44461</c:v>
                </c:pt>
                <c:pt idx="148">
                  <c:v>44462</c:v>
                </c:pt>
                <c:pt idx="149">
                  <c:v>44463</c:v>
                </c:pt>
                <c:pt idx="150">
                  <c:v>44464</c:v>
                </c:pt>
                <c:pt idx="151">
                  <c:v>44465</c:v>
                </c:pt>
                <c:pt idx="152">
                  <c:v>44466</c:v>
                </c:pt>
                <c:pt idx="153">
                  <c:v>44467</c:v>
                </c:pt>
                <c:pt idx="154">
                  <c:v>44468</c:v>
                </c:pt>
                <c:pt idx="155">
                  <c:v>44469</c:v>
                </c:pt>
                <c:pt idx="156">
                  <c:v>44470</c:v>
                </c:pt>
                <c:pt idx="157">
                  <c:v>44471</c:v>
                </c:pt>
                <c:pt idx="158">
                  <c:v>44472</c:v>
                </c:pt>
                <c:pt idx="159">
                  <c:v>44473</c:v>
                </c:pt>
                <c:pt idx="160">
                  <c:v>44474</c:v>
                </c:pt>
                <c:pt idx="161">
                  <c:v>44475</c:v>
                </c:pt>
                <c:pt idx="162">
                  <c:v>44476</c:v>
                </c:pt>
                <c:pt idx="163">
                  <c:v>44477</c:v>
                </c:pt>
                <c:pt idx="164">
                  <c:v>44478</c:v>
                </c:pt>
                <c:pt idx="165">
                  <c:v>44479</c:v>
                </c:pt>
                <c:pt idx="166">
                  <c:v>44480</c:v>
                </c:pt>
                <c:pt idx="167">
                  <c:v>44481</c:v>
                </c:pt>
                <c:pt idx="168">
                  <c:v>44482</c:v>
                </c:pt>
                <c:pt idx="169">
                  <c:v>44483</c:v>
                </c:pt>
                <c:pt idx="170">
                  <c:v>44484</c:v>
                </c:pt>
                <c:pt idx="171">
                  <c:v>44485</c:v>
                </c:pt>
                <c:pt idx="172">
                  <c:v>44486</c:v>
                </c:pt>
                <c:pt idx="173">
                  <c:v>44487</c:v>
                </c:pt>
                <c:pt idx="174">
                  <c:v>44488</c:v>
                </c:pt>
                <c:pt idx="175">
                  <c:v>44489</c:v>
                </c:pt>
                <c:pt idx="176">
                  <c:v>44490</c:v>
                </c:pt>
                <c:pt idx="177">
                  <c:v>44491</c:v>
                </c:pt>
                <c:pt idx="178">
                  <c:v>44492</c:v>
                </c:pt>
                <c:pt idx="179">
                  <c:v>44493</c:v>
                </c:pt>
                <c:pt idx="180">
                  <c:v>44494</c:v>
                </c:pt>
                <c:pt idx="181">
                  <c:v>44495</c:v>
                </c:pt>
                <c:pt idx="182">
                  <c:v>44496</c:v>
                </c:pt>
                <c:pt idx="183">
                  <c:v>44497</c:v>
                </c:pt>
                <c:pt idx="184">
                  <c:v>44498</c:v>
                </c:pt>
                <c:pt idx="185">
                  <c:v>44499</c:v>
                </c:pt>
                <c:pt idx="186">
                  <c:v>44500</c:v>
                </c:pt>
                <c:pt idx="187">
                  <c:v>44501</c:v>
                </c:pt>
                <c:pt idx="188">
                  <c:v>44502</c:v>
                </c:pt>
                <c:pt idx="189">
                  <c:v>44503</c:v>
                </c:pt>
                <c:pt idx="190">
                  <c:v>44504</c:v>
                </c:pt>
                <c:pt idx="191">
                  <c:v>44505</c:v>
                </c:pt>
                <c:pt idx="192">
                  <c:v>44506</c:v>
                </c:pt>
                <c:pt idx="193">
                  <c:v>44507</c:v>
                </c:pt>
                <c:pt idx="194">
                  <c:v>44508</c:v>
                </c:pt>
                <c:pt idx="195">
                  <c:v>44509</c:v>
                </c:pt>
                <c:pt idx="196">
                  <c:v>44510</c:v>
                </c:pt>
                <c:pt idx="197">
                  <c:v>44511</c:v>
                </c:pt>
                <c:pt idx="198">
                  <c:v>44512</c:v>
                </c:pt>
                <c:pt idx="199">
                  <c:v>44513</c:v>
                </c:pt>
                <c:pt idx="200">
                  <c:v>44514</c:v>
                </c:pt>
                <c:pt idx="201">
                  <c:v>44515</c:v>
                </c:pt>
                <c:pt idx="202">
                  <c:v>44516</c:v>
                </c:pt>
                <c:pt idx="203">
                  <c:v>44517</c:v>
                </c:pt>
                <c:pt idx="204">
                  <c:v>44518</c:v>
                </c:pt>
                <c:pt idx="205">
                  <c:v>44519</c:v>
                </c:pt>
                <c:pt idx="206">
                  <c:v>44520</c:v>
                </c:pt>
                <c:pt idx="207">
                  <c:v>44521</c:v>
                </c:pt>
                <c:pt idx="208">
                  <c:v>44522</c:v>
                </c:pt>
                <c:pt idx="209">
                  <c:v>44523</c:v>
                </c:pt>
                <c:pt idx="210">
                  <c:v>44524</c:v>
                </c:pt>
              </c:numCache>
            </c:numRef>
          </c:cat>
          <c:val>
            <c:numRef>
              <c:f>'ARIMA develop'!$D$3:$D$213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-2</c:v>
                </c:pt>
                <c:pt idx="8">
                  <c:v>-1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3</c:v>
                </c:pt>
                <c:pt idx="14">
                  <c:v>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-1</c:v>
                </c:pt>
                <c:pt idx="21">
                  <c:v>0</c:v>
                </c:pt>
                <c:pt idx="22">
                  <c:v>2</c:v>
                </c:pt>
                <c:pt idx="23">
                  <c:v>-3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36</c:v>
                </c:pt>
                <c:pt idx="30">
                  <c:v>-36</c:v>
                </c:pt>
                <c:pt idx="31">
                  <c:v>0</c:v>
                </c:pt>
                <c:pt idx="32">
                  <c:v>51</c:v>
                </c:pt>
                <c:pt idx="33">
                  <c:v>-51</c:v>
                </c:pt>
                <c:pt idx="34">
                  <c:v>0</c:v>
                </c:pt>
                <c:pt idx="35">
                  <c:v>33</c:v>
                </c:pt>
                <c:pt idx="36">
                  <c:v>-33</c:v>
                </c:pt>
                <c:pt idx="37">
                  <c:v>36</c:v>
                </c:pt>
                <c:pt idx="38">
                  <c:v>-5</c:v>
                </c:pt>
                <c:pt idx="39">
                  <c:v>2</c:v>
                </c:pt>
                <c:pt idx="40">
                  <c:v>36</c:v>
                </c:pt>
                <c:pt idx="41">
                  <c:v>-30</c:v>
                </c:pt>
                <c:pt idx="42">
                  <c:v>27</c:v>
                </c:pt>
                <c:pt idx="43">
                  <c:v>-21</c:v>
                </c:pt>
                <c:pt idx="44">
                  <c:v>13</c:v>
                </c:pt>
                <c:pt idx="45">
                  <c:v>26</c:v>
                </c:pt>
                <c:pt idx="46">
                  <c:v>11</c:v>
                </c:pt>
                <c:pt idx="47">
                  <c:v>-9</c:v>
                </c:pt>
                <c:pt idx="48">
                  <c:v>4</c:v>
                </c:pt>
                <c:pt idx="49">
                  <c:v>10</c:v>
                </c:pt>
                <c:pt idx="50">
                  <c:v>37</c:v>
                </c:pt>
                <c:pt idx="51">
                  <c:v>12</c:v>
                </c:pt>
                <c:pt idx="52">
                  <c:v>-14</c:v>
                </c:pt>
                <c:pt idx="53">
                  <c:v>2</c:v>
                </c:pt>
                <c:pt idx="54">
                  <c:v>29</c:v>
                </c:pt>
                <c:pt idx="55">
                  <c:v>-30</c:v>
                </c:pt>
                <c:pt idx="56">
                  <c:v>16</c:v>
                </c:pt>
                <c:pt idx="57">
                  <c:v>55</c:v>
                </c:pt>
                <c:pt idx="58">
                  <c:v>-42</c:v>
                </c:pt>
                <c:pt idx="59">
                  <c:v>456</c:v>
                </c:pt>
                <c:pt idx="60">
                  <c:v>-391</c:v>
                </c:pt>
                <c:pt idx="61">
                  <c:v>-12</c:v>
                </c:pt>
                <c:pt idx="62">
                  <c:v>-63</c:v>
                </c:pt>
                <c:pt idx="63">
                  <c:v>94</c:v>
                </c:pt>
                <c:pt idx="64">
                  <c:v>215</c:v>
                </c:pt>
                <c:pt idx="65">
                  <c:v>-45</c:v>
                </c:pt>
                <c:pt idx="66">
                  <c:v>295</c:v>
                </c:pt>
                <c:pt idx="67">
                  <c:v>-115</c:v>
                </c:pt>
                <c:pt idx="68">
                  <c:v>42</c:v>
                </c:pt>
                <c:pt idx="69">
                  <c:v>69</c:v>
                </c:pt>
                <c:pt idx="70">
                  <c:v>56</c:v>
                </c:pt>
                <c:pt idx="71">
                  <c:v>149</c:v>
                </c:pt>
                <c:pt idx="72">
                  <c:v>314</c:v>
                </c:pt>
                <c:pt idx="73">
                  <c:v>91</c:v>
                </c:pt>
                <c:pt idx="74">
                  <c:v>77</c:v>
                </c:pt>
                <c:pt idx="75">
                  <c:v>367</c:v>
                </c:pt>
                <c:pt idx="76">
                  <c:v>38</c:v>
                </c:pt>
                <c:pt idx="77">
                  <c:v>427</c:v>
                </c:pt>
                <c:pt idx="78">
                  <c:v>462</c:v>
                </c:pt>
                <c:pt idx="79">
                  <c:v>-255</c:v>
                </c:pt>
                <c:pt idx="80">
                  <c:v>984</c:v>
                </c:pt>
                <c:pt idx="81">
                  <c:v>663</c:v>
                </c:pt>
                <c:pt idx="82">
                  <c:v>-1009</c:v>
                </c:pt>
                <c:pt idx="83">
                  <c:v>248</c:v>
                </c:pt>
                <c:pt idx="84">
                  <c:v>236</c:v>
                </c:pt>
                <c:pt idx="85">
                  <c:v>915</c:v>
                </c:pt>
                <c:pt idx="86">
                  <c:v>440</c:v>
                </c:pt>
                <c:pt idx="87">
                  <c:v>633</c:v>
                </c:pt>
                <c:pt idx="88">
                  <c:v>-991</c:v>
                </c:pt>
                <c:pt idx="89">
                  <c:v>1542</c:v>
                </c:pt>
                <c:pt idx="90">
                  <c:v>525</c:v>
                </c:pt>
                <c:pt idx="91">
                  <c:v>-2577</c:v>
                </c:pt>
                <c:pt idx="92">
                  <c:v>-1168</c:v>
                </c:pt>
                <c:pt idx="93">
                  <c:v>-1336</c:v>
                </c:pt>
                <c:pt idx="94">
                  <c:v>2639</c:v>
                </c:pt>
                <c:pt idx="95">
                  <c:v>-2155</c:v>
                </c:pt>
                <c:pt idx="96">
                  <c:v>242</c:v>
                </c:pt>
                <c:pt idx="97">
                  <c:v>1904</c:v>
                </c:pt>
                <c:pt idx="98">
                  <c:v>-3235</c:v>
                </c:pt>
                <c:pt idx="99">
                  <c:v>2950</c:v>
                </c:pt>
                <c:pt idx="100">
                  <c:v>-2389</c:v>
                </c:pt>
                <c:pt idx="101">
                  <c:v>4330</c:v>
                </c:pt>
                <c:pt idx="102">
                  <c:v>-3825</c:v>
                </c:pt>
                <c:pt idx="103">
                  <c:v>2130</c:v>
                </c:pt>
                <c:pt idx="104">
                  <c:v>-2666</c:v>
                </c:pt>
                <c:pt idx="105">
                  <c:v>2143</c:v>
                </c:pt>
                <c:pt idx="106">
                  <c:v>-2088</c:v>
                </c:pt>
                <c:pt idx="107">
                  <c:v>1878</c:v>
                </c:pt>
                <c:pt idx="108">
                  <c:v>1516</c:v>
                </c:pt>
                <c:pt idx="109">
                  <c:v>-940</c:v>
                </c:pt>
                <c:pt idx="110">
                  <c:v>-1120</c:v>
                </c:pt>
                <c:pt idx="111">
                  <c:v>885</c:v>
                </c:pt>
                <c:pt idx="112">
                  <c:v>133</c:v>
                </c:pt>
                <c:pt idx="113">
                  <c:v>434</c:v>
                </c:pt>
                <c:pt idx="114">
                  <c:v>-803</c:v>
                </c:pt>
                <c:pt idx="115">
                  <c:v>580</c:v>
                </c:pt>
                <c:pt idx="116">
                  <c:v>109</c:v>
                </c:pt>
                <c:pt idx="117">
                  <c:v>58</c:v>
                </c:pt>
                <c:pt idx="118">
                  <c:v>383</c:v>
                </c:pt>
                <c:pt idx="119">
                  <c:v>660</c:v>
                </c:pt>
                <c:pt idx="120">
                  <c:v>-1360</c:v>
                </c:pt>
                <c:pt idx="121">
                  <c:v>1449</c:v>
                </c:pt>
                <c:pt idx="122">
                  <c:v>98</c:v>
                </c:pt>
                <c:pt idx="123">
                  <c:v>-524</c:v>
                </c:pt>
                <c:pt idx="124">
                  <c:v>932</c:v>
                </c:pt>
                <c:pt idx="125">
                  <c:v>-445</c:v>
                </c:pt>
                <c:pt idx="126">
                  <c:v>-76</c:v>
                </c:pt>
                <c:pt idx="127">
                  <c:v>596</c:v>
                </c:pt>
                <c:pt idx="128">
                  <c:v>2546</c:v>
                </c:pt>
                <c:pt idx="129">
                  <c:v>-4406</c:v>
                </c:pt>
                <c:pt idx="130">
                  <c:v>2122</c:v>
                </c:pt>
                <c:pt idx="131">
                  <c:v>896</c:v>
                </c:pt>
                <c:pt idx="132">
                  <c:v>188</c:v>
                </c:pt>
                <c:pt idx="133">
                  <c:v>-2</c:v>
                </c:pt>
                <c:pt idx="134">
                  <c:v>-1759</c:v>
                </c:pt>
                <c:pt idx="135">
                  <c:v>1990</c:v>
                </c:pt>
                <c:pt idx="136">
                  <c:v>-1910</c:v>
                </c:pt>
                <c:pt idx="137">
                  <c:v>529</c:v>
                </c:pt>
                <c:pt idx="138">
                  <c:v>-712</c:v>
                </c:pt>
                <c:pt idx="139">
                  <c:v>869</c:v>
                </c:pt>
                <c:pt idx="140">
                  <c:v>-1014</c:v>
                </c:pt>
                <c:pt idx="141">
                  <c:v>434</c:v>
                </c:pt>
                <c:pt idx="142">
                  <c:v>237</c:v>
                </c:pt>
                <c:pt idx="143">
                  <c:v>-1699</c:v>
                </c:pt>
                <c:pt idx="144">
                  <c:v>1223</c:v>
                </c:pt>
                <c:pt idx="145">
                  <c:v>-324</c:v>
                </c:pt>
                <c:pt idx="146">
                  <c:v>1349</c:v>
                </c:pt>
                <c:pt idx="147">
                  <c:v>-1086</c:v>
                </c:pt>
                <c:pt idx="148">
                  <c:v>-383</c:v>
                </c:pt>
                <c:pt idx="149">
                  <c:v>-1266</c:v>
                </c:pt>
                <c:pt idx="150">
                  <c:v>264</c:v>
                </c:pt>
                <c:pt idx="151">
                  <c:v>1071</c:v>
                </c:pt>
                <c:pt idx="152">
                  <c:v>-987</c:v>
                </c:pt>
                <c:pt idx="153">
                  <c:v>-385</c:v>
                </c:pt>
                <c:pt idx="154">
                  <c:v>950</c:v>
                </c:pt>
                <c:pt idx="155">
                  <c:v>-327</c:v>
                </c:pt>
                <c:pt idx="156">
                  <c:v>-702</c:v>
                </c:pt>
                <c:pt idx="157">
                  <c:v>-947</c:v>
                </c:pt>
                <c:pt idx="158">
                  <c:v>-262</c:v>
                </c:pt>
                <c:pt idx="159">
                  <c:v>29</c:v>
                </c:pt>
                <c:pt idx="160">
                  <c:v>-999</c:v>
                </c:pt>
                <c:pt idx="161">
                  <c:v>469</c:v>
                </c:pt>
                <c:pt idx="162">
                  <c:v>-230</c:v>
                </c:pt>
                <c:pt idx="163">
                  <c:v>485</c:v>
                </c:pt>
                <c:pt idx="164">
                  <c:v>-553</c:v>
                </c:pt>
                <c:pt idx="165">
                  <c:v>-595</c:v>
                </c:pt>
                <c:pt idx="166">
                  <c:v>460</c:v>
                </c:pt>
                <c:pt idx="167">
                  <c:v>-509</c:v>
                </c:pt>
                <c:pt idx="168">
                  <c:v>144</c:v>
                </c:pt>
                <c:pt idx="169">
                  <c:v>-253</c:v>
                </c:pt>
                <c:pt idx="170">
                  <c:v>222</c:v>
                </c:pt>
                <c:pt idx="171">
                  <c:v>-341</c:v>
                </c:pt>
                <c:pt idx="172">
                  <c:v>269</c:v>
                </c:pt>
                <c:pt idx="173">
                  <c:v>-91</c:v>
                </c:pt>
                <c:pt idx="174">
                  <c:v>-61</c:v>
                </c:pt>
                <c:pt idx="175">
                  <c:v>440</c:v>
                </c:pt>
                <c:pt idx="176">
                  <c:v>-92</c:v>
                </c:pt>
                <c:pt idx="177">
                  <c:v>-50</c:v>
                </c:pt>
                <c:pt idx="178">
                  <c:v>-456</c:v>
                </c:pt>
                <c:pt idx="179">
                  <c:v>217</c:v>
                </c:pt>
                <c:pt idx="180">
                  <c:v>3</c:v>
                </c:pt>
                <c:pt idx="181">
                  <c:v>-186</c:v>
                </c:pt>
                <c:pt idx="182">
                  <c:v>357</c:v>
                </c:pt>
                <c:pt idx="183">
                  <c:v>-71</c:v>
                </c:pt>
                <c:pt idx="184">
                  <c:v>-92</c:v>
                </c:pt>
                <c:pt idx="185">
                  <c:v>65</c:v>
                </c:pt>
                <c:pt idx="186">
                  <c:v>-1</c:v>
                </c:pt>
                <c:pt idx="187">
                  <c:v>-114</c:v>
                </c:pt>
                <c:pt idx="188">
                  <c:v>-245</c:v>
                </c:pt>
                <c:pt idx="189">
                  <c:v>303</c:v>
                </c:pt>
                <c:pt idx="190">
                  <c:v>-4</c:v>
                </c:pt>
                <c:pt idx="191">
                  <c:v>-69</c:v>
                </c:pt>
                <c:pt idx="192">
                  <c:v>74</c:v>
                </c:pt>
                <c:pt idx="193">
                  <c:v>23</c:v>
                </c:pt>
                <c:pt idx="194">
                  <c:v>307</c:v>
                </c:pt>
                <c:pt idx="195">
                  <c:v>-40</c:v>
                </c:pt>
                <c:pt idx="196">
                  <c:v>138</c:v>
                </c:pt>
                <c:pt idx="197">
                  <c:v>-229</c:v>
                </c:pt>
                <c:pt idx="198">
                  <c:v>203</c:v>
                </c:pt>
                <c:pt idx="199">
                  <c:v>-148</c:v>
                </c:pt>
                <c:pt idx="200">
                  <c:v>-255</c:v>
                </c:pt>
                <c:pt idx="201">
                  <c:v>180</c:v>
                </c:pt>
                <c:pt idx="202">
                  <c:v>18</c:v>
                </c:pt>
                <c:pt idx="203">
                  <c:v>154</c:v>
                </c:pt>
                <c:pt idx="204">
                  <c:v>272</c:v>
                </c:pt>
                <c:pt idx="205">
                  <c:v>-270</c:v>
                </c:pt>
                <c:pt idx="206">
                  <c:v>-293</c:v>
                </c:pt>
                <c:pt idx="207">
                  <c:v>219</c:v>
                </c:pt>
                <c:pt idx="208">
                  <c:v>282</c:v>
                </c:pt>
                <c:pt idx="209">
                  <c:v>-343</c:v>
                </c:pt>
                <c:pt idx="21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8-4EAC-803C-D9CADC42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dropLines>
        <c:smooth val="0"/>
        <c:axId val="597626576"/>
        <c:axId val="597632816"/>
      </c:lineChart>
      <c:dateAx>
        <c:axId val="5976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436178949030066"/>
              <c:y val="0.91123456517417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7632816"/>
        <c:crosses val="autoZero"/>
        <c:auto val="1"/>
        <c:lblOffset val="100"/>
        <c:baseTimeUnit val="days"/>
      </c:dateAx>
      <c:valAx>
        <c:axId val="59763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</c:rich>
          </c:tx>
          <c:layout>
            <c:manualLayout>
              <c:xMode val="edge"/>
              <c:yMode val="edge"/>
              <c:x val="1.6894198860240191E-2"/>
              <c:y val="0.409668441165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7626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accent2">
                    <a:lumMod val="75000"/>
                  </a:schemeClr>
                </a:solidFill>
              </a:rPr>
              <a:t>HCMC social distancing policy associated with control measures chart</a:t>
            </a:r>
          </a:p>
        </c:rich>
      </c:tx>
      <c:layout>
        <c:manualLayout>
          <c:xMode val="edge"/>
          <c:yMode val="edge"/>
          <c:x val="0.15634650052877003"/>
          <c:y val="2.4767850160357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9.835297727658783E-2"/>
          <c:y val="0.14736773334191433"/>
          <c:w val="0.86830796150481204"/>
          <c:h val="0.59984599707217268"/>
        </c:manualLayout>
      </c:layout>
      <c:lineChart>
        <c:grouping val="standard"/>
        <c:varyColors val="0"/>
        <c:ser>
          <c:idx val="0"/>
          <c:order val="0"/>
          <c:tx>
            <c:strRef>
              <c:f>pearson!$D$1</c:f>
              <c:strCache>
                <c:ptCount val="1"/>
                <c:pt idx="0">
                  <c:v>Social Distancing (m)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pearson!$A$2:$A$212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pearson!$D$2:$D$212</c:f>
              <c:numCache>
                <c:formatCode>0</c:formatCode>
                <c:ptCount val="2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0-4E5B-92A4-2192E3026E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77390944"/>
        <c:axId val="1977392608"/>
      </c:lineChart>
      <c:dateAx>
        <c:axId val="19773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7644313210848643"/>
              <c:y val="0.9251655351027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7392608"/>
        <c:crosses val="autoZero"/>
        <c:auto val="1"/>
        <c:lblOffset val="100"/>
        <c:baseTimeUnit val="days"/>
      </c:dateAx>
      <c:valAx>
        <c:axId val="197739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meter</a:t>
                </a:r>
              </a:p>
            </c:rich>
          </c:tx>
          <c:layout>
            <c:manualLayout>
              <c:xMode val="edge"/>
              <c:yMode val="edge"/>
              <c:x val="4.9744930109206081E-3"/>
              <c:y val="0.3547757258166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97739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accent2">
                    <a:lumMod val="75000"/>
                  </a:schemeClr>
                </a:solidFill>
              </a:rPr>
              <a:t>HCMC gathering policy associated with control measures chart</a:t>
            </a:r>
          </a:p>
          <a:p>
            <a:pPr>
              <a:defRPr sz="1100" b="1">
                <a:solidFill>
                  <a:schemeClr val="accent2">
                    <a:lumMod val="75000"/>
                  </a:schemeClr>
                </a:solidFill>
              </a:defRPr>
            </a:pPr>
            <a:endParaRPr lang="en-US" sz="1100" b="1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2594298855560659"/>
          <c:y val="0.22333376753916112"/>
          <c:w val="0.84338964610914113"/>
          <c:h val="0.55506766806195795"/>
        </c:manualLayout>
      </c:layout>
      <c:lineChart>
        <c:grouping val="standard"/>
        <c:varyColors val="0"/>
        <c:ser>
          <c:idx val="0"/>
          <c:order val="0"/>
          <c:tx>
            <c:strRef>
              <c:f>pearson!$E$1</c:f>
              <c:strCache>
                <c:ptCount val="1"/>
                <c:pt idx="0">
                  <c:v>Gathering (people)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pearson!$A$2:$A$212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pearson!$E$2:$E$212</c:f>
              <c:numCache>
                <c:formatCode>0</c:formatCode>
                <c:ptCount val="2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D-41AD-92AC-F9A8990C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dropLines>
        <c:smooth val="0"/>
        <c:axId val="1864826720"/>
        <c:axId val="1864825888"/>
      </c:lineChart>
      <c:dateAx>
        <c:axId val="18648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36319621998931"/>
              <c:y val="0.9168515281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4825888"/>
        <c:crosses val="autoZero"/>
        <c:auto val="1"/>
        <c:lblOffset val="100"/>
        <c:baseTimeUnit val="days"/>
      </c:dateAx>
      <c:valAx>
        <c:axId val="186482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people</a:t>
                </a:r>
              </a:p>
            </c:rich>
          </c:tx>
          <c:layout>
            <c:manualLayout>
              <c:xMode val="edge"/>
              <c:yMode val="edge"/>
              <c:x val="8.3638269096142515E-3"/>
              <c:y val="0.3687480031392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4826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accent2">
                    <a:lumMod val="75000"/>
                  </a:schemeClr>
                </a:solidFill>
              </a:rPr>
              <a:t> HCMC daily vaccination rate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8.057937336896652E-2"/>
          <c:y val="0.15119221861973137"/>
          <c:w val="0.79264595920058134"/>
          <c:h val="0.6198833290823228"/>
        </c:manualLayout>
      </c:layout>
      <c:lineChart>
        <c:grouping val="standard"/>
        <c:varyColors val="0"/>
        <c:ser>
          <c:idx val="0"/>
          <c:order val="0"/>
          <c:tx>
            <c:strRef>
              <c:f>pearson!$C$1</c:f>
              <c:strCache>
                <c:ptCount val="1"/>
                <c:pt idx="0">
                  <c:v> Vaccination rate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pearson!$A$2:$A$212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pearson!$C$2:$C$212</c:f>
              <c:numCache>
                <c:formatCode>0</c:formatCode>
                <c:ptCount val="211"/>
                <c:pt idx="0">
                  <c:v>8047</c:v>
                </c:pt>
                <c:pt idx="1">
                  <c:v>7995.7619047619037</c:v>
                </c:pt>
                <c:pt idx="2">
                  <c:v>8043.3809523809514</c:v>
                </c:pt>
                <c:pt idx="3">
                  <c:v>7520.4285714285697</c:v>
                </c:pt>
                <c:pt idx="4">
                  <c:v>7054.8571428571404</c:v>
                </c:pt>
                <c:pt idx="5">
                  <c:v>6443.1428571428551</c:v>
                </c:pt>
                <c:pt idx="6">
                  <c:v>3423.5714285714266</c:v>
                </c:pt>
                <c:pt idx="7">
                  <c:v>1041.999999999998</c:v>
                </c:pt>
                <c:pt idx="8">
                  <c:v>1556.3809523809509</c:v>
                </c:pt>
                <c:pt idx="9">
                  <c:v>1734.4761904761897</c:v>
                </c:pt>
                <c:pt idx="10">
                  <c:v>1906.1428571428571</c:v>
                </c:pt>
                <c:pt idx="11">
                  <c:v>1982.2857142857142</c:v>
                </c:pt>
                <c:pt idx="12">
                  <c:v>1963.5714285714287</c:v>
                </c:pt>
                <c:pt idx="13">
                  <c:v>1787</c:v>
                </c:pt>
                <c:pt idx="14">
                  <c:v>1437.1428571428571</c:v>
                </c:pt>
                <c:pt idx="15">
                  <c:v>970.57142857142856</c:v>
                </c:pt>
                <c:pt idx="16">
                  <c:v>822</c:v>
                </c:pt>
                <c:pt idx="17">
                  <c:v>831.42857142857144</c:v>
                </c:pt>
                <c:pt idx="18">
                  <c:v>899</c:v>
                </c:pt>
                <c:pt idx="19">
                  <c:v>902.84453781512696</c:v>
                </c:pt>
                <c:pt idx="20">
                  <c:v>871.26050420168235</c:v>
                </c:pt>
                <c:pt idx="21">
                  <c:v>632.39075630252353</c:v>
                </c:pt>
                <c:pt idx="22">
                  <c:v>566.09243697479337</c:v>
                </c:pt>
                <c:pt idx="23">
                  <c:v>518.07983193277744</c:v>
                </c:pt>
                <c:pt idx="24">
                  <c:v>318.49579831933289</c:v>
                </c:pt>
                <c:pt idx="25">
                  <c:v>203.91176470588834</c:v>
                </c:pt>
                <c:pt idx="26">
                  <c:v>203.91176470588834</c:v>
                </c:pt>
                <c:pt idx="27">
                  <c:v>203.91176470588834</c:v>
                </c:pt>
                <c:pt idx="28">
                  <c:v>203.91176470588834</c:v>
                </c:pt>
                <c:pt idx="29">
                  <c:v>203.91176470588834</c:v>
                </c:pt>
                <c:pt idx="30">
                  <c:v>203.91176470588834</c:v>
                </c:pt>
                <c:pt idx="31">
                  <c:v>203.91176470588834</c:v>
                </c:pt>
                <c:pt idx="32">
                  <c:v>203.91176470588834</c:v>
                </c:pt>
                <c:pt idx="33">
                  <c:v>203.91176470588834</c:v>
                </c:pt>
                <c:pt idx="34">
                  <c:v>203.91176470588834</c:v>
                </c:pt>
                <c:pt idx="35">
                  <c:v>203.91176470588834</c:v>
                </c:pt>
                <c:pt idx="36">
                  <c:v>203.91176470588834</c:v>
                </c:pt>
                <c:pt idx="37">
                  <c:v>203.91176470588834</c:v>
                </c:pt>
                <c:pt idx="38">
                  <c:v>203.91176470588834</c:v>
                </c:pt>
                <c:pt idx="39">
                  <c:v>203.91176470588834</c:v>
                </c:pt>
                <c:pt idx="40">
                  <c:v>203.91176470588834</c:v>
                </c:pt>
                <c:pt idx="41">
                  <c:v>203.91176470588834</c:v>
                </c:pt>
                <c:pt idx="42">
                  <c:v>203.91176470588834</c:v>
                </c:pt>
                <c:pt idx="43">
                  <c:v>203.91176470588834</c:v>
                </c:pt>
                <c:pt idx="44">
                  <c:v>203.91176470588834</c:v>
                </c:pt>
                <c:pt idx="45">
                  <c:v>203.91176470588834</c:v>
                </c:pt>
                <c:pt idx="46">
                  <c:v>203.91176470588834</c:v>
                </c:pt>
                <c:pt idx="47">
                  <c:v>203.91176470588834</c:v>
                </c:pt>
                <c:pt idx="48">
                  <c:v>203.91176470588834</c:v>
                </c:pt>
                <c:pt idx="49">
                  <c:v>203.91176470588834</c:v>
                </c:pt>
                <c:pt idx="50">
                  <c:v>203.91176470588834</c:v>
                </c:pt>
                <c:pt idx="51">
                  <c:v>203.91176470588834</c:v>
                </c:pt>
                <c:pt idx="52">
                  <c:v>203.91176470585924</c:v>
                </c:pt>
                <c:pt idx="53">
                  <c:v>3263.6862745097792</c:v>
                </c:pt>
                <c:pt idx="54">
                  <c:v>6323.4607843136992</c:v>
                </c:pt>
                <c:pt idx="55">
                  <c:v>9383.2352941176214</c:v>
                </c:pt>
                <c:pt idx="56">
                  <c:v>9354.1050420167794</c:v>
                </c:pt>
                <c:pt idx="57">
                  <c:v>26753.546218487369</c:v>
                </c:pt>
                <c:pt idx="58">
                  <c:v>51428.701680672239</c:v>
                </c:pt>
                <c:pt idx="59">
                  <c:v>73261.928571428565</c:v>
                </c:pt>
                <c:pt idx="60">
                  <c:v>92035.380952380961</c:v>
                </c:pt>
                <c:pt idx="61">
                  <c:v>88946.476190476198</c:v>
                </c:pt>
                <c:pt idx="62">
                  <c:v>95002.5</c:v>
                </c:pt>
                <c:pt idx="63">
                  <c:v>104147.42857142857</c:v>
                </c:pt>
                <c:pt idx="64">
                  <c:v>86718.857142857145</c:v>
                </c:pt>
                <c:pt idx="65">
                  <c:v>62020.010989010982</c:v>
                </c:pt>
                <c:pt idx="66">
                  <c:v>40163.093406593391</c:v>
                </c:pt>
                <c:pt idx="67">
                  <c:v>18306.175824175803</c:v>
                </c:pt>
                <c:pt idx="68">
                  <c:v>18311.615384615357</c:v>
                </c:pt>
                <c:pt idx="69">
                  <c:v>9172.1263736263409</c:v>
                </c:pt>
                <c:pt idx="70">
                  <c:v>32.637362637324259</c:v>
                </c:pt>
                <c:pt idx="71">
                  <c:v>38.076923076878302</c:v>
                </c:pt>
                <c:pt idx="72">
                  <c:v>38.076923076878302</c:v>
                </c:pt>
                <c:pt idx="73">
                  <c:v>38.076923076878302</c:v>
                </c:pt>
                <c:pt idx="74">
                  <c:v>38.076923076878302</c:v>
                </c:pt>
                <c:pt idx="75">
                  <c:v>38.076923076878302</c:v>
                </c:pt>
                <c:pt idx="76">
                  <c:v>38.076923076878302</c:v>
                </c:pt>
                <c:pt idx="77">
                  <c:v>38.076923076878302</c:v>
                </c:pt>
                <c:pt idx="78">
                  <c:v>32.637362637324202</c:v>
                </c:pt>
                <c:pt idx="79">
                  <c:v>115.76923076919878</c:v>
                </c:pt>
                <c:pt idx="80">
                  <c:v>198.90109890107331</c:v>
                </c:pt>
                <c:pt idx="81">
                  <c:v>282.03296703294785</c:v>
                </c:pt>
                <c:pt idx="82">
                  <c:v>365.16483516482236</c:v>
                </c:pt>
                <c:pt idx="83">
                  <c:v>448.29670329669688</c:v>
                </c:pt>
                <c:pt idx="84">
                  <c:v>323.59890109888511</c:v>
                </c:pt>
                <c:pt idx="85">
                  <c:v>354.77335164833806</c:v>
                </c:pt>
                <c:pt idx="86">
                  <c:v>3100</c:v>
                </c:pt>
                <c:pt idx="87">
                  <c:v>3029</c:v>
                </c:pt>
                <c:pt idx="88">
                  <c:v>16548</c:v>
                </c:pt>
                <c:pt idx="89">
                  <c:v>36094</c:v>
                </c:pt>
                <c:pt idx="90">
                  <c:v>47676</c:v>
                </c:pt>
                <c:pt idx="91">
                  <c:v>39624</c:v>
                </c:pt>
                <c:pt idx="92">
                  <c:v>69211</c:v>
                </c:pt>
                <c:pt idx="93">
                  <c:v>72646</c:v>
                </c:pt>
                <c:pt idx="94">
                  <c:v>78122</c:v>
                </c:pt>
                <c:pt idx="95">
                  <c:v>82709</c:v>
                </c:pt>
                <c:pt idx="96">
                  <c:v>95500</c:v>
                </c:pt>
                <c:pt idx="97">
                  <c:v>118121</c:v>
                </c:pt>
                <c:pt idx="98">
                  <c:v>111878</c:v>
                </c:pt>
                <c:pt idx="99">
                  <c:v>145576</c:v>
                </c:pt>
                <c:pt idx="100">
                  <c:v>671513</c:v>
                </c:pt>
                <c:pt idx="101">
                  <c:v>250243</c:v>
                </c:pt>
                <c:pt idx="102">
                  <c:v>210791.42857142858</c:v>
                </c:pt>
                <c:pt idx="103">
                  <c:v>319530.85714285716</c:v>
                </c:pt>
                <c:pt idx="104">
                  <c:v>363019.57142857148</c:v>
                </c:pt>
                <c:pt idx="105">
                  <c:v>285896.21428571432</c:v>
                </c:pt>
                <c:pt idx="106">
                  <c:v>294809.51785714284</c:v>
                </c:pt>
                <c:pt idx="107">
                  <c:v>315814.04017857148</c:v>
                </c:pt>
                <c:pt idx="108">
                  <c:v>93993</c:v>
                </c:pt>
                <c:pt idx="109">
                  <c:v>85608</c:v>
                </c:pt>
                <c:pt idx="110">
                  <c:v>197556.13950892858</c:v>
                </c:pt>
                <c:pt idx="111">
                  <c:v>194435</c:v>
                </c:pt>
                <c:pt idx="112">
                  <c:v>126157</c:v>
                </c:pt>
                <c:pt idx="113">
                  <c:v>150939.03487723216</c:v>
                </c:pt>
                <c:pt idx="114">
                  <c:v>142223</c:v>
                </c:pt>
                <c:pt idx="115">
                  <c:v>116523</c:v>
                </c:pt>
                <c:pt idx="116">
                  <c:v>95516</c:v>
                </c:pt>
                <c:pt idx="117">
                  <c:v>61574</c:v>
                </c:pt>
                <c:pt idx="118">
                  <c:v>58817</c:v>
                </c:pt>
                <c:pt idx="119">
                  <c:v>37746</c:v>
                </c:pt>
                <c:pt idx="120">
                  <c:v>57982</c:v>
                </c:pt>
                <c:pt idx="121">
                  <c:v>51886</c:v>
                </c:pt>
                <c:pt idx="122">
                  <c:v>62349</c:v>
                </c:pt>
                <c:pt idx="123">
                  <c:v>39546</c:v>
                </c:pt>
                <c:pt idx="124">
                  <c:v>32603</c:v>
                </c:pt>
                <c:pt idx="125">
                  <c:v>30109</c:v>
                </c:pt>
                <c:pt idx="126">
                  <c:v>40212</c:v>
                </c:pt>
                <c:pt idx="127">
                  <c:v>33448</c:v>
                </c:pt>
                <c:pt idx="128">
                  <c:v>63341</c:v>
                </c:pt>
                <c:pt idx="129">
                  <c:v>41777.5</c:v>
                </c:pt>
                <c:pt idx="130">
                  <c:v>74998</c:v>
                </c:pt>
                <c:pt idx="131">
                  <c:v>87683</c:v>
                </c:pt>
                <c:pt idx="132">
                  <c:v>105781</c:v>
                </c:pt>
                <c:pt idx="133">
                  <c:v>161286</c:v>
                </c:pt>
                <c:pt idx="134">
                  <c:v>163548</c:v>
                </c:pt>
                <c:pt idx="135">
                  <c:v>188124</c:v>
                </c:pt>
                <c:pt idx="136">
                  <c:v>183699</c:v>
                </c:pt>
                <c:pt idx="137">
                  <c:v>214347</c:v>
                </c:pt>
                <c:pt idx="138">
                  <c:v>246332</c:v>
                </c:pt>
                <c:pt idx="139">
                  <c:v>174090</c:v>
                </c:pt>
                <c:pt idx="140">
                  <c:v>177119</c:v>
                </c:pt>
                <c:pt idx="141">
                  <c:v>148671</c:v>
                </c:pt>
                <c:pt idx="142">
                  <c:v>119193</c:v>
                </c:pt>
                <c:pt idx="143">
                  <c:v>78163</c:v>
                </c:pt>
                <c:pt idx="144">
                  <c:v>86403</c:v>
                </c:pt>
                <c:pt idx="145">
                  <c:v>87666</c:v>
                </c:pt>
                <c:pt idx="146">
                  <c:v>30117</c:v>
                </c:pt>
                <c:pt idx="147">
                  <c:v>71836</c:v>
                </c:pt>
                <c:pt idx="148">
                  <c:v>513377</c:v>
                </c:pt>
                <c:pt idx="149">
                  <c:v>67566</c:v>
                </c:pt>
                <c:pt idx="150">
                  <c:v>70899</c:v>
                </c:pt>
                <c:pt idx="151">
                  <c:v>134617</c:v>
                </c:pt>
                <c:pt idx="152">
                  <c:v>237373</c:v>
                </c:pt>
                <c:pt idx="153">
                  <c:v>205951</c:v>
                </c:pt>
                <c:pt idx="154">
                  <c:v>132884</c:v>
                </c:pt>
                <c:pt idx="155">
                  <c:v>325696</c:v>
                </c:pt>
                <c:pt idx="156">
                  <c:v>251678</c:v>
                </c:pt>
                <c:pt idx="157">
                  <c:v>157600</c:v>
                </c:pt>
                <c:pt idx="158">
                  <c:v>269621</c:v>
                </c:pt>
                <c:pt idx="159">
                  <c:v>233471</c:v>
                </c:pt>
                <c:pt idx="160">
                  <c:v>283448</c:v>
                </c:pt>
                <c:pt idx="161">
                  <c:v>225322</c:v>
                </c:pt>
                <c:pt idx="162">
                  <c:v>173924</c:v>
                </c:pt>
                <c:pt idx="163">
                  <c:v>128966</c:v>
                </c:pt>
                <c:pt idx="164">
                  <c:v>102080</c:v>
                </c:pt>
                <c:pt idx="165">
                  <c:v>80506</c:v>
                </c:pt>
                <c:pt idx="166">
                  <c:v>96186</c:v>
                </c:pt>
                <c:pt idx="167">
                  <c:v>56731</c:v>
                </c:pt>
                <c:pt idx="168">
                  <c:v>61728</c:v>
                </c:pt>
                <c:pt idx="169">
                  <c:v>51325</c:v>
                </c:pt>
                <c:pt idx="170">
                  <c:v>36191</c:v>
                </c:pt>
                <c:pt idx="171">
                  <c:v>38759</c:v>
                </c:pt>
                <c:pt idx="172">
                  <c:v>27716</c:v>
                </c:pt>
                <c:pt idx="173">
                  <c:v>25451</c:v>
                </c:pt>
                <c:pt idx="174">
                  <c:v>15216</c:v>
                </c:pt>
                <c:pt idx="175">
                  <c:v>23537</c:v>
                </c:pt>
                <c:pt idx="176">
                  <c:v>20939</c:v>
                </c:pt>
                <c:pt idx="177">
                  <c:v>21193</c:v>
                </c:pt>
                <c:pt idx="178">
                  <c:v>20223</c:v>
                </c:pt>
                <c:pt idx="179">
                  <c:v>23382</c:v>
                </c:pt>
                <c:pt idx="180">
                  <c:v>16741</c:v>
                </c:pt>
                <c:pt idx="181">
                  <c:v>7922</c:v>
                </c:pt>
                <c:pt idx="182">
                  <c:v>23506</c:v>
                </c:pt>
                <c:pt idx="183">
                  <c:v>23035</c:v>
                </c:pt>
                <c:pt idx="184">
                  <c:v>36248</c:v>
                </c:pt>
                <c:pt idx="185">
                  <c:v>68863</c:v>
                </c:pt>
                <c:pt idx="186">
                  <c:v>68996</c:v>
                </c:pt>
                <c:pt idx="187">
                  <c:v>32272</c:v>
                </c:pt>
                <c:pt idx="188">
                  <c:v>27746</c:v>
                </c:pt>
                <c:pt idx="189">
                  <c:v>29989</c:v>
                </c:pt>
                <c:pt idx="190">
                  <c:v>26850</c:v>
                </c:pt>
                <c:pt idx="191">
                  <c:v>24424</c:v>
                </c:pt>
                <c:pt idx="192">
                  <c:v>21597</c:v>
                </c:pt>
                <c:pt idx="193">
                  <c:v>26246</c:v>
                </c:pt>
                <c:pt idx="194">
                  <c:v>13830</c:v>
                </c:pt>
                <c:pt idx="195">
                  <c:v>5541</c:v>
                </c:pt>
                <c:pt idx="196">
                  <c:v>20730</c:v>
                </c:pt>
                <c:pt idx="197">
                  <c:v>15926</c:v>
                </c:pt>
                <c:pt idx="198">
                  <c:v>16297</c:v>
                </c:pt>
                <c:pt idx="199">
                  <c:v>46409</c:v>
                </c:pt>
                <c:pt idx="200">
                  <c:v>24596</c:v>
                </c:pt>
                <c:pt idx="201">
                  <c:v>13743</c:v>
                </c:pt>
                <c:pt idx="202">
                  <c:v>4920</c:v>
                </c:pt>
                <c:pt idx="203">
                  <c:v>18184</c:v>
                </c:pt>
                <c:pt idx="204">
                  <c:v>39113</c:v>
                </c:pt>
                <c:pt idx="205">
                  <c:v>18451</c:v>
                </c:pt>
                <c:pt idx="206">
                  <c:v>19214</c:v>
                </c:pt>
                <c:pt idx="207">
                  <c:v>18328</c:v>
                </c:pt>
                <c:pt idx="208">
                  <c:v>9881</c:v>
                </c:pt>
                <c:pt idx="209">
                  <c:v>7754</c:v>
                </c:pt>
                <c:pt idx="210">
                  <c:v>23182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2-48F2-9F47-59F60BA4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dropLines>
        <c:smooth val="0"/>
        <c:axId val="1862309664"/>
        <c:axId val="1862305504"/>
      </c:lineChart>
      <c:dateAx>
        <c:axId val="18623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99386358769483"/>
              <c:y val="0.91736164248743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2305504"/>
        <c:crosses val="autoZero"/>
        <c:auto val="1"/>
        <c:lblOffset val="100"/>
        <c:baseTimeUnit val="days"/>
      </c:dateAx>
      <c:valAx>
        <c:axId val="186230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dose</a:t>
                </a:r>
              </a:p>
            </c:rich>
          </c:tx>
          <c:layout>
            <c:manualLayout>
              <c:xMode val="edge"/>
              <c:yMode val="edge"/>
              <c:x val="8.3594575523859346E-3"/>
              <c:y val="0.350360885034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62309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17623755292926E-2"/>
          <c:y val="0.14666666666666667"/>
          <c:w val="0.88949657272398019"/>
          <c:h val="0.58341534981181242"/>
        </c:manualLayout>
      </c:layout>
      <c:lineChart>
        <c:grouping val="stacked"/>
        <c:varyColors val="0"/>
        <c:ser>
          <c:idx val="0"/>
          <c:order val="0"/>
          <c:tx>
            <c:v>confirmed case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forecast!$A$4:$A$214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forecast!$B$4:$B$214</c:f>
              <c:numCache>
                <c:formatCode>0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51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36</c:v>
                </c:pt>
                <c:pt idx="39">
                  <c:v>31</c:v>
                </c:pt>
                <c:pt idx="40">
                  <c:v>33</c:v>
                </c:pt>
                <c:pt idx="41">
                  <c:v>69</c:v>
                </c:pt>
                <c:pt idx="42">
                  <c:v>39</c:v>
                </c:pt>
                <c:pt idx="43">
                  <c:v>66</c:v>
                </c:pt>
                <c:pt idx="44">
                  <c:v>45</c:v>
                </c:pt>
                <c:pt idx="45">
                  <c:v>58</c:v>
                </c:pt>
                <c:pt idx="46">
                  <c:v>84</c:v>
                </c:pt>
                <c:pt idx="47">
                  <c:v>95</c:v>
                </c:pt>
                <c:pt idx="48">
                  <c:v>86</c:v>
                </c:pt>
                <c:pt idx="49">
                  <c:v>90</c:v>
                </c:pt>
                <c:pt idx="50">
                  <c:v>100</c:v>
                </c:pt>
                <c:pt idx="51">
                  <c:v>137</c:v>
                </c:pt>
                <c:pt idx="52">
                  <c:v>149</c:v>
                </c:pt>
                <c:pt idx="53">
                  <c:v>135</c:v>
                </c:pt>
                <c:pt idx="54">
                  <c:v>137</c:v>
                </c:pt>
                <c:pt idx="55">
                  <c:v>166</c:v>
                </c:pt>
                <c:pt idx="56">
                  <c:v>136</c:v>
                </c:pt>
                <c:pt idx="57">
                  <c:v>152</c:v>
                </c:pt>
                <c:pt idx="58">
                  <c:v>207</c:v>
                </c:pt>
                <c:pt idx="59">
                  <c:v>165</c:v>
                </c:pt>
                <c:pt idx="60">
                  <c:v>621</c:v>
                </c:pt>
                <c:pt idx="61">
                  <c:v>230</c:v>
                </c:pt>
                <c:pt idx="62">
                  <c:v>218</c:v>
                </c:pt>
                <c:pt idx="63">
                  <c:v>155</c:v>
                </c:pt>
                <c:pt idx="64">
                  <c:v>249</c:v>
                </c:pt>
                <c:pt idx="65">
                  <c:v>464</c:v>
                </c:pt>
                <c:pt idx="66">
                  <c:v>419</c:v>
                </c:pt>
                <c:pt idx="67">
                  <c:v>714</c:v>
                </c:pt>
                <c:pt idx="68">
                  <c:v>599</c:v>
                </c:pt>
                <c:pt idx="69">
                  <c:v>641</c:v>
                </c:pt>
                <c:pt idx="70">
                  <c:v>710</c:v>
                </c:pt>
                <c:pt idx="71">
                  <c:v>766</c:v>
                </c:pt>
                <c:pt idx="72">
                  <c:v>915</c:v>
                </c:pt>
                <c:pt idx="73">
                  <c:v>1229</c:v>
                </c:pt>
                <c:pt idx="74">
                  <c:v>1320</c:v>
                </c:pt>
                <c:pt idx="75">
                  <c:v>1397</c:v>
                </c:pt>
                <c:pt idx="76">
                  <c:v>1764</c:v>
                </c:pt>
                <c:pt idx="77">
                  <c:v>1802</c:v>
                </c:pt>
                <c:pt idx="78">
                  <c:v>2229</c:v>
                </c:pt>
                <c:pt idx="79">
                  <c:v>2691</c:v>
                </c:pt>
                <c:pt idx="80">
                  <c:v>2436</c:v>
                </c:pt>
                <c:pt idx="81">
                  <c:v>3420</c:v>
                </c:pt>
                <c:pt idx="82">
                  <c:v>4083</c:v>
                </c:pt>
                <c:pt idx="83">
                  <c:v>3074</c:v>
                </c:pt>
                <c:pt idx="84">
                  <c:v>3322</c:v>
                </c:pt>
                <c:pt idx="85">
                  <c:v>3558</c:v>
                </c:pt>
                <c:pt idx="86">
                  <c:v>4473</c:v>
                </c:pt>
                <c:pt idx="87">
                  <c:v>4913</c:v>
                </c:pt>
                <c:pt idx="88">
                  <c:v>5546</c:v>
                </c:pt>
                <c:pt idx="89">
                  <c:v>4555</c:v>
                </c:pt>
                <c:pt idx="90">
                  <c:v>6097</c:v>
                </c:pt>
                <c:pt idx="91">
                  <c:v>6622</c:v>
                </c:pt>
                <c:pt idx="92">
                  <c:v>4045</c:v>
                </c:pt>
                <c:pt idx="93">
                  <c:v>2877</c:v>
                </c:pt>
                <c:pt idx="94">
                  <c:v>1541</c:v>
                </c:pt>
                <c:pt idx="95">
                  <c:v>4180</c:v>
                </c:pt>
                <c:pt idx="96">
                  <c:v>2025</c:v>
                </c:pt>
                <c:pt idx="97">
                  <c:v>2267</c:v>
                </c:pt>
                <c:pt idx="98">
                  <c:v>4171</c:v>
                </c:pt>
                <c:pt idx="99">
                  <c:v>936</c:v>
                </c:pt>
                <c:pt idx="100">
                  <c:v>3886</c:v>
                </c:pt>
                <c:pt idx="101">
                  <c:v>1497</c:v>
                </c:pt>
                <c:pt idx="102">
                  <c:v>5827</c:v>
                </c:pt>
                <c:pt idx="103">
                  <c:v>2002</c:v>
                </c:pt>
                <c:pt idx="104">
                  <c:v>4132</c:v>
                </c:pt>
                <c:pt idx="105">
                  <c:v>1466</c:v>
                </c:pt>
                <c:pt idx="106">
                  <c:v>3609</c:v>
                </c:pt>
                <c:pt idx="107">
                  <c:v>1521</c:v>
                </c:pt>
                <c:pt idx="108">
                  <c:v>3399</c:v>
                </c:pt>
                <c:pt idx="109">
                  <c:v>4915</c:v>
                </c:pt>
                <c:pt idx="110">
                  <c:v>3975</c:v>
                </c:pt>
                <c:pt idx="111">
                  <c:v>2855</c:v>
                </c:pt>
                <c:pt idx="112">
                  <c:v>3740</c:v>
                </c:pt>
                <c:pt idx="113">
                  <c:v>3873</c:v>
                </c:pt>
                <c:pt idx="114">
                  <c:v>4307</c:v>
                </c:pt>
                <c:pt idx="115">
                  <c:v>3504</c:v>
                </c:pt>
                <c:pt idx="116">
                  <c:v>4084</c:v>
                </c:pt>
                <c:pt idx="117">
                  <c:v>4193</c:v>
                </c:pt>
                <c:pt idx="118">
                  <c:v>4251</c:v>
                </c:pt>
                <c:pt idx="119">
                  <c:v>4634</c:v>
                </c:pt>
                <c:pt idx="120">
                  <c:v>5294</c:v>
                </c:pt>
                <c:pt idx="121">
                  <c:v>3934</c:v>
                </c:pt>
                <c:pt idx="122">
                  <c:v>5383</c:v>
                </c:pt>
                <c:pt idx="123">
                  <c:v>5481</c:v>
                </c:pt>
                <c:pt idx="124">
                  <c:v>4957</c:v>
                </c:pt>
                <c:pt idx="125">
                  <c:v>5889</c:v>
                </c:pt>
                <c:pt idx="126">
                  <c:v>5444</c:v>
                </c:pt>
                <c:pt idx="127">
                  <c:v>5368</c:v>
                </c:pt>
                <c:pt idx="128">
                  <c:v>5964</c:v>
                </c:pt>
                <c:pt idx="129">
                  <c:v>8510</c:v>
                </c:pt>
                <c:pt idx="130">
                  <c:v>4104</c:v>
                </c:pt>
                <c:pt idx="131">
                  <c:v>6226</c:v>
                </c:pt>
                <c:pt idx="132">
                  <c:v>7122</c:v>
                </c:pt>
                <c:pt idx="133">
                  <c:v>7310</c:v>
                </c:pt>
                <c:pt idx="134">
                  <c:v>7308</c:v>
                </c:pt>
                <c:pt idx="135">
                  <c:v>5549</c:v>
                </c:pt>
                <c:pt idx="136">
                  <c:v>7539</c:v>
                </c:pt>
                <c:pt idx="137">
                  <c:v>5629</c:v>
                </c:pt>
                <c:pt idx="138">
                  <c:v>6158</c:v>
                </c:pt>
                <c:pt idx="139">
                  <c:v>5446</c:v>
                </c:pt>
                <c:pt idx="140">
                  <c:v>6315</c:v>
                </c:pt>
                <c:pt idx="141">
                  <c:v>5301</c:v>
                </c:pt>
                <c:pt idx="142">
                  <c:v>5735</c:v>
                </c:pt>
                <c:pt idx="143">
                  <c:v>5972</c:v>
                </c:pt>
                <c:pt idx="144">
                  <c:v>4273</c:v>
                </c:pt>
                <c:pt idx="145">
                  <c:v>5496</c:v>
                </c:pt>
                <c:pt idx="146">
                  <c:v>5172</c:v>
                </c:pt>
                <c:pt idx="147">
                  <c:v>6521</c:v>
                </c:pt>
                <c:pt idx="148">
                  <c:v>5435</c:v>
                </c:pt>
                <c:pt idx="149">
                  <c:v>5052</c:v>
                </c:pt>
                <c:pt idx="150">
                  <c:v>3786</c:v>
                </c:pt>
                <c:pt idx="151">
                  <c:v>4050</c:v>
                </c:pt>
                <c:pt idx="152">
                  <c:v>5121</c:v>
                </c:pt>
                <c:pt idx="153">
                  <c:v>4134</c:v>
                </c:pt>
                <c:pt idx="154">
                  <c:v>3749</c:v>
                </c:pt>
                <c:pt idx="155">
                  <c:v>4699</c:v>
                </c:pt>
                <c:pt idx="156">
                  <c:v>4372</c:v>
                </c:pt>
                <c:pt idx="157">
                  <c:v>3670</c:v>
                </c:pt>
                <c:pt idx="158">
                  <c:v>2723</c:v>
                </c:pt>
                <c:pt idx="159">
                  <c:v>2461</c:v>
                </c:pt>
                <c:pt idx="160">
                  <c:v>2490</c:v>
                </c:pt>
                <c:pt idx="161">
                  <c:v>1491</c:v>
                </c:pt>
                <c:pt idx="162">
                  <c:v>1960</c:v>
                </c:pt>
                <c:pt idx="163">
                  <c:v>1730</c:v>
                </c:pt>
                <c:pt idx="164">
                  <c:v>2215</c:v>
                </c:pt>
                <c:pt idx="165">
                  <c:v>1662</c:v>
                </c:pt>
                <c:pt idx="166">
                  <c:v>1067</c:v>
                </c:pt>
                <c:pt idx="167">
                  <c:v>1527</c:v>
                </c:pt>
                <c:pt idx="168">
                  <c:v>1018</c:v>
                </c:pt>
                <c:pt idx="169">
                  <c:v>1162</c:v>
                </c:pt>
                <c:pt idx="170">
                  <c:v>909</c:v>
                </c:pt>
                <c:pt idx="171">
                  <c:v>1131</c:v>
                </c:pt>
                <c:pt idx="172">
                  <c:v>790</c:v>
                </c:pt>
                <c:pt idx="173">
                  <c:v>1059</c:v>
                </c:pt>
                <c:pt idx="174">
                  <c:v>968</c:v>
                </c:pt>
                <c:pt idx="175">
                  <c:v>907</c:v>
                </c:pt>
                <c:pt idx="176">
                  <c:v>1347</c:v>
                </c:pt>
                <c:pt idx="177">
                  <c:v>1255</c:v>
                </c:pt>
                <c:pt idx="178">
                  <c:v>1205</c:v>
                </c:pt>
                <c:pt idx="179">
                  <c:v>749</c:v>
                </c:pt>
                <c:pt idx="180">
                  <c:v>966</c:v>
                </c:pt>
                <c:pt idx="181">
                  <c:v>969</c:v>
                </c:pt>
                <c:pt idx="182">
                  <c:v>783</c:v>
                </c:pt>
                <c:pt idx="183">
                  <c:v>1140</c:v>
                </c:pt>
                <c:pt idx="184">
                  <c:v>1069</c:v>
                </c:pt>
                <c:pt idx="185">
                  <c:v>977</c:v>
                </c:pt>
                <c:pt idx="186">
                  <c:v>1042</c:v>
                </c:pt>
                <c:pt idx="187">
                  <c:v>1041</c:v>
                </c:pt>
                <c:pt idx="188">
                  <c:v>927</c:v>
                </c:pt>
                <c:pt idx="189">
                  <c:v>682</c:v>
                </c:pt>
                <c:pt idx="190">
                  <c:v>985</c:v>
                </c:pt>
                <c:pt idx="191">
                  <c:v>981</c:v>
                </c:pt>
                <c:pt idx="192">
                  <c:v>912</c:v>
                </c:pt>
                <c:pt idx="193">
                  <c:v>986</c:v>
                </c:pt>
                <c:pt idx="194">
                  <c:v>1009</c:v>
                </c:pt>
                <c:pt idx="195">
                  <c:v>1316</c:v>
                </c:pt>
                <c:pt idx="196">
                  <c:v>1276</c:v>
                </c:pt>
                <c:pt idx="197">
                  <c:v>1414</c:v>
                </c:pt>
                <c:pt idx="198">
                  <c:v>1185</c:v>
                </c:pt>
                <c:pt idx="199">
                  <c:v>1388</c:v>
                </c:pt>
                <c:pt idx="200">
                  <c:v>1240</c:v>
                </c:pt>
                <c:pt idx="201">
                  <c:v>985</c:v>
                </c:pt>
                <c:pt idx="202">
                  <c:v>1165</c:v>
                </c:pt>
                <c:pt idx="203">
                  <c:v>1183</c:v>
                </c:pt>
                <c:pt idx="204">
                  <c:v>1337</c:v>
                </c:pt>
                <c:pt idx="205">
                  <c:v>1609</c:v>
                </c:pt>
                <c:pt idx="206">
                  <c:v>1339</c:v>
                </c:pt>
                <c:pt idx="207" formatCode="General">
                  <c:v>1046</c:v>
                </c:pt>
                <c:pt idx="208" formatCode="General">
                  <c:v>1265</c:v>
                </c:pt>
                <c:pt idx="209" formatCode="General">
                  <c:v>1547</c:v>
                </c:pt>
                <c:pt idx="210" formatCode="General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9F6-8D81-2D90B331034C}"/>
            </c:ext>
          </c:extLst>
        </c:ser>
        <c:ser>
          <c:idx val="3"/>
          <c:order val="1"/>
          <c:tx>
            <c:v>actual case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forecast!$A$4:$A$214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forecast!$C$4:$C$214</c:f>
              <c:numCache>
                <c:formatCode>0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144</c:v>
                </c:pt>
                <c:pt idx="31">
                  <c:v>0</c:v>
                </c:pt>
                <c:pt idx="32">
                  <c:v>0</c:v>
                </c:pt>
                <c:pt idx="33">
                  <c:v>204</c:v>
                </c:pt>
                <c:pt idx="34">
                  <c:v>0</c:v>
                </c:pt>
                <c:pt idx="35">
                  <c:v>0</c:v>
                </c:pt>
                <c:pt idx="36">
                  <c:v>132</c:v>
                </c:pt>
                <c:pt idx="37">
                  <c:v>0</c:v>
                </c:pt>
                <c:pt idx="38">
                  <c:v>144</c:v>
                </c:pt>
                <c:pt idx="39">
                  <c:v>124</c:v>
                </c:pt>
                <c:pt idx="40">
                  <c:v>132</c:v>
                </c:pt>
                <c:pt idx="41">
                  <c:v>276</c:v>
                </c:pt>
                <c:pt idx="42">
                  <c:v>156</c:v>
                </c:pt>
                <c:pt idx="43">
                  <c:v>264</c:v>
                </c:pt>
                <c:pt idx="44">
                  <c:v>180</c:v>
                </c:pt>
                <c:pt idx="45">
                  <c:v>232</c:v>
                </c:pt>
                <c:pt idx="46">
                  <c:v>336</c:v>
                </c:pt>
                <c:pt idx="47">
                  <c:v>380</c:v>
                </c:pt>
                <c:pt idx="48">
                  <c:v>344</c:v>
                </c:pt>
                <c:pt idx="49">
                  <c:v>360</c:v>
                </c:pt>
                <c:pt idx="50">
                  <c:v>400</c:v>
                </c:pt>
                <c:pt idx="51">
                  <c:v>548</c:v>
                </c:pt>
                <c:pt idx="52">
                  <c:v>596</c:v>
                </c:pt>
                <c:pt idx="53">
                  <c:v>540</c:v>
                </c:pt>
                <c:pt idx="54">
                  <c:v>548</c:v>
                </c:pt>
                <c:pt idx="55">
                  <c:v>664</c:v>
                </c:pt>
                <c:pt idx="56">
                  <c:v>544</c:v>
                </c:pt>
                <c:pt idx="57">
                  <c:v>608</c:v>
                </c:pt>
                <c:pt idx="58">
                  <c:v>828</c:v>
                </c:pt>
                <c:pt idx="59">
                  <c:v>660</c:v>
                </c:pt>
                <c:pt idx="60">
                  <c:v>2484</c:v>
                </c:pt>
                <c:pt idx="61">
                  <c:v>920</c:v>
                </c:pt>
                <c:pt idx="62">
                  <c:v>872</c:v>
                </c:pt>
                <c:pt idx="63">
                  <c:v>620</c:v>
                </c:pt>
                <c:pt idx="64">
                  <c:v>996</c:v>
                </c:pt>
                <c:pt idx="65">
                  <c:v>1856</c:v>
                </c:pt>
                <c:pt idx="66">
                  <c:v>1676</c:v>
                </c:pt>
                <c:pt idx="67">
                  <c:v>2856</c:v>
                </c:pt>
                <c:pt idx="68">
                  <c:v>2396</c:v>
                </c:pt>
                <c:pt idx="69">
                  <c:v>2564</c:v>
                </c:pt>
                <c:pt idx="70">
                  <c:v>2840</c:v>
                </c:pt>
                <c:pt idx="71">
                  <c:v>3064</c:v>
                </c:pt>
                <c:pt idx="72">
                  <c:v>3660</c:v>
                </c:pt>
                <c:pt idx="73">
                  <c:v>4916</c:v>
                </c:pt>
                <c:pt idx="74">
                  <c:v>5280</c:v>
                </c:pt>
                <c:pt idx="75">
                  <c:v>5588</c:v>
                </c:pt>
                <c:pt idx="76">
                  <c:v>7056</c:v>
                </c:pt>
                <c:pt idx="77">
                  <c:v>7208</c:v>
                </c:pt>
                <c:pt idx="78">
                  <c:v>8916</c:v>
                </c:pt>
                <c:pt idx="79">
                  <c:v>10764</c:v>
                </c:pt>
                <c:pt idx="80">
                  <c:v>9744</c:v>
                </c:pt>
                <c:pt idx="81">
                  <c:v>13680</c:v>
                </c:pt>
                <c:pt idx="82">
                  <c:v>16332</c:v>
                </c:pt>
                <c:pt idx="83">
                  <c:v>12296</c:v>
                </c:pt>
                <c:pt idx="84">
                  <c:v>13288</c:v>
                </c:pt>
                <c:pt idx="85">
                  <c:v>14232</c:v>
                </c:pt>
                <c:pt idx="86">
                  <c:v>17892</c:v>
                </c:pt>
                <c:pt idx="87">
                  <c:v>19652</c:v>
                </c:pt>
                <c:pt idx="88">
                  <c:v>22184</c:v>
                </c:pt>
                <c:pt idx="89">
                  <c:v>18220</c:v>
                </c:pt>
                <c:pt idx="90">
                  <c:v>24388</c:v>
                </c:pt>
                <c:pt idx="91">
                  <c:v>26488</c:v>
                </c:pt>
                <c:pt idx="92">
                  <c:v>16180</c:v>
                </c:pt>
                <c:pt idx="93">
                  <c:v>11508</c:v>
                </c:pt>
                <c:pt idx="94">
                  <c:v>6164</c:v>
                </c:pt>
                <c:pt idx="95">
                  <c:v>16720</c:v>
                </c:pt>
                <c:pt idx="96">
                  <c:v>8100</c:v>
                </c:pt>
                <c:pt idx="97">
                  <c:v>9068</c:v>
                </c:pt>
                <c:pt idx="98">
                  <c:v>16684</c:v>
                </c:pt>
                <c:pt idx="99">
                  <c:v>3744</c:v>
                </c:pt>
                <c:pt idx="100">
                  <c:v>15544</c:v>
                </c:pt>
                <c:pt idx="101">
                  <c:v>5988</c:v>
                </c:pt>
                <c:pt idx="102">
                  <c:v>23308</c:v>
                </c:pt>
                <c:pt idx="103">
                  <c:v>8008</c:v>
                </c:pt>
                <c:pt idx="104">
                  <c:v>16528</c:v>
                </c:pt>
                <c:pt idx="105">
                  <c:v>5864</c:v>
                </c:pt>
                <c:pt idx="106">
                  <c:v>14436</c:v>
                </c:pt>
                <c:pt idx="107">
                  <c:v>6084</c:v>
                </c:pt>
                <c:pt idx="108">
                  <c:v>13596</c:v>
                </c:pt>
                <c:pt idx="109">
                  <c:v>19660</c:v>
                </c:pt>
                <c:pt idx="110">
                  <c:v>15900</c:v>
                </c:pt>
                <c:pt idx="111">
                  <c:v>11420</c:v>
                </c:pt>
                <c:pt idx="112">
                  <c:v>14960</c:v>
                </c:pt>
                <c:pt idx="113">
                  <c:v>15492</c:v>
                </c:pt>
                <c:pt idx="114">
                  <c:v>17228</c:v>
                </c:pt>
                <c:pt idx="115">
                  <c:v>14016</c:v>
                </c:pt>
                <c:pt idx="116">
                  <c:v>16336</c:v>
                </c:pt>
                <c:pt idx="117">
                  <c:v>16772</c:v>
                </c:pt>
                <c:pt idx="118">
                  <c:v>17004</c:v>
                </c:pt>
                <c:pt idx="119">
                  <c:v>18536</c:v>
                </c:pt>
                <c:pt idx="120">
                  <c:v>21176</c:v>
                </c:pt>
                <c:pt idx="121">
                  <c:v>15736</c:v>
                </c:pt>
                <c:pt idx="122">
                  <c:v>21532</c:v>
                </c:pt>
                <c:pt idx="123">
                  <c:v>21924</c:v>
                </c:pt>
                <c:pt idx="124">
                  <c:v>19828</c:v>
                </c:pt>
                <c:pt idx="125">
                  <c:v>23556</c:v>
                </c:pt>
                <c:pt idx="126">
                  <c:v>21776</c:v>
                </c:pt>
                <c:pt idx="127">
                  <c:v>21472</c:v>
                </c:pt>
                <c:pt idx="128">
                  <c:v>23856</c:v>
                </c:pt>
                <c:pt idx="129">
                  <c:v>34040</c:v>
                </c:pt>
                <c:pt idx="130">
                  <c:v>16416</c:v>
                </c:pt>
                <c:pt idx="131">
                  <c:v>24904</c:v>
                </c:pt>
                <c:pt idx="132">
                  <c:v>28488</c:v>
                </c:pt>
                <c:pt idx="133">
                  <c:v>29240</c:v>
                </c:pt>
                <c:pt idx="134">
                  <c:v>29232</c:v>
                </c:pt>
                <c:pt idx="135">
                  <c:v>22196</c:v>
                </c:pt>
                <c:pt idx="136">
                  <c:v>30156</c:v>
                </c:pt>
                <c:pt idx="137">
                  <c:v>22516</c:v>
                </c:pt>
                <c:pt idx="138">
                  <c:v>24632</c:v>
                </c:pt>
                <c:pt idx="139">
                  <c:v>21784</c:v>
                </c:pt>
                <c:pt idx="140">
                  <c:v>25260</c:v>
                </c:pt>
                <c:pt idx="141">
                  <c:v>21204</c:v>
                </c:pt>
                <c:pt idx="142">
                  <c:v>22940</c:v>
                </c:pt>
                <c:pt idx="143">
                  <c:v>23888</c:v>
                </c:pt>
                <c:pt idx="144">
                  <c:v>17092</c:v>
                </c:pt>
                <c:pt idx="145">
                  <c:v>21984</c:v>
                </c:pt>
                <c:pt idx="146">
                  <c:v>20688</c:v>
                </c:pt>
                <c:pt idx="147">
                  <c:v>26084</c:v>
                </c:pt>
                <c:pt idx="148">
                  <c:v>21740</c:v>
                </c:pt>
                <c:pt idx="149">
                  <c:v>20208</c:v>
                </c:pt>
                <c:pt idx="150">
                  <c:v>15144</c:v>
                </c:pt>
                <c:pt idx="151">
                  <c:v>16200</c:v>
                </c:pt>
                <c:pt idx="152">
                  <c:v>20484</c:v>
                </c:pt>
                <c:pt idx="153">
                  <c:v>16536</c:v>
                </c:pt>
                <c:pt idx="154">
                  <c:v>14996</c:v>
                </c:pt>
                <c:pt idx="155">
                  <c:v>18796</c:v>
                </c:pt>
                <c:pt idx="156">
                  <c:v>17488</c:v>
                </c:pt>
                <c:pt idx="157">
                  <c:v>14680</c:v>
                </c:pt>
                <c:pt idx="158">
                  <c:v>10892</c:v>
                </c:pt>
                <c:pt idx="159">
                  <c:v>9844</c:v>
                </c:pt>
                <c:pt idx="160">
                  <c:v>9960</c:v>
                </c:pt>
                <c:pt idx="161">
                  <c:v>5964</c:v>
                </c:pt>
                <c:pt idx="162">
                  <c:v>7840</c:v>
                </c:pt>
                <c:pt idx="163">
                  <c:v>6920</c:v>
                </c:pt>
                <c:pt idx="164">
                  <c:v>8860</c:v>
                </c:pt>
                <c:pt idx="165">
                  <c:v>6648</c:v>
                </c:pt>
                <c:pt idx="166">
                  <c:v>4268</c:v>
                </c:pt>
                <c:pt idx="167">
                  <c:v>6108</c:v>
                </c:pt>
                <c:pt idx="168">
                  <c:v>4072</c:v>
                </c:pt>
                <c:pt idx="169">
                  <c:v>4648</c:v>
                </c:pt>
                <c:pt idx="170">
                  <c:v>3636</c:v>
                </c:pt>
                <c:pt idx="171">
                  <c:v>4524</c:v>
                </c:pt>
                <c:pt idx="172">
                  <c:v>3160</c:v>
                </c:pt>
                <c:pt idx="173">
                  <c:v>4236</c:v>
                </c:pt>
                <c:pt idx="174">
                  <c:v>3872</c:v>
                </c:pt>
                <c:pt idx="175">
                  <c:v>3628</c:v>
                </c:pt>
                <c:pt idx="176">
                  <c:v>5388</c:v>
                </c:pt>
                <c:pt idx="177">
                  <c:v>5020</c:v>
                </c:pt>
                <c:pt idx="178">
                  <c:v>4820</c:v>
                </c:pt>
                <c:pt idx="179">
                  <c:v>2996</c:v>
                </c:pt>
                <c:pt idx="180">
                  <c:v>3864</c:v>
                </c:pt>
                <c:pt idx="181">
                  <c:v>3876</c:v>
                </c:pt>
                <c:pt idx="182">
                  <c:v>3132</c:v>
                </c:pt>
                <c:pt idx="183">
                  <c:v>4560</c:v>
                </c:pt>
                <c:pt idx="184">
                  <c:v>4276</c:v>
                </c:pt>
                <c:pt idx="185">
                  <c:v>3908</c:v>
                </c:pt>
                <c:pt idx="186">
                  <c:v>4168</c:v>
                </c:pt>
                <c:pt idx="187">
                  <c:v>4164</c:v>
                </c:pt>
                <c:pt idx="188">
                  <c:v>3708</c:v>
                </c:pt>
                <c:pt idx="189">
                  <c:v>2728</c:v>
                </c:pt>
                <c:pt idx="190">
                  <c:v>3940</c:v>
                </c:pt>
                <c:pt idx="191">
                  <c:v>3924</c:v>
                </c:pt>
                <c:pt idx="192">
                  <c:v>3648</c:v>
                </c:pt>
                <c:pt idx="193">
                  <c:v>3944</c:v>
                </c:pt>
                <c:pt idx="194">
                  <c:v>4036</c:v>
                </c:pt>
                <c:pt idx="195">
                  <c:v>5264</c:v>
                </c:pt>
                <c:pt idx="196">
                  <c:v>5104</c:v>
                </c:pt>
                <c:pt idx="197">
                  <c:v>5656</c:v>
                </c:pt>
                <c:pt idx="198">
                  <c:v>4740</c:v>
                </c:pt>
                <c:pt idx="199">
                  <c:v>5552</c:v>
                </c:pt>
                <c:pt idx="200">
                  <c:v>4960</c:v>
                </c:pt>
                <c:pt idx="201">
                  <c:v>3940</c:v>
                </c:pt>
                <c:pt idx="202">
                  <c:v>4660</c:v>
                </c:pt>
                <c:pt idx="203">
                  <c:v>4732</c:v>
                </c:pt>
                <c:pt idx="204">
                  <c:v>5348</c:v>
                </c:pt>
                <c:pt idx="205">
                  <c:v>6436</c:v>
                </c:pt>
                <c:pt idx="206">
                  <c:v>5356</c:v>
                </c:pt>
                <c:pt idx="207">
                  <c:v>4184</c:v>
                </c:pt>
                <c:pt idx="208">
                  <c:v>5060</c:v>
                </c:pt>
                <c:pt idx="209">
                  <c:v>6188</c:v>
                </c:pt>
                <c:pt idx="210">
                  <c:v>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F-4811-B081-ECCC230F7618}"/>
            </c:ext>
          </c:extLst>
        </c:ser>
        <c:ser>
          <c:idx val="1"/>
          <c:order val="2"/>
          <c:tx>
            <c:v>external included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forecast!$A$4:$A$214</c:f>
              <c:numCache>
                <c:formatCode>m/d/yyyy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forecast!$I$4:$I$214</c:f>
              <c:numCache>
                <c:formatCode>_(* #,##0_);_(* \(#,##0\);_(* "-"??_);_(@_)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5412.7220000000007</c:v>
                </c:pt>
                <c:pt idx="3">
                  <c:v>5378.5599238095238</c:v>
                </c:pt>
                <c:pt idx="4">
                  <c:v>5411.6551619047614</c:v>
                </c:pt>
                <c:pt idx="5">
                  <c:v>5060.1852571428562</c:v>
                </c:pt>
                <c:pt idx="6">
                  <c:v>4745.9005142857131</c:v>
                </c:pt>
                <c:pt idx="7">
                  <c:v>4331.7222857142842</c:v>
                </c:pt>
                <c:pt idx="8">
                  <c:v>2297.6483428571419</c:v>
                </c:pt>
                <c:pt idx="9">
                  <c:v>693.60719999999867</c:v>
                </c:pt>
                <c:pt idx="10">
                  <c:v>1038.6723619047609</c:v>
                </c:pt>
                <c:pt idx="11">
                  <c:v>1158.8257523809521</c:v>
                </c:pt>
                <c:pt idx="12">
                  <c:v>1275.4118857142857</c:v>
                </c:pt>
                <c:pt idx="13">
                  <c:v>1325.7321714285713</c:v>
                </c:pt>
                <c:pt idx="14">
                  <c:v>1312.4911428571431</c:v>
                </c:pt>
                <c:pt idx="15">
                  <c:v>1194.5992000000001</c:v>
                </c:pt>
                <c:pt idx="16">
                  <c:v>959.5610857142857</c:v>
                </c:pt>
                <c:pt idx="17">
                  <c:v>643.20914285714287</c:v>
                </c:pt>
                <c:pt idx="18">
                  <c:v>543.072</c:v>
                </c:pt>
                <c:pt idx="19">
                  <c:v>549.42685714285722</c:v>
                </c:pt>
                <c:pt idx="20">
                  <c:v>594.97</c:v>
                </c:pt>
                <c:pt idx="21">
                  <c:v>598.30601848739559</c:v>
                </c:pt>
                <c:pt idx="22">
                  <c:v>577.90117983193397</c:v>
                </c:pt>
                <c:pt idx="23">
                  <c:v>416.27536974790087</c:v>
                </c:pt>
                <c:pt idx="24">
                  <c:v>372.33510252101075</c:v>
                </c:pt>
                <c:pt idx="25">
                  <c:v>340.11260672269202</c:v>
                </c:pt>
                <c:pt idx="26">
                  <c:v>203.71016806723037</c:v>
                </c:pt>
                <c:pt idx="27">
                  <c:v>126.48052941176876</c:v>
                </c:pt>
                <c:pt idx="28">
                  <c:v>126.85292941176876</c:v>
                </c:pt>
                <c:pt idx="29">
                  <c:v>127.48052941176876</c:v>
                </c:pt>
                <c:pt idx="30">
                  <c:v>127.10812941176874</c:v>
                </c:pt>
                <c:pt idx="31">
                  <c:v>139.88692941176873</c:v>
                </c:pt>
                <c:pt idx="32">
                  <c:v>149.07412941176875</c:v>
                </c:pt>
                <c:pt idx="33">
                  <c:v>126.48052941176876</c:v>
                </c:pt>
                <c:pt idx="34">
                  <c:v>145.47292941176875</c:v>
                </c:pt>
                <c:pt idx="35">
                  <c:v>158.48812941176874</c:v>
                </c:pt>
                <c:pt idx="36">
                  <c:v>126.48052941176876</c:v>
                </c:pt>
                <c:pt idx="37">
                  <c:v>158.41972941176874</c:v>
                </c:pt>
                <c:pt idx="38">
                  <c:v>166.84132941176875</c:v>
                </c:pt>
                <c:pt idx="39">
                  <c:v>159.53692941176874</c:v>
                </c:pt>
                <c:pt idx="40">
                  <c:v>180.26852941176872</c:v>
                </c:pt>
                <c:pt idx="41">
                  <c:v>177.87532941176875</c:v>
                </c:pt>
                <c:pt idx="42">
                  <c:v>192.53692941176874</c:v>
                </c:pt>
                <c:pt idx="43">
                  <c:v>203.95852941176875</c:v>
                </c:pt>
                <c:pt idx="44">
                  <c:v>195.18532941176875</c:v>
                </c:pt>
                <c:pt idx="45">
                  <c:v>204.31012941176874</c:v>
                </c:pt>
                <c:pt idx="46">
                  <c:v>195.97172941176876</c:v>
                </c:pt>
                <c:pt idx="47">
                  <c:v>213.81292941176875</c:v>
                </c:pt>
                <c:pt idx="48">
                  <c:v>234.22692941176877</c:v>
                </c:pt>
                <c:pt idx="49">
                  <c:v>237.77892941176873</c:v>
                </c:pt>
                <c:pt idx="50">
                  <c:v>233.62012941176874</c:v>
                </c:pt>
                <c:pt idx="51">
                  <c:v>239.85452941176874</c:v>
                </c:pt>
                <c:pt idx="52">
                  <c:v>259.90932941176874</c:v>
                </c:pt>
                <c:pt idx="53">
                  <c:v>287.59932941176874</c:v>
                </c:pt>
                <c:pt idx="54">
                  <c:v>289.91692941174915</c:v>
                </c:pt>
                <c:pt idx="55">
                  <c:v>2346.8473490195911</c:v>
                </c:pt>
                <c:pt idx="56">
                  <c:v>4421.1901686274332</c:v>
                </c:pt>
                <c:pt idx="57">
                  <c:v>6490.5065882352774</c:v>
                </c:pt>
                <c:pt idx="58">
                  <c:v>6458.0031983193103</c:v>
                </c:pt>
                <c:pt idx="59">
                  <c:v>18215.750151260487</c:v>
                </c:pt>
                <c:pt idx="60">
                  <c:v>34865.682132773094</c:v>
                </c:pt>
                <c:pt idx="61">
                  <c:v>49724.732257142859</c:v>
                </c:pt>
                <c:pt idx="62">
                  <c:v>62518.616361904773</c:v>
                </c:pt>
                <c:pt idx="63">
                  <c:v>60186.834152380965</c:v>
                </c:pt>
                <c:pt idx="64">
                  <c:v>64237.601800000011</c:v>
                </c:pt>
                <c:pt idx="65">
                  <c:v>70396.750457142858</c:v>
                </c:pt>
                <c:pt idx="66">
                  <c:v>58788.953714285723</c:v>
                </c:pt>
                <c:pt idx="67">
                  <c:v>42260.107406593408</c:v>
                </c:pt>
                <c:pt idx="68">
                  <c:v>27610.160956043946</c:v>
                </c:pt>
                <c:pt idx="69">
                  <c:v>13020.914505494491</c:v>
                </c:pt>
                <c:pt idx="70">
                  <c:v>12968.047569230752</c:v>
                </c:pt>
                <c:pt idx="71">
                  <c:v>6860.0867758241538</c:v>
                </c:pt>
                <c:pt idx="72">
                  <c:v>764.22998241755658</c:v>
                </c:pt>
                <c:pt idx="73">
                  <c:v>858.52944615381602</c:v>
                </c:pt>
                <c:pt idx="74">
                  <c:v>1068.9754461538162</c:v>
                </c:pt>
                <c:pt idx="75">
                  <c:v>1301.272246153816</c:v>
                </c:pt>
                <c:pt idx="76">
                  <c:v>1387.058646153816</c:v>
                </c:pt>
                <c:pt idx="77">
                  <c:v>1572.0546461538158</c:v>
                </c:pt>
                <c:pt idx="78">
                  <c:v>1816.535046153816</c:v>
                </c:pt>
                <c:pt idx="79">
                  <c:v>1999.3986461538159</c:v>
                </c:pt>
                <c:pt idx="80">
                  <c:v>2435.7663824175565</c:v>
                </c:pt>
                <c:pt idx="81">
                  <c:v>2686.7864615384401</c:v>
                </c:pt>
                <c:pt idx="82">
                  <c:v>2949.2209406593238</c:v>
                </c:pt>
                <c:pt idx="83">
                  <c:v>3869.7114197802066</c:v>
                </c:pt>
                <c:pt idx="84">
                  <c:v>3966.0894989010903</c:v>
                </c:pt>
                <c:pt idx="85">
                  <c:v>3481.2271780219739</c:v>
                </c:pt>
                <c:pt idx="86">
                  <c:v>3640.7120593406485</c:v>
                </c:pt>
                <c:pt idx="87">
                  <c:v>4150.5832390109799</c:v>
                </c:pt>
                <c:pt idx="88">
                  <c:v>6738.9759999999987</c:v>
                </c:pt>
                <c:pt idx="89">
                  <c:v>7202.9951999999994</c:v>
                </c:pt>
                <c:pt idx="90">
                  <c:v>16343.0236</c:v>
                </c:pt>
                <c:pt idx="91">
                  <c:v>29469.316800000001</c:v>
                </c:pt>
                <c:pt idx="92">
                  <c:v>38438.854000000007</c:v>
                </c:pt>
                <c:pt idx="93">
                  <c:v>32381.621200000001</c:v>
                </c:pt>
                <c:pt idx="94">
                  <c:v>50270.970800000003</c:v>
                </c:pt>
                <c:pt idx="95">
                  <c:v>51355.597600000001</c:v>
                </c:pt>
                <c:pt idx="96">
                  <c:v>55190.711600000002</c:v>
                </c:pt>
                <c:pt idx="97">
                  <c:v>59136.063999999998</c:v>
                </c:pt>
                <c:pt idx="98">
                  <c:v>66494.840800000005</c:v>
                </c:pt>
                <c:pt idx="99">
                  <c:v>82602.323600000003</c:v>
                </c:pt>
                <c:pt idx="100">
                  <c:v>78384.77800000002</c:v>
                </c:pt>
                <c:pt idx="101">
                  <c:v>100165.524</c:v>
                </c:pt>
                <c:pt idx="102">
                  <c:v>455608.81840000005</c:v>
                </c:pt>
                <c:pt idx="103">
                  <c:v>171785.99400000001</c:v>
                </c:pt>
                <c:pt idx="104">
                  <c:v>146488.71285714288</c:v>
                </c:pt>
                <c:pt idx="105">
                  <c:v>218171.72971428573</c:v>
                </c:pt>
                <c:pt idx="106">
                  <c:v>247827.0927428572</c:v>
                </c:pt>
                <c:pt idx="107">
                  <c:v>194970.82162857146</c:v>
                </c:pt>
                <c:pt idx="108">
                  <c:v>201545.76383571429</c:v>
                </c:pt>
                <c:pt idx="109">
                  <c:v>215091.7502803572</c:v>
                </c:pt>
                <c:pt idx="110">
                  <c:v>67327.560400000002</c:v>
                </c:pt>
                <c:pt idx="111">
                  <c:v>62277.455999999998</c:v>
                </c:pt>
                <c:pt idx="112">
                  <c:v>136723.47002901789</c:v>
                </c:pt>
                <c:pt idx="113">
                  <c:v>134246.484</c:v>
                </c:pt>
                <c:pt idx="114">
                  <c:v>88832.067200000005</c:v>
                </c:pt>
                <c:pt idx="115">
                  <c:v>105780.25110725449</c:v>
                </c:pt>
                <c:pt idx="116">
                  <c:v>99878.98480000002</c:v>
                </c:pt>
                <c:pt idx="117">
                  <c:v>82269.214000000007</c:v>
                </c:pt>
                <c:pt idx="118">
                  <c:v>68515.095600000001</c:v>
                </c:pt>
                <c:pt idx="119">
                  <c:v>45728.195200000002</c:v>
                </c:pt>
                <c:pt idx="120">
                  <c:v>44051.461199999998</c:v>
                </c:pt>
                <c:pt idx="121">
                  <c:v>30335.762000000002</c:v>
                </c:pt>
                <c:pt idx="122">
                  <c:v>43882.578000000001</c:v>
                </c:pt>
                <c:pt idx="123">
                  <c:v>39459.945599999999</c:v>
                </c:pt>
                <c:pt idx="124">
                  <c:v>47457.895199999999</c:v>
                </c:pt>
                <c:pt idx="125">
                  <c:v>31955.040400000002</c:v>
                </c:pt>
                <c:pt idx="126">
                  <c:v>27293.672800000004</c:v>
                </c:pt>
                <c:pt idx="127">
                  <c:v>26031.922000000002</c:v>
                </c:pt>
                <c:pt idx="128">
                  <c:v>32533.759600000005</c:v>
                </c:pt>
                <c:pt idx="129">
                  <c:v>28149.076400000002</c:v>
                </c:pt>
                <c:pt idx="130">
                  <c:v>49619.138399999996</c:v>
                </c:pt>
                <c:pt idx="131">
                  <c:v>35042.414600000004</c:v>
                </c:pt>
                <c:pt idx="132">
                  <c:v>55458.058799999999</c:v>
                </c:pt>
                <c:pt idx="133">
                  <c:v>65673.186400000006</c:v>
                </c:pt>
                <c:pt idx="134">
                  <c:v>78503.579200000007</c:v>
                </c:pt>
                <c:pt idx="135">
                  <c:v>116031.19320000001</c:v>
                </c:pt>
                <c:pt idx="136">
                  <c:v>116899.47440000002</c:v>
                </c:pt>
                <c:pt idx="137">
                  <c:v>133100.826</c:v>
                </c:pt>
                <c:pt idx="138">
                  <c:v>130656.016</c:v>
                </c:pt>
                <c:pt idx="139">
                  <c:v>150311.05160000001</c:v>
                </c:pt>
                <c:pt idx="140">
                  <c:v>171935.79320000001</c:v>
                </c:pt>
                <c:pt idx="141">
                  <c:v>123121.44960000001</c:v>
                </c:pt>
                <c:pt idx="142">
                  <c:v>125330.76640000001</c:v>
                </c:pt>
                <c:pt idx="143">
                  <c:v>105682.0496</c:v>
                </c:pt>
                <c:pt idx="144">
                  <c:v>86174.514800000019</c:v>
                </c:pt>
                <c:pt idx="145">
                  <c:v>58036.328399999999</c:v>
                </c:pt>
                <c:pt idx="146">
                  <c:v>62979.241200000004</c:v>
                </c:pt>
                <c:pt idx="147">
                  <c:v>64477.400400000006</c:v>
                </c:pt>
                <c:pt idx="148">
                  <c:v>25988.399600000001</c:v>
                </c:pt>
                <c:pt idx="149">
                  <c:v>54549.211599999995</c:v>
                </c:pt>
                <c:pt idx="150">
                  <c:v>351323.64279999997</c:v>
                </c:pt>
                <c:pt idx="151">
                  <c:v>50135.1996</c:v>
                </c:pt>
                <c:pt idx="152">
                  <c:v>51685.4136</c:v>
                </c:pt>
                <c:pt idx="153">
                  <c:v>95195.872400000007</c:v>
                </c:pt>
                <c:pt idx="154">
                  <c:v>164758.0172</c:v>
                </c:pt>
                <c:pt idx="155">
                  <c:v>142816.77400000003</c:v>
                </c:pt>
                <c:pt idx="156">
                  <c:v>93681.77</c:v>
                </c:pt>
                <c:pt idx="157">
                  <c:v>224111.50320000004</c:v>
                </c:pt>
                <c:pt idx="158">
                  <c:v>173756.7212</c:v>
                </c:pt>
                <c:pt idx="159">
                  <c:v>109536.64120000001</c:v>
                </c:pt>
                <c:pt idx="160">
                  <c:v>184346.88919999998</c:v>
                </c:pt>
                <c:pt idx="161">
                  <c:v>159828.15759999998</c:v>
                </c:pt>
                <c:pt idx="162">
                  <c:v>193158.8284</c:v>
                </c:pt>
                <c:pt idx="163">
                  <c:v>153529.5876</c:v>
                </c:pt>
                <c:pt idx="164">
                  <c:v>119096.02800000002</c:v>
                </c:pt>
                <c:pt idx="165">
                  <c:v>88830.601999999999</c:v>
                </c:pt>
                <c:pt idx="166">
                  <c:v>70807.886799999993</c:v>
                </c:pt>
                <c:pt idx="167">
                  <c:v>55698.37</c:v>
                </c:pt>
                <c:pt idx="168">
                  <c:v>66064.572</c:v>
                </c:pt>
                <c:pt idx="169">
                  <c:v>39571.046400000007</c:v>
                </c:pt>
                <c:pt idx="170">
                  <c:v>42673.201600000008</c:v>
                </c:pt>
                <c:pt idx="171">
                  <c:v>35657.736800000006</c:v>
                </c:pt>
                <c:pt idx="172">
                  <c:v>25381.310799999999</c:v>
                </c:pt>
                <c:pt idx="173">
                  <c:v>27124.481599999999</c:v>
                </c:pt>
                <c:pt idx="174">
                  <c:v>19567.6636</c:v>
                </c:pt>
                <c:pt idx="175">
                  <c:v>18175.989600000001</c:v>
                </c:pt>
                <c:pt idx="176">
                  <c:v>11197.771600000002</c:v>
                </c:pt>
                <c:pt idx="177">
                  <c:v>16931.698000000004</c:v>
                </c:pt>
                <c:pt idx="178">
                  <c:v>15422.529200000001</c:v>
                </c:pt>
                <c:pt idx="179">
                  <c:v>15517.366000000002</c:v>
                </c:pt>
                <c:pt idx="180">
                  <c:v>14662.391600000003</c:v>
                </c:pt>
                <c:pt idx="181">
                  <c:v>16586.182800000002</c:v>
                </c:pt>
                <c:pt idx="182">
                  <c:v>12247.455200000002</c:v>
                </c:pt>
                <c:pt idx="183">
                  <c:v>6227.6496000000006</c:v>
                </c:pt>
                <c:pt idx="184">
                  <c:v>16747.478800000001</c:v>
                </c:pt>
                <c:pt idx="185">
                  <c:v>16627.637600000002</c:v>
                </c:pt>
                <c:pt idx="186">
                  <c:v>25461.835600000002</c:v>
                </c:pt>
                <c:pt idx="187">
                  <c:v>47403.356</c:v>
                </c:pt>
                <c:pt idx="188">
                  <c:v>47533.419600000001</c:v>
                </c:pt>
                <c:pt idx="189">
                  <c:v>22738.362400000002</c:v>
                </c:pt>
                <c:pt idx="190">
                  <c:v>19525.054</c:v>
                </c:pt>
                <c:pt idx="191">
                  <c:v>20995.911200000002</c:v>
                </c:pt>
                <c:pt idx="192">
                  <c:v>19068.898400000002</c:v>
                </c:pt>
                <c:pt idx="193">
                  <c:v>17405.5684</c:v>
                </c:pt>
                <c:pt idx="194">
                  <c:v>15484.4236</c:v>
                </c:pt>
                <c:pt idx="195">
                  <c:v>18672.857199999999</c:v>
                </c:pt>
                <c:pt idx="196">
                  <c:v>10433.2348</c:v>
                </c:pt>
                <c:pt idx="197">
                  <c:v>5024.2260000000006</c:v>
                </c:pt>
                <c:pt idx="198">
                  <c:v>15287.8992</c:v>
                </c:pt>
                <c:pt idx="199">
                  <c:v>12051.332399999999</c:v>
                </c:pt>
                <c:pt idx="200">
                  <c:v>12233.263199999999</c:v>
                </c:pt>
                <c:pt idx="201">
                  <c:v>32601.038800000002</c:v>
                </c:pt>
                <c:pt idx="202">
                  <c:v>17711.230000000003</c:v>
                </c:pt>
                <c:pt idx="203">
                  <c:v>10303.302000000001</c:v>
                </c:pt>
                <c:pt idx="204">
                  <c:v>4476.271200000001</c:v>
                </c:pt>
                <c:pt idx="205">
                  <c:v>13484.853600000002</c:v>
                </c:pt>
                <c:pt idx="206">
                  <c:v>27788.942800000001</c:v>
                </c:pt>
                <c:pt idx="207">
                  <c:v>13932.914000000001</c:v>
                </c:pt>
                <c:pt idx="208">
                  <c:v>14168.6108</c:v>
                </c:pt>
                <c:pt idx="209">
                  <c:v>13452.839599999999</c:v>
                </c:pt>
                <c:pt idx="210">
                  <c:v>8002.0228000000006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F-4811-B081-ECCC230F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38783"/>
        <c:axId val="891453759"/>
      </c:lineChart>
      <c:dateAx>
        <c:axId val="8914387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91453759"/>
        <c:crosses val="autoZero"/>
        <c:auto val="1"/>
        <c:lblOffset val="100"/>
        <c:baseTimeUnit val="days"/>
        <c:majorUnit val="14"/>
        <c:majorTimeUnit val="days"/>
      </c:dateAx>
      <c:valAx>
        <c:axId val="8914537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91438783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FORECAST</a:t>
            </a:r>
            <a:r>
              <a:rPr lang="en-US" b="1" baseline="0">
                <a:solidFill>
                  <a:sysClr val="windowText" lastClr="000000"/>
                </a:solidFill>
              </a:rPr>
              <a:t> COVID-19 CONFRIMED CASES IN HO CHI MINH CITY (27TH APR,21 - 23TH NOV, 21)</a:t>
            </a:r>
            <a:endParaRPr lang="vi-V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702158691702"/>
          <c:y val="2.1028033514601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(2)'!$B$3</c:f>
              <c:strCache>
                <c:ptCount val="1"/>
                <c:pt idx="0">
                  <c:v>Confirmed case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(2)'!$A$4:$A$214</c:f>
              <c:numCache>
                <c:formatCode>[$-409]d\-mmm;@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'forecast (2)'!$B$4:$B$214</c:f>
              <c:numCache>
                <c:formatCode>0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51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36</c:v>
                </c:pt>
                <c:pt idx="39">
                  <c:v>31</c:v>
                </c:pt>
                <c:pt idx="40">
                  <c:v>33</c:v>
                </c:pt>
                <c:pt idx="41">
                  <c:v>69</c:v>
                </c:pt>
                <c:pt idx="42">
                  <c:v>39</c:v>
                </c:pt>
                <c:pt idx="43">
                  <c:v>66</c:v>
                </c:pt>
                <c:pt idx="44">
                  <c:v>45</c:v>
                </c:pt>
                <c:pt idx="45">
                  <c:v>58</c:v>
                </c:pt>
                <c:pt idx="46">
                  <c:v>84</c:v>
                </c:pt>
                <c:pt idx="47">
                  <c:v>95</c:v>
                </c:pt>
                <c:pt idx="48">
                  <c:v>86</c:v>
                </c:pt>
                <c:pt idx="49">
                  <c:v>90</c:v>
                </c:pt>
                <c:pt idx="50">
                  <c:v>100</c:v>
                </c:pt>
                <c:pt idx="51">
                  <c:v>137</c:v>
                </c:pt>
                <c:pt idx="52">
                  <c:v>149</c:v>
                </c:pt>
                <c:pt idx="53">
                  <c:v>135</c:v>
                </c:pt>
                <c:pt idx="54">
                  <c:v>137</c:v>
                </c:pt>
                <c:pt idx="55">
                  <c:v>166</c:v>
                </c:pt>
                <c:pt idx="56">
                  <c:v>136</c:v>
                </c:pt>
                <c:pt idx="57">
                  <c:v>152</c:v>
                </c:pt>
                <c:pt idx="58">
                  <c:v>207</c:v>
                </c:pt>
                <c:pt idx="59">
                  <c:v>165</c:v>
                </c:pt>
                <c:pt idx="60">
                  <c:v>621</c:v>
                </c:pt>
                <c:pt idx="61">
                  <c:v>230</c:v>
                </c:pt>
                <c:pt idx="62">
                  <c:v>218</c:v>
                </c:pt>
                <c:pt idx="63">
                  <c:v>155</c:v>
                </c:pt>
                <c:pt idx="64">
                  <c:v>249</c:v>
                </c:pt>
                <c:pt idx="65">
                  <c:v>464</c:v>
                </c:pt>
                <c:pt idx="66">
                  <c:v>419</c:v>
                </c:pt>
                <c:pt idx="67">
                  <c:v>714</c:v>
                </c:pt>
                <c:pt idx="68">
                  <c:v>599</c:v>
                </c:pt>
                <c:pt idx="69">
                  <c:v>641</c:v>
                </c:pt>
                <c:pt idx="70">
                  <c:v>710</c:v>
                </c:pt>
                <c:pt idx="71">
                  <c:v>766</c:v>
                </c:pt>
                <c:pt idx="72">
                  <c:v>915</c:v>
                </c:pt>
                <c:pt idx="73">
                  <c:v>1229</c:v>
                </c:pt>
                <c:pt idx="74">
                  <c:v>1320</c:v>
                </c:pt>
                <c:pt idx="75">
                  <c:v>1397</c:v>
                </c:pt>
                <c:pt idx="76">
                  <c:v>1764</c:v>
                </c:pt>
                <c:pt idx="77">
                  <c:v>1802</c:v>
                </c:pt>
                <c:pt idx="78">
                  <c:v>2229</c:v>
                </c:pt>
                <c:pt idx="79">
                  <c:v>2691</c:v>
                </c:pt>
                <c:pt idx="80">
                  <c:v>2436</c:v>
                </c:pt>
                <c:pt idx="81">
                  <c:v>3420</c:v>
                </c:pt>
                <c:pt idx="82">
                  <c:v>4083</c:v>
                </c:pt>
                <c:pt idx="83">
                  <c:v>3074</c:v>
                </c:pt>
                <c:pt idx="84">
                  <c:v>3322</c:v>
                </c:pt>
                <c:pt idx="85">
                  <c:v>3558</c:v>
                </c:pt>
                <c:pt idx="86">
                  <c:v>4473</c:v>
                </c:pt>
                <c:pt idx="87">
                  <c:v>4913</c:v>
                </c:pt>
                <c:pt idx="88">
                  <c:v>5546</c:v>
                </c:pt>
                <c:pt idx="89">
                  <c:v>4555</c:v>
                </c:pt>
                <c:pt idx="90">
                  <c:v>6097</c:v>
                </c:pt>
                <c:pt idx="91">
                  <c:v>6622</c:v>
                </c:pt>
                <c:pt idx="92">
                  <c:v>4045</c:v>
                </c:pt>
                <c:pt idx="93">
                  <c:v>2877</c:v>
                </c:pt>
                <c:pt idx="94">
                  <c:v>1541</c:v>
                </c:pt>
                <c:pt idx="95">
                  <c:v>4180</c:v>
                </c:pt>
                <c:pt idx="96">
                  <c:v>2025</c:v>
                </c:pt>
                <c:pt idx="97">
                  <c:v>2267</c:v>
                </c:pt>
                <c:pt idx="98">
                  <c:v>4171</c:v>
                </c:pt>
                <c:pt idx="99">
                  <c:v>936</c:v>
                </c:pt>
                <c:pt idx="100">
                  <c:v>3886</c:v>
                </c:pt>
                <c:pt idx="101">
                  <c:v>1497</c:v>
                </c:pt>
                <c:pt idx="102">
                  <c:v>5827</c:v>
                </c:pt>
                <c:pt idx="103">
                  <c:v>2002</c:v>
                </c:pt>
                <c:pt idx="104">
                  <c:v>4132</c:v>
                </c:pt>
                <c:pt idx="105">
                  <c:v>1466</c:v>
                </c:pt>
                <c:pt idx="106">
                  <c:v>3609</c:v>
                </c:pt>
                <c:pt idx="107">
                  <c:v>1521</c:v>
                </c:pt>
                <c:pt idx="108">
                  <c:v>3399</c:v>
                </c:pt>
                <c:pt idx="109">
                  <c:v>4915</c:v>
                </c:pt>
                <c:pt idx="110">
                  <c:v>3975</c:v>
                </c:pt>
                <c:pt idx="111">
                  <c:v>2855</c:v>
                </c:pt>
                <c:pt idx="112">
                  <c:v>3740</c:v>
                </c:pt>
                <c:pt idx="113">
                  <c:v>3873</c:v>
                </c:pt>
                <c:pt idx="114">
                  <c:v>4307</c:v>
                </c:pt>
                <c:pt idx="115">
                  <c:v>3504</c:v>
                </c:pt>
                <c:pt idx="116">
                  <c:v>4084</c:v>
                </c:pt>
                <c:pt idx="117">
                  <c:v>4193</c:v>
                </c:pt>
                <c:pt idx="118">
                  <c:v>4251</c:v>
                </c:pt>
                <c:pt idx="119">
                  <c:v>4634</c:v>
                </c:pt>
                <c:pt idx="120">
                  <c:v>5294</c:v>
                </c:pt>
                <c:pt idx="121">
                  <c:v>3934</c:v>
                </c:pt>
                <c:pt idx="122">
                  <c:v>5383</c:v>
                </c:pt>
                <c:pt idx="123">
                  <c:v>5481</c:v>
                </c:pt>
                <c:pt idx="124">
                  <c:v>4957</c:v>
                </c:pt>
                <c:pt idx="125">
                  <c:v>5889</c:v>
                </c:pt>
                <c:pt idx="126">
                  <c:v>5444</c:v>
                </c:pt>
                <c:pt idx="127">
                  <c:v>5368</c:v>
                </c:pt>
                <c:pt idx="128">
                  <c:v>5964</c:v>
                </c:pt>
                <c:pt idx="129">
                  <c:v>8510</c:v>
                </c:pt>
                <c:pt idx="130">
                  <c:v>4104</c:v>
                </c:pt>
                <c:pt idx="131">
                  <c:v>6226</c:v>
                </c:pt>
                <c:pt idx="132">
                  <c:v>7122</c:v>
                </c:pt>
                <c:pt idx="133">
                  <c:v>7310</c:v>
                </c:pt>
                <c:pt idx="134">
                  <c:v>7308</c:v>
                </c:pt>
                <c:pt idx="135">
                  <c:v>5549</c:v>
                </c:pt>
                <c:pt idx="136">
                  <c:v>7539</c:v>
                </c:pt>
                <c:pt idx="137">
                  <c:v>5629</c:v>
                </c:pt>
                <c:pt idx="138">
                  <c:v>6158</c:v>
                </c:pt>
                <c:pt idx="139">
                  <c:v>5446</c:v>
                </c:pt>
                <c:pt idx="140">
                  <c:v>6315</c:v>
                </c:pt>
                <c:pt idx="141">
                  <c:v>5301</c:v>
                </c:pt>
                <c:pt idx="142">
                  <c:v>5735</c:v>
                </c:pt>
                <c:pt idx="143">
                  <c:v>5972</c:v>
                </c:pt>
                <c:pt idx="144">
                  <c:v>4273</c:v>
                </c:pt>
                <c:pt idx="145">
                  <c:v>5496</c:v>
                </c:pt>
                <c:pt idx="146">
                  <c:v>5172</c:v>
                </c:pt>
                <c:pt idx="147">
                  <c:v>6521</c:v>
                </c:pt>
                <c:pt idx="148">
                  <c:v>5435</c:v>
                </c:pt>
                <c:pt idx="149">
                  <c:v>5052</c:v>
                </c:pt>
                <c:pt idx="150">
                  <c:v>3786</c:v>
                </c:pt>
                <c:pt idx="151">
                  <c:v>4050</c:v>
                </c:pt>
                <c:pt idx="152">
                  <c:v>5121</c:v>
                </c:pt>
                <c:pt idx="153">
                  <c:v>4134</c:v>
                </c:pt>
                <c:pt idx="154">
                  <c:v>3749</c:v>
                </c:pt>
                <c:pt idx="155">
                  <c:v>4699</c:v>
                </c:pt>
                <c:pt idx="156">
                  <c:v>4372</c:v>
                </c:pt>
                <c:pt idx="157">
                  <c:v>3670</c:v>
                </c:pt>
                <c:pt idx="158">
                  <c:v>2723</c:v>
                </c:pt>
                <c:pt idx="159">
                  <c:v>2461</c:v>
                </c:pt>
                <c:pt idx="160">
                  <c:v>2490</c:v>
                </c:pt>
                <c:pt idx="161">
                  <c:v>1491</c:v>
                </c:pt>
                <c:pt idx="162">
                  <c:v>1960</c:v>
                </c:pt>
                <c:pt idx="163">
                  <c:v>1730</c:v>
                </c:pt>
                <c:pt idx="164">
                  <c:v>2215</c:v>
                </c:pt>
                <c:pt idx="165">
                  <c:v>1662</c:v>
                </c:pt>
                <c:pt idx="166">
                  <c:v>1067</c:v>
                </c:pt>
                <c:pt idx="167">
                  <c:v>1527</c:v>
                </c:pt>
                <c:pt idx="168">
                  <c:v>1018</c:v>
                </c:pt>
                <c:pt idx="169">
                  <c:v>1162</c:v>
                </c:pt>
                <c:pt idx="170">
                  <c:v>909</c:v>
                </c:pt>
                <c:pt idx="171">
                  <c:v>1131</c:v>
                </c:pt>
                <c:pt idx="172">
                  <c:v>790</c:v>
                </c:pt>
                <c:pt idx="173">
                  <c:v>1059</c:v>
                </c:pt>
                <c:pt idx="174">
                  <c:v>968</c:v>
                </c:pt>
                <c:pt idx="175">
                  <c:v>907</c:v>
                </c:pt>
                <c:pt idx="176">
                  <c:v>1347</c:v>
                </c:pt>
                <c:pt idx="177">
                  <c:v>1255</c:v>
                </c:pt>
                <c:pt idx="178">
                  <c:v>1205</c:v>
                </c:pt>
                <c:pt idx="179">
                  <c:v>749</c:v>
                </c:pt>
                <c:pt idx="180">
                  <c:v>966</c:v>
                </c:pt>
                <c:pt idx="181">
                  <c:v>969</c:v>
                </c:pt>
                <c:pt idx="182">
                  <c:v>783</c:v>
                </c:pt>
                <c:pt idx="183">
                  <c:v>1140</c:v>
                </c:pt>
                <c:pt idx="184">
                  <c:v>1069</c:v>
                </c:pt>
                <c:pt idx="185">
                  <c:v>977</c:v>
                </c:pt>
                <c:pt idx="186">
                  <c:v>1042</c:v>
                </c:pt>
                <c:pt idx="187">
                  <c:v>1041</c:v>
                </c:pt>
                <c:pt idx="188">
                  <c:v>927</c:v>
                </c:pt>
                <c:pt idx="189">
                  <c:v>682</c:v>
                </c:pt>
                <c:pt idx="190">
                  <c:v>985</c:v>
                </c:pt>
                <c:pt idx="191">
                  <c:v>981</c:v>
                </c:pt>
                <c:pt idx="192">
                  <c:v>912</c:v>
                </c:pt>
                <c:pt idx="193">
                  <c:v>986</c:v>
                </c:pt>
                <c:pt idx="194">
                  <c:v>1009</c:v>
                </c:pt>
                <c:pt idx="195">
                  <c:v>1316</c:v>
                </c:pt>
                <c:pt idx="196">
                  <c:v>1276</c:v>
                </c:pt>
                <c:pt idx="197">
                  <c:v>1414</c:v>
                </c:pt>
                <c:pt idx="198">
                  <c:v>1185</c:v>
                </c:pt>
                <c:pt idx="199">
                  <c:v>1388</c:v>
                </c:pt>
                <c:pt idx="200">
                  <c:v>1240</c:v>
                </c:pt>
                <c:pt idx="201">
                  <c:v>985</c:v>
                </c:pt>
                <c:pt idx="202">
                  <c:v>1165</c:v>
                </c:pt>
                <c:pt idx="203">
                  <c:v>1183</c:v>
                </c:pt>
                <c:pt idx="204">
                  <c:v>1337</c:v>
                </c:pt>
                <c:pt idx="205">
                  <c:v>1609</c:v>
                </c:pt>
                <c:pt idx="206">
                  <c:v>1339</c:v>
                </c:pt>
                <c:pt idx="207" formatCode="General">
                  <c:v>1046</c:v>
                </c:pt>
                <c:pt idx="208" formatCode="General">
                  <c:v>1265</c:v>
                </c:pt>
                <c:pt idx="209" formatCode="General">
                  <c:v>1547</c:v>
                </c:pt>
                <c:pt idx="210" formatCode="General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4059-A427-7FA7CC88D8F6}"/>
            </c:ext>
          </c:extLst>
        </c:ser>
        <c:ser>
          <c:idx val="1"/>
          <c:order val="1"/>
          <c:tx>
            <c:strRef>
              <c:f>'forecast (2)'!$J$3</c:f>
              <c:strCache>
                <c:ptCount val="1"/>
                <c:pt idx="0">
                  <c:v> Confirmed case forecast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(2)'!$A$4:$A$214</c:f>
              <c:numCache>
                <c:formatCode>[$-409]d\-mmm;@</c:formatCode>
                <c:ptCount val="211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  <c:pt idx="7">
                  <c:v>44320</c:v>
                </c:pt>
                <c:pt idx="8">
                  <c:v>44321</c:v>
                </c:pt>
                <c:pt idx="9">
                  <c:v>44322</c:v>
                </c:pt>
                <c:pt idx="10">
                  <c:v>44323</c:v>
                </c:pt>
                <c:pt idx="11">
                  <c:v>44324</c:v>
                </c:pt>
                <c:pt idx="12">
                  <c:v>44325</c:v>
                </c:pt>
                <c:pt idx="13">
                  <c:v>44326</c:v>
                </c:pt>
                <c:pt idx="14">
                  <c:v>44327</c:v>
                </c:pt>
                <c:pt idx="15">
                  <c:v>44328</c:v>
                </c:pt>
                <c:pt idx="16">
                  <c:v>44329</c:v>
                </c:pt>
                <c:pt idx="17">
                  <c:v>44330</c:v>
                </c:pt>
                <c:pt idx="18">
                  <c:v>44331</c:v>
                </c:pt>
                <c:pt idx="19">
                  <c:v>44332</c:v>
                </c:pt>
                <c:pt idx="20">
                  <c:v>44333</c:v>
                </c:pt>
                <c:pt idx="21">
                  <c:v>44334</c:v>
                </c:pt>
                <c:pt idx="22">
                  <c:v>44335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44339</c:v>
                </c:pt>
                <c:pt idx="27">
                  <c:v>44340</c:v>
                </c:pt>
                <c:pt idx="28">
                  <c:v>44341</c:v>
                </c:pt>
                <c:pt idx="29">
                  <c:v>44342</c:v>
                </c:pt>
                <c:pt idx="30">
                  <c:v>44343</c:v>
                </c:pt>
                <c:pt idx="31">
                  <c:v>44344</c:v>
                </c:pt>
                <c:pt idx="32">
                  <c:v>44345</c:v>
                </c:pt>
                <c:pt idx="33">
                  <c:v>44346</c:v>
                </c:pt>
                <c:pt idx="34">
                  <c:v>44347</c:v>
                </c:pt>
                <c:pt idx="35">
                  <c:v>44348</c:v>
                </c:pt>
                <c:pt idx="36">
                  <c:v>44349</c:v>
                </c:pt>
                <c:pt idx="37">
                  <c:v>44350</c:v>
                </c:pt>
                <c:pt idx="38">
                  <c:v>44351</c:v>
                </c:pt>
                <c:pt idx="39">
                  <c:v>44352</c:v>
                </c:pt>
                <c:pt idx="40">
                  <c:v>44353</c:v>
                </c:pt>
                <c:pt idx="41">
                  <c:v>44354</c:v>
                </c:pt>
                <c:pt idx="42">
                  <c:v>44355</c:v>
                </c:pt>
                <c:pt idx="43">
                  <c:v>44356</c:v>
                </c:pt>
                <c:pt idx="44">
                  <c:v>44357</c:v>
                </c:pt>
                <c:pt idx="45">
                  <c:v>44358</c:v>
                </c:pt>
                <c:pt idx="46">
                  <c:v>44359</c:v>
                </c:pt>
                <c:pt idx="47">
                  <c:v>44360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44366</c:v>
                </c:pt>
                <c:pt idx="54">
                  <c:v>44367</c:v>
                </c:pt>
                <c:pt idx="55">
                  <c:v>44368</c:v>
                </c:pt>
                <c:pt idx="56">
                  <c:v>44369</c:v>
                </c:pt>
                <c:pt idx="57">
                  <c:v>44370</c:v>
                </c:pt>
                <c:pt idx="58">
                  <c:v>44371</c:v>
                </c:pt>
                <c:pt idx="59">
                  <c:v>44372</c:v>
                </c:pt>
                <c:pt idx="60">
                  <c:v>44373</c:v>
                </c:pt>
                <c:pt idx="61">
                  <c:v>44374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  <c:pt idx="65">
                  <c:v>44378</c:v>
                </c:pt>
                <c:pt idx="66">
                  <c:v>44379</c:v>
                </c:pt>
                <c:pt idx="67">
                  <c:v>44380</c:v>
                </c:pt>
                <c:pt idx="68">
                  <c:v>44381</c:v>
                </c:pt>
                <c:pt idx="69">
                  <c:v>44382</c:v>
                </c:pt>
                <c:pt idx="70">
                  <c:v>44383</c:v>
                </c:pt>
                <c:pt idx="71">
                  <c:v>44384</c:v>
                </c:pt>
                <c:pt idx="72">
                  <c:v>44385</c:v>
                </c:pt>
                <c:pt idx="73">
                  <c:v>44386</c:v>
                </c:pt>
                <c:pt idx="74">
                  <c:v>44387</c:v>
                </c:pt>
                <c:pt idx="75">
                  <c:v>44388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44394</c:v>
                </c:pt>
                <c:pt idx="82">
                  <c:v>44395</c:v>
                </c:pt>
                <c:pt idx="83">
                  <c:v>44396</c:v>
                </c:pt>
                <c:pt idx="84">
                  <c:v>44397</c:v>
                </c:pt>
                <c:pt idx="85">
                  <c:v>44398</c:v>
                </c:pt>
                <c:pt idx="86">
                  <c:v>44399</c:v>
                </c:pt>
                <c:pt idx="87">
                  <c:v>44400</c:v>
                </c:pt>
                <c:pt idx="88">
                  <c:v>44401</c:v>
                </c:pt>
                <c:pt idx="89">
                  <c:v>44402</c:v>
                </c:pt>
                <c:pt idx="90">
                  <c:v>44403</c:v>
                </c:pt>
                <c:pt idx="91">
                  <c:v>44404</c:v>
                </c:pt>
                <c:pt idx="92">
                  <c:v>44405</c:v>
                </c:pt>
                <c:pt idx="93">
                  <c:v>44406</c:v>
                </c:pt>
                <c:pt idx="94">
                  <c:v>44407</c:v>
                </c:pt>
                <c:pt idx="95">
                  <c:v>44408</c:v>
                </c:pt>
                <c:pt idx="96">
                  <c:v>44409</c:v>
                </c:pt>
                <c:pt idx="97">
                  <c:v>44410</c:v>
                </c:pt>
                <c:pt idx="98">
                  <c:v>44411</c:v>
                </c:pt>
                <c:pt idx="99">
                  <c:v>44412</c:v>
                </c:pt>
                <c:pt idx="100">
                  <c:v>44413</c:v>
                </c:pt>
                <c:pt idx="101">
                  <c:v>44414</c:v>
                </c:pt>
                <c:pt idx="102">
                  <c:v>44415</c:v>
                </c:pt>
                <c:pt idx="103">
                  <c:v>44416</c:v>
                </c:pt>
                <c:pt idx="104">
                  <c:v>44417</c:v>
                </c:pt>
                <c:pt idx="105">
                  <c:v>44418</c:v>
                </c:pt>
                <c:pt idx="106">
                  <c:v>44419</c:v>
                </c:pt>
                <c:pt idx="107">
                  <c:v>44420</c:v>
                </c:pt>
                <c:pt idx="108">
                  <c:v>44421</c:v>
                </c:pt>
                <c:pt idx="109">
                  <c:v>44422</c:v>
                </c:pt>
                <c:pt idx="110">
                  <c:v>44423</c:v>
                </c:pt>
                <c:pt idx="111">
                  <c:v>44424</c:v>
                </c:pt>
                <c:pt idx="112">
                  <c:v>44425</c:v>
                </c:pt>
                <c:pt idx="113">
                  <c:v>44426</c:v>
                </c:pt>
                <c:pt idx="114">
                  <c:v>44427</c:v>
                </c:pt>
                <c:pt idx="115">
                  <c:v>44428</c:v>
                </c:pt>
                <c:pt idx="116">
                  <c:v>44429</c:v>
                </c:pt>
                <c:pt idx="117">
                  <c:v>44430</c:v>
                </c:pt>
                <c:pt idx="118">
                  <c:v>44431</c:v>
                </c:pt>
                <c:pt idx="119">
                  <c:v>44432</c:v>
                </c:pt>
                <c:pt idx="120">
                  <c:v>44433</c:v>
                </c:pt>
                <c:pt idx="121">
                  <c:v>44434</c:v>
                </c:pt>
                <c:pt idx="122">
                  <c:v>44435</c:v>
                </c:pt>
                <c:pt idx="123">
                  <c:v>44436</c:v>
                </c:pt>
                <c:pt idx="124">
                  <c:v>44437</c:v>
                </c:pt>
                <c:pt idx="125">
                  <c:v>44438</c:v>
                </c:pt>
                <c:pt idx="126">
                  <c:v>44439</c:v>
                </c:pt>
                <c:pt idx="127">
                  <c:v>44440</c:v>
                </c:pt>
                <c:pt idx="128">
                  <c:v>44441</c:v>
                </c:pt>
                <c:pt idx="129">
                  <c:v>44442</c:v>
                </c:pt>
                <c:pt idx="130">
                  <c:v>44443</c:v>
                </c:pt>
                <c:pt idx="131">
                  <c:v>44444</c:v>
                </c:pt>
                <c:pt idx="132">
                  <c:v>44445</c:v>
                </c:pt>
                <c:pt idx="133">
                  <c:v>44446</c:v>
                </c:pt>
                <c:pt idx="134">
                  <c:v>44447</c:v>
                </c:pt>
                <c:pt idx="135">
                  <c:v>44448</c:v>
                </c:pt>
                <c:pt idx="136">
                  <c:v>44449</c:v>
                </c:pt>
                <c:pt idx="137">
                  <c:v>44450</c:v>
                </c:pt>
                <c:pt idx="138">
                  <c:v>44451</c:v>
                </c:pt>
                <c:pt idx="139">
                  <c:v>44452</c:v>
                </c:pt>
                <c:pt idx="140">
                  <c:v>44453</c:v>
                </c:pt>
                <c:pt idx="141">
                  <c:v>44454</c:v>
                </c:pt>
                <c:pt idx="142">
                  <c:v>44455</c:v>
                </c:pt>
                <c:pt idx="143">
                  <c:v>44456</c:v>
                </c:pt>
                <c:pt idx="144">
                  <c:v>44457</c:v>
                </c:pt>
                <c:pt idx="145">
                  <c:v>44458</c:v>
                </c:pt>
                <c:pt idx="146">
                  <c:v>44459</c:v>
                </c:pt>
                <c:pt idx="147">
                  <c:v>44460</c:v>
                </c:pt>
                <c:pt idx="148">
                  <c:v>44461</c:v>
                </c:pt>
                <c:pt idx="149">
                  <c:v>44462</c:v>
                </c:pt>
                <c:pt idx="150">
                  <c:v>44463</c:v>
                </c:pt>
                <c:pt idx="151">
                  <c:v>44464</c:v>
                </c:pt>
                <c:pt idx="152">
                  <c:v>44465</c:v>
                </c:pt>
                <c:pt idx="153">
                  <c:v>44466</c:v>
                </c:pt>
                <c:pt idx="154">
                  <c:v>44467</c:v>
                </c:pt>
                <c:pt idx="155">
                  <c:v>44468</c:v>
                </c:pt>
                <c:pt idx="156">
                  <c:v>44469</c:v>
                </c:pt>
                <c:pt idx="157">
                  <c:v>44470</c:v>
                </c:pt>
                <c:pt idx="158">
                  <c:v>44471</c:v>
                </c:pt>
                <c:pt idx="159">
                  <c:v>44472</c:v>
                </c:pt>
                <c:pt idx="160">
                  <c:v>44473</c:v>
                </c:pt>
                <c:pt idx="161">
                  <c:v>44474</c:v>
                </c:pt>
                <c:pt idx="162">
                  <c:v>44475</c:v>
                </c:pt>
                <c:pt idx="163">
                  <c:v>44476</c:v>
                </c:pt>
                <c:pt idx="164">
                  <c:v>44477</c:v>
                </c:pt>
                <c:pt idx="165">
                  <c:v>44478</c:v>
                </c:pt>
                <c:pt idx="166">
                  <c:v>44479</c:v>
                </c:pt>
                <c:pt idx="167">
                  <c:v>44480</c:v>
                </c:pt>
                <c:pt idx="168">
                  <c:v>44481</c:v>
                </c:pt>
                <c:pt idx="169">
                  <c:v>44482</c:v>
                </c:pt>
                <c:pt idx="170">
                  <c:v>44483</c:v>
                </c:pt>
                <c:pt idx="171">
                  <c:v>44484</c:v>
                </c:pt>
                <c:pt idx="172">
                  <c:v>44485</c:v>
                </c:pt>
                <c:pt idx="173">
                  <c:v>44486</c:v>
                </c:pt>
                <c:pt idx="174">
                  <c:v>44487</c:v>
                </c:pt>
                <c:pt idx="175">
                  <c:v>44488</c:v>
                </c:pt>
                <c:pt idx="176">
                  <c:v>44489</c:v>
                </c:pt>
                <c:pt idx="177">
                  <c:v>44490</c:v>
                </c:pt>
                <c:pt idx="178">
                  <c:v>44491</c:v>
                </c:pt>
                <c:pt idx="179">
                  <c:v>44492</c:v>
                </c:pt>
                <c:pt idx="180">
                  <c:v>44493</c:v>
                </c:pt>
                <c:pt idx="181">
                  <c:v>44494</c:v>
                </c:pt>
                <c:pt idx="182">
                  <c:v>44495</c:v>
                </c:pt>
                <c:pt idx="183">
                  <c:v>44496</c:v>
                </c:pt>
                <c:pt idx="184">
                  <c:v>44497</c:v>
                </c:pt>
                <c:pt idx="185">
                  <c:v>44498</c:v>
                </c:pt>
                <c:pt idx="186">
                  <c:v>44499</c:v>
                </c:pt>
                <c:pt idx="187">
                  <c:v>44500</c:v>
                </c:pt>
                <c:pt idx="188">
                  <c:v>44501</c:v>
                </c:pt>
                <c:pt idx="189">
                  <c:v>44502</c:v>
                </c:pt>
                <c:pt idx="190">
                  <c:v>44503</c:v>
                </c:pt>
                <c:pt idx="191">
                  <c:v>44504</c:v>
                </c:pt>
                <c:pt idx="192">
                  <c:v>44505</c:v>
                </c:pt>
                <c:pt idx="193">
                  <c:v>44506</c:v>
                </c:pt>
                <c:pt idx="194">
                  <c:v>44507</c:v>
                </c:pt>
                <c:pt idx="195">
                  <c:v>44508</c:v>
                </c:pt>
                <c:pt idx="196">
                  <c:v>44509</c:v>
                </c:pt>
                <c:pt idx="197">
                  <c:v>44510</c:v>
                </c:pt>
                <c:pt idx="198">
                  <c:v>44511</c:v>
                </c:pt>
                <c:pt idx="199">
                  <c:v>44512</c:v>
                </c:pt>
                <c:pt idx="200">
                  <c:v>44513</c:v>
                </c:pt>
                <c:pt idx="201">
                  <c:v>44514</c:v>
                </c:pt>
                <c:pt idx="202">
                  <c:v>44515</c:v>
                </c:pt>
                <c:pt idx="203">
                  <c:v>44516</c:v>
                </c:pt>
                <c:pt idx="204">
                  <c:v>44517</c:v>
                </c:pt>
                <c:pt idx="205">
                  <c:v>44518</c:v>
                </c:pt>
                <c:pt idx="206">
                  <c:v>44519</c:v>
                </c:pt>
                <c:pt idx="207">
                  <c:v>44520</c:v>
                </c:pt>
                <c:pt idx="208">
                  <c:v>44521</c:v>
                </c:pt>
                <c:pt idx="209">
                  <c:v>44522</c:v>
                </c:pt>
                <c:pt idx="210">
                  <c:v>44523</c:v>
                </c:pt>
              </c:numCache>
            </c:numRef>
          </c:cat>
          <c:val>
            <c:numRef>
              <c:f>'forecast (2)'!$J$4:$J$214</c:f>
              <c:numCache>
                <c:formatCode>_(* #,##0_);_(* \(#,##0\);_(* "-"??_);_(@_)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52.049623888888895</c:v>
                </c:pt>
                <c:pt idx="3">
                  <c:v>52.189651772486769</c:v>
                </c:pt>
                <c:pt idx="4">
                  <c:v>53.27222838624337</c:v>
                </c:pt>
                <c:pt idx="5">
                  <c:v>51.600993253968255</c:v>
                </c:pt>
                <c:pt idx="6">
                  <c:v>49.212889841269828</c:v>
                </c:pt>
                <c:pt idx="7">
                  <c:v>44.149662380952378</c:v>
                </c:pt>
                <c:pt idx="8">
                  <c:v>30.070776746031733</c:v>
                </c:pt>
                <c:pt idx="9">
                  <c:v>19.146332222222213</c:v>
                </c:pt>
                <c:pt idx="10">
                  <c:v>19.878321164021152</c:v>
                </c:pt>
                <c:pt idx="11">
                  <c:v>21.226300899470893</c:v>
                </c:pt>
                <c:pt idx="12">
                  <c:v>22.846588492063489</c:v>
                </c:pt>
                <c:pt idx="13">
                  <c:v>22.509410317460315</c:v>
                </c:pt>
                <c:pt idx="14">
                  <c:v>21.557928968253968</c:v>
                </c:pt>
                <c:pt idx="15">
                  <c:v>21.876949444444445</c:v>
                </c:pt>
                <c:pt idx="16">
                  <c:v>20.881804603174601</c:v>
                </c:pt>
                <c:pt idx="17">
                  <c:v>16.6388773015873</c:v>
                </c:pt>
                <c:pt idx="18">
                  <c:v>15.965466666666668</c:v>
                </c:pt>
                <c:pt idx="19">
                  <c:v>16.036650476190477</c:v>
                </c:pt>
                <c:pt idx="20">
                  <c:v>16.20136611111111</c:v>
                </c:pt>
                <c:pt idx="21">
                  <c:v>17.056542196545287</c:v>
                </c:pt>
                <c:pt idx="22">
                  <c:v>17.738623361344544</c:v>
                </c:pt>
                <c:pt idx="23">
                  <c:v>15.558496986461265</c:v>
                </c:pt>
                <c:pt idx="24">
                  <c:v>16.169274579831949</c:v>
                </c:pt>
                <c:pt idx="25">
                  <c:v>16.232894712885177</c:v>
                </c:pt>
                <c:pt idx="26">
                  <c:v>13.0652525443511</c:v>
                </c:pt>
                <c:pt idx="27">
                  <c:v>12.582720931372579</c:v>
                </c:pt>
                <c:pt idx="28">
                  <c:v>13.002250931372579</c:v>
                </c:pt>
                <c:pt idx="29">
                  <c:v>13.730490931372579</c:v>
                </c:pt>
                <c:pt idx="30">
                  <c:v>13.176800931372579</c:v>
                </c:pt>
                <c:pt idx="31">
                  <c:v>26.196360931372574</c:v>
                </c:pt>
                <c:pt idx="32">
                  <c:v>35.387410931372578</c:v>
                </c:pt>
                <c:pt idx="33">
                  <c:v>12.542530931372578</c:v>
                </c:pt>
                <c:pt idx="34">
                  <c:v>31.899360931372573</c:v>
                </c:pt>
                <c:pt idx="35">
                  <c:v>44.692690931372582</c:v>
                </c:pt>
                <c:pt idx="36">
                  <c:v>12.77203093137258</c:v>
                </c:pt>
                <c:pt idx="37">
                  <c:v>25.101870931372574</c:v>
                </c:pt>
                <c:pt idx="38">
                  <c:v>33.580590931372583</c:v>
                </c:pt>
                <c:pt idx="39">
                  <c:v>26.149310931372575</c:v>
                </c:pt>
                <c:pt idx="40">
                  <c:v>46.814210931372578</c:v>
                </c:pt>
                <c:pt idx="41">
                  <c:v>44.598460931372571</c:v>
                </c:pt>
                <c:pt idx="42">
                  <c:v>59.352300931372582</c:v>
                </c:pt>
                <c:pt idx="43">
                  <c:v>70.641020931372594</c:v>
                </c:pt>
                <c:pt idx="44">
                  <c:v>61.829370931372587</c:v>
                </c:pt>
                <c:pt idx="45">
                  <c:v>70.956810931372573</c:v>
                </c:pt>
                <c:pt idx="46">
                  <c:v>62.363970931372585</c:v>
                </c:pt>
                <c:pt idx="47">
                  <c:v>80.560290931372592</c:v>
                </c:pt>
                <c:pt idx="48">
                  <c:v>100.75974093137259</c:v>
                </c:pt>
                <c:pt idx="49">
                  <c:v>104.35305093137258</c:v>
                </c:pt>
                <c:pt idx="50">
                  <c:v>100.31496093137258</c:v>
                </c:pt>
                <c:pt idx="51">
                  <c:v>106.52921093137259</c:v>
                </c:pt>
                <c:pt idx="52">
                  <c:v>126.48999093137257</c:v>
                </c:pt>
                <c:pt idx="53">
                  <c:v>154.32280093137257</c:v>
                </c:pt>
                <c:pt idx="54">
                  <c:v>156.35538093137242</c:v>
                </c:pt>
                <c:pt idx="55">
                  <c:v>164.03100034858375</c:v>
                </c:pt>
                <c:pt idx="56">
                  <c:v>191.65591976579509</c:v>
                </c:pt>
                <c:pt idx="57">
                  <c:v>214.06553918300642</c:v>
                </c:pt>
                <c:pt idx="58">
                  <c:v>201.17328333566749</c:v>
                </c:pt>
                <c:pt idx="59">
                  <c:v>318.8620581232492</c:v>
                </c:pt>
                <c:pt idx="60">
                  <c:v>461.4477959267038</c:v>
                </c:pt>
                <c:pt idx="61">
                  <c:v>714.38404964285701</c:v>
                </c:pt>
                <c:pt idx="62">
                  <c:v>949.11028394179903</c:v>
                </c:pt>
                <c:pt idx="63">
                  <c:v>683.67278867724872</c:v>
                </c:pt>
                <c:pt idx="64">
                  <c:v>683.03707916666667</c:v>
                </c:pt>
                <c:pt idx="65">
                  <c:v>724.46148492063469</c:v>
                </c:pt>
                <c:pt idx="66">
                  <c:v>775.88304428571428</c:v>
                </c:pt>
                <c:pt idx="67">
                  <c:v>770.60935398656898</c:v>
                </c:pt>
                <c:pt idx="68">
                  <c:v>742.64031777472508</c:v>
                </c:pt>
                <c:pt idx="69">
                  <c:v>775.3578815628814</c:v>
                </c:pt>
                <c:pt idx="70">
                  <c:v>718.56070491452977</c:v>
                </c:pt>
                <c:pt idx="71">
                  <c:v>724.9936025122098</c:v>
                </c:pt>
                <c:pt idx="72">
                  <c:v>743.19376010988992</c:v>
                </c:pt>
                <c:pt idx="73">
                  <c:v>834.13091346153828</c:v>
                </c:pt>
                <c:pt idx="74">
                  <c:v>1044.2426734615383</c:v>
                </c:pt>
                <c:pt idx="75">
                  <c:v>1275.5750234615384</c:v>
                </c:pt>
                <c:pt idx="76">
                  <c:v>1361.3342234615384</c:v>
                </c:pt>
                <c:pt idx="77">
                  <c:v>1546.4398734615381</c:v>
                </c:pt>
                <c:pt idx="78">
                  <c:v>1790.8893134615384</c:v>
                </c:pt>
                <c:pt idx="79">
                  <c:v>1973.8023734615383</c:v>
                </c:pt>
                <c:pt idx="80">
                  <c:v>2413.8609201098902</c:v>
                </c:pt>
                <c:pt idx="81">
                  <c:v>2609.234264059829</c:v>
                </c:pt>
                <c:pt idx="82">
                  <c:v>2815.9409780097681</c:v>
                </c:pt>
                <c:pt idx="83">
                  <c:v>3680.8512119597067</c:v>
                </c:pt>
                <c:pt idx="84">
                  <c:v>3721.5876059096458</c:v>
                </c:pt>
                <c:pt idx="85">
                  <c:v>3181.1986998595848</c:v>
                </c:pt>
                <c:pt idx="86">
                  <c:v>3423.9367589346762</c:v>
                </c:pt>
                <c:pt idx="87">
                  <c:v>3913.2611941659034</c:v>
                </c:pt>
                <c:pt idx="88">
                  <c:v>4665.0930455555554</c:v>
                </c:pt>
                <c:pt idx="89">
                  <c:v>5176.5858494444437</c:v>
                </c:pt>
                <c:pt idx="90">
                  <c:v>5272.7383733333336</c:v>
                </c:pt>
                <c:pt idx="91">
                  <c:v>5322.5746855555544</c:v>
                </c:pt>
                <c:pt idx="92">
                  <c:v>6544.1899666666668</c:v>
                </c:pt>
                <c:pt idx="93">
                  <c:v>5873.7532733333337</c:v>
                </c:pt>
                <c:pt idx="94">
                  <c:v>3969.7816438888894</c:v>
                </c:pt>
                <c:pt idx="95">
                  <c:v>2756.240842222222</c:v>
                </c:pt>
                <c:pt idx="96">
                  <c:v>2928.2758677777774</c:v>
                </c:pt>
                <c:pt idx="97">
                  <c:v>3804.4970561111113</c:v>
                </c:pt>
                <c:pt idx="98">
                  <c:v>2606.4841888888891</c:v>
                </c:pt>
                <c:pt idx="99">
                  <c:v>3581.0208294444437</c:v>
                </c:pt>
                <c:pt idx="100">
                  <c:v>3539.5097311111113</c:v>
                </c:pt>
                <c:pt idx="101">
                  <c:v>2777.0695688888891</c:v>
                </c:pt>
                <c:pt idx="102">
                  <c:v>6375.7292594444443</c:v>
                </c:pt>
                <c:pt idx="103">
                  <c:v>4376.7809872222215</c:v>
                </c:pt>
                <c:pt idx="104">
                  <c:v>5472.4723115873021</c:v>
                </c:pt>
                <c:pt idx="105">
                  <c:v>4409.9533742857138</c:v>
                </c:pt>
                <c:pt idx="106">
                  <c:v>4972.0497956349209</c:v>
                </c:pt>
                <c:pt idx="107">
                  <c:v>3709.9975621825397</c:v>
                </c:pt>
                <c:pt idx="108">
                  <c:v>4322.4062259226193</c:v>
                </c:pt>
                <c:pt idx="109">
                  <c:v>3816.3604170064491</c:v>
                </c:pt>
                <c:pt idx="110">
                  <c:v>4447.3899483333325</c:v>
                </c:pt>
                <c:pt idx="111">
                  <c:v>5006.5136000000002</c:v>
                </c:pt>
                <c:pt idx="112">
                  <c:v>4560.8950628155999</c:v>
                </c:pt>
                <c:pt idx="113">
                  <c:v>4171.9070461111114</c:v>
                </c:pt>
                <c:pt idx="114">
                  <c:v>4435.0131405555558</c:v>
                </c:pt>
                <c:pt idx="115">
                  <c:v>4803.8598198705668</c:v>
                </c:pt>
                <c:pt idx="116">
                  <c:v>4733.4124094444442</c:v>
                </c:pt>
                <c:pt idx="117">
                  <c:v>4316.6077749999995</c:v>
                </c:pt>
                <c:pt idx="118">
                  <c:v>4616.1243711111101</c:v>
                </c:pt>
                <c:pt idx="119">
                  <c:v>4535.7307644444436</c:v>
                </c:pt>
                <c:pt idx="120">
                  <c:v>4702.4135627777778</c:v>
                </c:pt>
                <c:pt idx="121">
                  <c:v>5082.5034999999989</c:v>
                </c:pt>
                <c:pt idx="122">
                  <c:v>5091.5571055555556</c:v>
                </c:pt>
                <c:pt idx="123">
                  <c:v>4747.0488588888884</c:v>
                </c:pt>
                <c:pt idx="124">
                  <c:v>5745.9953483333329</c:v>
                </c:pt>
                <c:pt idx="125">
                  <c:v>5497.5043699999997</c:v>
                </c:pt>
                <c:pt idx="126">
                  <c:v>5481.1442994444442</c:v>
                </c:pt>
                <c:pt idx="127">
                  <c:v>5887.6485205555555</c:v>
                </c:pt>
                <c:pt idx="128">
                  <c:v>5630.7021700000005</c:v>
                </c:pt>
                <c:pt idx="129">
                  <c:v>5771.0136555555546</c:v>
                </c:pt>
                <c:pt idx="130">
                  <c:v>7242.9500361111104</c:v>
                </c:pt>
                <c:pt idx="131">
                  <c:v>7092.2047930555555</c:v>
                </c:pt>
                <c:pt idx="132">
                  <c:v>5283.7516188888885</c:v>
                </c:pt>
                <c:pt idx="133">
                  <c:v>7012.7825294444438</c:v>
                </c:pt>
                <c:pt idx="134">
                  <c:v>7735.8611105555547</c:v>
                </c:pt>
                <c:pt idx="135">
                  <c:v>8131.2651033333323</c:v>
                </c:pt>
                <c:pt idx="136">
                  <c:v>7486.3077999999996</c:v>
                </c:pt>
                <c:pt idx="137">
                  <c:v>7246.7502733333331</c:v>
                </c:pt>
                <c:pt idx="138">
                  <c:v>7762.3692250000004</c:v>
                </c:pt>
                <c:pt idx="139">
                  <c:v>6914.4309016666666</c:v>
                </c:pt>
                <c:pt idx="140">
                  <c:v>7141.2534877777771</c:v>
                </c:pt>
                <c:pt idx="141">
                  <c:v>6655.8263166666666</c:v>
                </c:pt>
                <c:pt idx="142">
                  <c:v>6838.7131061111113</c:v>
                </c:pt>
                <c:pt idx="143">
                  <c:v>6221.5900549999997</c:v>
                </c:pt>
                <c:pt idx="144">
                  <c:v>6434.5560483333329</c:v>
                </c:pt>
                <c:pt idx="145">
                  <c:v>5744.5192172222223</c:v>
                </c:pt>
                <c:pt idx="146">
                  <c:v>5175.0196516666665</c:v>
                </c:pt>
                <c:pt idx="147">
                  <c:v>5828.0476033333334</c:v>
                </c:pt>
                <c:pt idx="148">
                  <c:v>5838.8740016666661</c:v>
                </c:pt>
                <c:pt idx="149">
                  <c:v>6490.1704422222219</c:v>
                </c:pt>
                <c:pt idx="150">
                  <c:v>7879.76820611111</c:v>
                </c:pt>
                <c:pt idx="151">
                  <c:v>4932.9315166666665</c:v>
                </c:pt>
                <c:pt idx="152">
                  <c:v>4253.3222983333335</c:v>
                </c:pt>
                <c:pt idx="153">
                  <c:v>5137.1043605555551</c:v>
                </c:pt>
                <c:pt idx="154">
                  <c:v>5956.8058872222227</c:v>
                </c:pt>
                <c:pt idx="155">
                  <c:v>5036.5186105555558</c:v>
                </c:pt>
                <c:pt idx="156">
                  <c:v>4782.5705711111104</c:v>
                </c:pt>
                <c:pt idx="157">
                  <c:v>6223.5994555555553</c:v>
                </c:pt>
                <c:pt idx="158">
                  <c:v>5385.7575077777774</c:v>
                </c:pt>
                <c:pt idx="159">
                  <c:v>4119.4727588888891</c:v>
                </c:pt>
                <c:pt idx="160">
                  <c:v>3989.1421161111111</c:v>
                </c:pt>
                <c:pt idx="161">
                  <c:v>3654.191672777778</c:v>
                </c:pt>
                <c:pt idx="162">
                  <c:v>3550.7022177777781</c:v>
                </c:pt>
                <c:pt idx="163">
                  <c:v>2807.2136622222224</c:v>
                </c:pt>
                <c:pt idx="164">
                  <c:v>2758.0995911111113</c:v>
                </c:pt>
                <c:pt idx="165">
                  <c:v>2569.1902544444447</c:v>
                </c:pt>
                <c:pt idx="166">
                  <c:v>2532.4608577777781</c:v>
                </c:pt>
                <c:pt idx="167">
                  <c:v>1855.937848888889</c:v>
                </c:pt>
                <c:pt idx="168">
                  <c:v>1732.2825566666668</c:v>
                </c:pt>
                <c:pt idx="169">
                  <c:v>1633.6226705555557</c:v>
                </c:pt>
                <c:pt idx="170">
                  <c:v>1392.6986833333335</c:v>
                </c:pt>
                <c:pt idx="171">
                  <c:v>1337.0583972222221</c:v>
                </c:pt>
                <c:pt idx="172">
                  <c:v>1184.7569927777779</c:v>
                </c:pt>
                <c:pt idx="173">
                  <c:v>1209.9654794444446</c:v>
                </c:pt>
                <c:pt idx="174">
                  <c:v>1040.8422344444446</c:v>
                </c:pt>
                <c:pt idx="175">
                  <c:v>1164.2528061111111</c:v>
                </c:pt>
                <c:pt idx="176">
                  <c:v>1033.4896133333332</c:v>
                </c:pt>
                <c:pt idx="177">
                  <c:v>1200.518492777778</c:v>
                </c:pt>
                <c:pt idx="178">
                  <c:v>1429.5539794444446</c:v>
                </c:pt>
                <c:pt idx="179">
                  <c:v>1354.5339072222223</c:v>
                </c:pt>
                <c:pt idx="180">
                  <c:v>1148.1408849999998</c:v>
                </c:pt>
                <c:pt idx="181">
                  <c:v>958.83252999999991</c:v>
                </c:pt>
                <c:pt idx="182">
                  <c:v>1062.7691138888888</c:v>
                </c:pt>
                <c:pt idx="183">
                  <c:v>951.2263677777778</c:v>
                </c:pt>
                <c:pt idx="184">
                  <c:v>1045.3611022222221</c:v>
                </c:pt>
                <c:pt idx="185">
                  <c:v>1240.7995705555556</c:v>
                </c:pt>
                <c:pt idx="186">
                  <c:v>1227.8797444444444</c:v>
                </c:pt>
                <c:pt idx="187">
                  <c:v>1357.7488405555555</c:v>
                </c:pt>
                <c:pt idx="188">
                  <c:v>1399.1576977777779</c:v>
                </c:pt>
                <c:pt idx="189">
                  <c:v>1171.7543322222223</c:v>
                </c:pt>
                <c:pt idx="190">
                  <c:v>986.48893111111113</c:v>
                </c:pt>
                <c:pt idx="191">
                  <c:v>956.60790388888893</c:v>
                </c:pt>
                <c:pt idx="192">
                  <c:v>1129.4373566666666</c:v>
                </c:pt>
                <c:pt idx="193">
                  <c:v>1089.4240522222221</c:v>
                </c:pt>
                <c:pt idx="194">
                  <c:v>1059.2675583333332</c:v>
                </c:pt>
                <c:pt idx="195">
                  <c:v>1137.6352177777778</c:v>
                </c:pt>
                <c:pt idx="196">
                  <c:v>1204.1687533333334</c:v>
                </c:pt>
                <c:pt idx="197">
                  <c:v>1340.1167483333334</c:v>
                </c:pt>
                <c:pt idx="198">
                  <c:v>1442.9236066666667</c:v>
                </c:pt>
                <c:pt idx="199">
                  <c:v>1420.0117844444444</c:v>
                </c:pt>
                <c:pt idx="200">
                  <c:v>1353.7910572222222</c:v>
                </c:pt>
                <c:pt idx="201">
                  <c:v>1576.9161294444446</c:v>
                </c:pt>
                <c:pt idx="202">
                  <c:v>1280.0193411111111</c:v>
                </c:pt>
                <c:pt idx="203">
                  <c:v>1132.2316450000001</c:v>
                </c:pt>
                <c:pt idx="204">
                  <c:v>1207.7760333333333</c:v>
                </c:pt>
                <c:pt idx="205">
                  <c:v>1343.2575255555557</c:v>
                </c:pt>
                <c:pt idx="206">
                  <c:v>1646.0209261111111</c:v>
                </c:pt>
                <c:pt idx="207">
                  <c:v>1612.428903888889</c:v>
                </c:pt>
                <c:pt idx="208">
                  <c:v>1337.9019611111112</c:v>
                </c:pt>
                <c:pt idx="209">
                  <c:v>1230.7057155555556</c:v>
                </c:pt>
                <c:pt idx="210">
                  <c:v>1430.4876761111111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5-4059-A427-7FA7CC88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655008"/>
        <c:axId val="1192677472"/>
      </c:lineChart>
      <c:dateAx>
        <c:axId val="1192655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2677472"/>
        <c:crosses val="autoZero"/>
        <c:auto val="1"/>
        <c:lblOffset val="100"/>
        <c:baseTimeUnit val="days"/>
      </c:dateAx>
      <c:valAx>
        <c:axId val="1192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26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HCMC daily incubation 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2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3201826088771904"/>
          <c:y val="0.19344556677890015"/>
          <c:w val="0.84248779904190962"/>
          <c:h val="0.558054738107231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</c:f>
              <c:numCache>
                <c:formatCode>[$-409]d\-mmm;@</c:formatCode>
                <c:ptCount val="106"/>
                <c:pt idx="0">
                  <c:v>44313</c:v>
                </c:pt>
                <c:pt idx="1">
                  <c:v>44315</c:v>
                </c:pt>
                <c:pt idx="2">
                  <c:v>44317</c:v>
                </c:pt>
                <c:pt idx="3">
                  <c:v>44319</c:v>
                </c:pt>
                <c:pt idx="4">
                  <c:v>44321</c:v>
                </c:pt>
                <c:pt idx="5">
                  <c:v>44323</c:v>
                </c:pt>
                <c:pt idx="6">
                  <c:v>44325</c:v>
                </c:pt>
                <c:pt idx="7">
                  <c:v>44327</c:v>
                </c:pt>
                <c:pt idx="8">
                  <c:v>44329</c:v>
                </c:pt>
                <c:pt idx="9">
                  <c:v>44331</c:v>
                </c:pt>
                <c:pt idx="10">
                  <c:v>44333</c:v>
                </c:pt>
                <c:pt idx="11">
                  <c:v>44335</c:v>
                </c:pt>
                <c:pt idx="12">
                  <c:v>44337</c:v>
                </c:pt>
                <c:pt idx="13">
                  <c:v>44339</c:v>
                </c:pt>
                <c:pt idx="14">
                  <c:v>44341</c:v>
                </c:pt>
                <c:pt idx="15">
                  <c:v>44343</c:v>
                </c:pt>
                <c:pt idx="16">
                  <c:v>44345</c:v>
                </c:pt>
                <c:pt idx="17">
                  <c:v>44347</c:v>
                </c:pt>
                <c:pt idx="18">
                  <c:v>44349</c:v>
                </c:pt>
                <c:pt idx="19">
                  <c:v>44351</c:v>
                </c:pt>
                <c:pt idx="20">
                  <c:v>44353</c:v>
                </c:pt>
                <c:pt idx="21">
                  <c:v>44355</c:v>
                </c:pt>
                <c:pt idx="22">
                  <c:v>44357</c:v>
                </c:pt>
                <c:pt idx="23">
                  <c:v>44359</c:v>
                </c:pt>
                <c:pt idx="24">
                  <c:v>44361</c:v>
                </c:pt>
                <c:pt idx="25">
                  <c:v>44363</c:v>
                </c:pt>
                <c:pt idx="26">
                  <c:v>44365</c:v>
                </c:pt>
                <c:pt idx="27">
                  <c:v>44367</c:v>
                </c:pt>
                <c:pt idx="28">
                  <c:v>44369</c:v>
                </c:pt>
                <c:pt idx="29">
                  <c:v>44371</c:v>
                </c:pt>
                <c:pt idx="30">
                  <c:v>44373</c:v>
                </c:pt>
                <c:pt idx="31">
                  <c:v>44375</c:v>
                </c:pt>
                <c:pt idx="32">
                  <c:v>44377</c:v>
                </c:pt>
                <c:pt idx="33">
                  <c:v>44379</c:v>
                </c:pt>
                <c:pt idx="34">
                  <c:v>44381</c:v>
                </c:pt>
                <c:pt idx="35">
                  <c:v>44383</c:v>
                </c:pt>
                <c:pt idx="36">
                  <c:v>44385</c:v>
                </c:pt>
                <c:pt idx="37">
                  <c:v>44387</c:v>
                </c:pt>
                <c:pt idx="38">
                  <c:v>44389</c:v>
                </c:pt>
                <c:pt idx="39">
                  <c:v>44391</c:v>
                </c:pt>
                <c:pt idx="40">
                  <c:v>44393</c:v>
                </c:pt>
                <c:pt idx="41">
                  <c:v>44395</c:v>
                </c:pt>
                <c:pt idx="42">
                  <c:v>44397</c:v>
                </c:pt>
                <c:pt idx="43">
                  <c:v>44399</c:v>
                </c:pt>
                <c:pt idx="44">
                  <c:v>44401</c:v>
                </c:pt>
                <c:pt idx="45">
                  <c:v>44403</c:v>
                </c:pt>
                <c:pt idx="46">
                  <c:v>44405</c:v>
                </c:pt>
                <c:pt idx="47">
                  <c:v>44407</c:v>
                </c:pt>
                <c:pt idx="48">
                  <c:v>44409</c:v>
                </c:pt>
                <c:pt idx="49">
                  <c:v>44411</c:v>
                </c:pt>
                <c:pt idx="50">
                  <c:v>44413</c:v>
                </c:pt>
                <c:pt idx="51">
                  <c:v>44415</c:v>
                </c:pt>
                <c:pt idx="52">
                  <c:v>44417</c:v>
                </c:pt>
                <c:pt idx="53">
                  <c:v>44419</c:v>
                </c:pt>
                <c:pt idx="54">
                  <c:v>44421</c:v>
                </c:pt>
                <c:pt idx="55">
                  <c:v>44423</c:v>
                </c:pt>
                <c:pt idx="56">
                  <c:v>44425</c:v>
                </c:pt>
                <c:pt idx="57">
                  <c:v>44427</c:v>
                </c:pt>
                <c:pt idx="58">
                  <c:v>44429</c:v>
                </c:pt>
                <c:pt idx="59">
                  <c:v>44431</c:v>
                </c:pt>
                <c:pt idx="60">
                  <c:v>44433</c:v>
                </c:pt>
                <c:pt idx="61">
                  <c:v>44435</c:v>
                </c:pt>
                <c:pt idx="62">
                  <c:v>44437</c:v>
                </c:pt>
                <c:pt idx="63">
                  <c:v>44439</c:v>
                </c:pt>
                <c:pt idx="64">
                  <c:v>44441</c:v>
                </c:pt>
                <c:pt idx="65">
                  <c:v>44443</c:v>
                </c:pt>
                <c:pt idx="66">
                  <c:v>44445</c:v>
                </c:pt>
                <c:pt idx="67">
                  <c:v>44447</c:v>
                </c:pt>
                <c:pt idx="68">
                  <c:v>44449</c:v>
                </c:pt>
                <c:pt idx="69">
                  <c:v>44451</c:v>
                </c:pt>
                <c:pt idx="70">
                  <c:v>44453</c:v>
                </c:pt>
                <c:pt idx="71">
                  <c:v>44455</c:v>
                </c:pt>
                <c:pt idx="72">
                  <c:v>44457</c:v>
                </c:pt>
                <c:pt idx="73">
                  <c:v>44459</c:v>
                </c:pt>
                <c:pt idx="74">
                  <c:v>44461</c:v>
                </c:pt>
                <c:pt idx="75">
                  <c:v>44463</c:v>
                </c:pt>
                <c:pt idx="76">
                  <c:v>44465</c:v>
                </c:pt>
                <c:pt idx="77">
                  <c:v>44467</c:v>
                </c:pt>
                <c:pt idx="78">
                  <c:v>44469</c:v>
                </c:pt>
                <c:pt idx="79">
                  <c:v>44471</c:v>
                </c:pt>
                <c:pt idx="80">
                  <c:v>44473</c:v>
                </c:pt>
                <c:pt idx="81">
                  <c:v>44475</c:v>
                </c:pt>
                <c:pt idx="82">
                  <c:v>44477</c:v>
                </c:pt>
                <c:pt idx="83">
                  <c:v>44479</c:v>
                </c:pt>
                <c:pt idx="84">
                  <c:v>44481</c:v>
                </c:pt>
                <c:pt idx="85">
                  <c:v>44483</c:v>
                </c:pt>
                <c:pt idx="86">
                  <c:v>44485</c:v>
                </c:pt>
                <c:pt idx="87">
                  <c:v>44487</c:v>
                </c:pt>
                <c:pt idx="88">
                  <c:v>44489</c:v>
                </c:pt>
                <c:pt idx="89">
                  <c:v>44491</c:v>
                </c:pt>
                <c:pt idx="90">
                  <c:v>44493</c:v>
                </c:pt>
                <c:pt idx="91">
                  <c:v>44495</c:v>
                </c:pt>
                <c:pt idx="92">
                  <c:v>44497</c:v>
                </c:pt>
                <c:pt idx="93">
                  <c:v>44499</c:v>
                </c:pt>
                <c:pt idx="94">
                  <c:v>44501</c:v>
                </c:pt>
                <c:pt idx="95">
                  <c:v>44503</c:v>
                </c:pt>
                <c:pt idx="96">
                  <c:v>44505</c:v>
                </c:pt>
                <c:pt idx="97">
                  <c:v>44507</c:v>
                </c:pt>
                <c:pt idx="98">
                  <c:v>44509</c:v>
                </c:pt>
                <c:pt idx="99">
                  <c:v>44511</c:v>
                </c:pt>
                <c:pt idx="100">
                  <c:v>44513</c:v>
                </c:pt>
                <c:pt idx="101">
                  <c:v>44515</c:v>
                </c:pt>
                <c:pt idx="102">
                  <c:v>44517</c:v>
                </c:pt>
                <c:pt idx="103">
                  <c:v>44519</c:v>
                </c:pt>
                <c:pt idx="104">
                  <c:v>44521</c:v>
                </c:pt>
                <c:pt idx="105">
                  <c:v>44523</c:v>
                </c:pt>
              </c:numCache>
            </c:numRef>
          </c:cat>
          <c:val>
            <c:numRef>
              <c:f>Sheet1!$F$2:$F$107</c:f>
              <c:numCache>
                <c:formatCode>0.00</c:formatCode>
                <c:ptCount val="106"/>
                <c:pt idx="0">
                  <c:v>3.41</c:v>
                </c:pt>
                <c:pt idx="1">
                  <c:v>7.04</c:v>
                </c:pt>
                <c:pt idx="2">
                  <c:v>1.1599999999999999</c:v>
                </c:pt>
                <c:pt idx="3">
                  <c:v>0.9</c:v>
                </c:pt>
                <c:pt idx="4">
                  <c:v>6.29</c:v>
                </c:pt>
                <c:pt idx="5">
                  <c:v>3.08</c:v>
                </c:pt>
                <c:pt idx="6">
                  <c:v>2.29</c:v>
                </c:pt>
                <c:pt idx="7">
                  <c:v>1.82</c:v>
                </c:pt>
                <c:pt idx="8">
                  <c:v>4.74</c:v>
                </c:pt>
                <c:pt idx="9">
                  <c:v>8.32</c:v>
                </c:pt>
                <c:pt idx="10">
                  <c:v>8.0299999999999994</c:v>
                </c:pt>
                <c:pt idx="11">
                  <c:v>4.54</c:v>
                </c:pt>
                <c:pt idx="12">
                  <c:v>4.22</c:v>
                </c:pt>
                <c:pt idx="13">
                  <c:v>2.95</c:v>
                </c:pt>
                <c:pt idx="14">
                  <c:v>4.88</c:v>
                </c:pt>
                <c:pt idx="15">
                  <c:v>5.25</c:v>
                </c:pt>
                <c:pt idx="16">
                  <c:v>3.45</c:v>
                </c:pt>
                <c:pt idx="17">
                  <c:v>4.5199999999999996</c:v>
                </c:pt>
                <c:pt idx="18">
                  <c:v>3.87</c:v>
                </c:pt>
                <c:pt idx="19">
                  <c:v>5.53</c:v>
                </c:pt>
                <c:pt idx="20">
                  <c:v>4.7</c:v>
                </c:pt>
                <c:pt idx="21">
                  <c:v>5.77</c:v>
                </c:pt>
                <c:pt idx="22">
                  <c:v>3.85</c:v>
                </c:pt>
                <c:pt idx="23">
                  <c:v>6.05</c:v>
                </c:pt>
                <c:pt idx="24">
                  <c:v>6.17</c:v>
                </c:pt>
                <c:pt idx="25">
                  <c:v>3.09</c:v>
                </c:pt>
                <c:pt idx="26">
                  <c:v>2.34</c:v>
                </c:pt>
                <c:pt idx="27">
                  <c:v>7.79</c:v>
                </c:pt>
                <c:pt idx="28">
                  <c:v>2.5</c:v>
                </c:pt>
                <c:pt idx="29">
                  <c:v>5.47</c:v>
                </c:pt>
                <c:pt idx="30">
                  <c:v>5.32</c:v>
                </c:pt>
                <c:pt idx="31">
                  <c:v>7.62</c:v>
                </c:pt>
                <c:pt idx="32">
                  <c:v>6.88</c:v>
                </c:pt>
                <c:pt idx="33">
                  <c:v>3.26</c:v>
                </c:pt>
                <c:pt idx="34">
                  <c:v>4.12</c:v>
                </c:pt>
                <c:pt idx="35">
                  <c:v>5.85</c:v>
                </c:pt>
                <c:pt idx="36">
                  <c:v>4.25</c:v>
                </c:pt>
                <c:pt idx="37">
                  <c:v>3.25</c:v>
                </c:pt>
                <c:pt idx="38">
                  <c:v>4.54</c:v>
                </c:pt>
                <c:pt idx="39">
                  <c:v>1.71</c:v>
                </c:pt>
                <c:pt idx="40">
                  <c:v>4.8600000000000003</c:v>
                </c:pt>
                <c:pt idx="41">
                  <c:v>4.3499999999999996</c:v>
                </c:pt>
                <c:pt idx="42">
                  <c:v>5.09</c:v>
                </c:pt>
                <c:pt idx="43">
                  <c:v>4.47</c:v>
                </c:pt>
                <c:pt idx="44">
                  <c:v>0.22</c:v>
                </c:pt>
                <c:pt idx="45">
                  <c:v>2.4300000000000002</c:v>
                </c:pt>
                <c:pt idx="46">
                  <c:v>3.59</c:v>
                </c:pt>
                <c:pt idx="47">
                  <c:v>3.85</c:v>
                </c:pt>
                <c:pt idx="48">
                  <c:v>4.88</c:v>
                </c:pt>
                <c:pt idx="49">
                  <c:v>6.08</c:v>
                </c:pt>
                <c:pt idx="50">
                  <c:v>3.31</c:v>
                </c:pt>
                <c:pt idx="51">
                  <c:v>2.2400000000000002</c:v>
                </c:pt>
                <c:pt idx="52">
                  <c:v>3.05</c:v>
                </c:pt>
                <c:pt idx="53">
                  <c:v>2.4</c:v>
                </c:pt>
                <c:pt idx="54">
                  <c:v>4.3499999999999996</c:v>
                </c:pt>
                <c:pt idx="55">
                  <c:v>5.16</c:v>
                </c:pt>
                <c:pt idx="56">
                  <c:v>2.93</c:v>
                </c:pt>
                <c:pt idx="57">
                  <c:v>3.19</c:v>
                </c:pt>
                <c:pt idx="58">
                  <c:v>4.82</c:v>
                </c:pt>
                <c:pt idx="59">
                  <c:v>0.59</c:v>
                </c:pt>
                <c:pt idx="60">
                  <c:v>5.07</c:v>
                </c:pt>
                <c:pt idx="61">
                  <c:v>4.4000000000000004</c:v>
                </c:pt>
                <c:pt idx="62">
                  <c:v>7.65</c:v>
                </c:pt>
                <c:pt idx="63">
                  <c:v>6.55</c:v>
                </c:pt>
                <c:pt idx="64">
                  <c:v>6.22</c:v>
                </c:pt>
                <c:pt idx="65">
                  <c:v>7.76</c:v>
                </c:pt>
                <c:pt idx="66">
                  <c:v>6.17</c:v>
                </c:pt>
                <c:pt idx="67">
                  <c:v>6.7</c:v>
                </c:pt>
                <c:pt idx="68">
                  <c:v>1.86</c:v>
                </c:pt>
                <c:pt idx="69">
                  <c:v>7.02</c:v>
                </c:pt>
                <c:pt idx="70">
                  <c:v>4.75</c:v>
                </c:pt>
                <c:pt idx="71">
                  <c:v>2.38</c:v>
                </c:pt>
                <c:pt idx="72">
                  <c:v>5.74</c:v>
                </c:pt>
                <c:pt idx="73">
                  <c:v>4.59</c:v>
                </c:pt>
                <c:pt idx="74">
                  <c:v>2.13</c:v>
                </c:pt>
                <c:pt idx="75">
                  <c:v>3.06</c:v>
                </c:pt>
                <c:pt idx="76">
                  <c:v>4.68</c:v>
                </c:pt>
                <c:pt idx="77">
                  <c:v>1.89</c:v>
                </c:pt>
                <c:pt idx="78">
                  <c:v>7.13</c:v>
                </c:pt>
                <c:pt idx="79">
                  <c:v>2.44</c:v>
                </c:pt>
                <c:pt idx="80">
                  <c:v>4.4000000000000004</c:v>
                </c:pt>
                <c:pt idx="81">
                  <c:v>4.55</c:v>
                </c:pt>
                <c:pt idx="82">
                  <c:v>7.86</c:v>
                </c:pt>
                <c:pt idx="83">
                  <c:v>5.45</c:v>
                </c:pt>
                <c:pt idx="84">
                  <c:v>4.28</c:v>
                </c:pt>
                <c:pt idx="85">
                  <c:v>2.86</c:v>
                </c:pt>
                <c:pt idx="86">
                  <c:v>4.45</c:v>
                </c:pt>
                <c:pt idx="87">
                  <c:v>4.5999999999999996</c:v>
                </c:pt>
                <c:pt idx="88">
                  <c:v>2.2400000000000002</c:v>
                </c:pt>
                <c:pt idx="89">
                  <c:v>5.31</c:v>
                </c:pt>
                <c:pt idx="90">
                  <c:v>3.45</c:v>
                </c:pt>
                <c:pt idx="91">
                  <c:v>4.3</c:v>
                </c:pt>
                <c:pt idx="92">
                  <c:v>4.41</c:v>
                </c:pt>
                <c:pt idx="93">
                  <c:v>4.3499999999999996</c:v>
                </c:pt>
                <c:pt idx="94">
                  <c:v>3.54</c:v>
                </c:pt>
                <c:pt idx="95">
                  <c:v>5.51</c:v>
                </c:pt>
                <c:pt idx="96">
                  <c:v>3.48</c:v>
                </c:pt>
                <c:pt idx="97">
                  <c:v>7.87</c:v>
                </c:pt>
                <c:pt idx="98">
                  <c:v>3.26</c:v>
                </c:pt>
                <c:pt idx="99">
                  <c:v>1.29</c:v>
                </c:pt>
                <c:pt idx="100">
                  <c:v>4.24</c:v>
                </c:pt>
                <c:pt idx="101">
                  <c:v>5.68</c:v>
                </c:pt>
                <c:pt idx="102">
                  <c:v>3.93</c:v>
                </c:pt>
                <c:pt idx="103">
                  <c:v>3.53</c:v>
                </c:pt>
                <c:pt idx="104">
                  <c:v>3.25</c:v>
                </c:pt>
                <c:pt idx="105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6-40ED-BD63-34A86536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8937104"/>
        <c:axId val="628932944"/>
      </c:lineChart>
      <c:dateAx>
        <c:axId val="6289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338321848346778"/>
              <c:y val="0.92276076601535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28932944"/>
        <c:crosses val="autoZero"/>
        <c:auto val="1"/>
        <c:lblOffset val="100"/>
        <c:baseTimeUnit val="days"/>
      </c:dateAx>
      <c:valAx>
        <c:axId val="62893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1.5296364042222782E-2"/>
              <c:y val="0.3787802787277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28937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HCMC daily generation time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2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12897567804024496"/>
          <c:y val="0.18384787472035796"/>
          <c:w val="0.84308781402324706"/>
          <c:h val="0.5595381282037731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</c:f>
              <c:numCache>
                <c:formatCode>[$-409]d\-mmm;@</c:formatCode>
                <c:ptCount val="106"/>
                <c:pt idx="0">
                  <c:v>44313</c:v>
                </c:pt>
                <c:pt idx="1">
                  <c:v>44315</c:v>
                </c:pt>
                <c:pt idx="2">
                  <c:v>44317</c:v>
                </c:pt>
                <c:pt idx="3">
                  <c:v>44319</c:v>
                </c:pt>
                <c:pt idx="4">
                  <c:v>44321</c:v>
                </c:pt>
                <c:pt idx="5">
                  <c:v>44323</c:v>
                </c:pt>
                <c:pt idx="6">
                  <c:v>44325</c:v>
                </c:pt>
                <c:pt idx="7">
                  <c:v>44327</c:v>
                </c:pt>
                <c:pt idx="8">
                  <c:v>44329</c:v>
                </c:pt>
                <c:pt idx="9">
                  <c:v>44331</c:v>
                </c:pt>
                <c:pt idx="10">
                  <c:v>44333</c:v>
                </c:pt>
                <c:pt idx="11">
                  <c:v>44335</c:v>
                </c:pt>
                <c:pt idx="12">
                  <c:v>44337</c:v>
                </c:pt>
                <c:pt idx="13">
                  <c:v>44339</c:v>
                </c:pt>
                <c:pt idx="14">
                  <c:v>44341</c:v>
                </c:pt>
                <c:pt idx="15">
                  <c:v>44343</c:v>
                </c:pt>
                <c:pt idx="16">
                  <c:v>44345</c:v>
                </c:pt>
                <c:pt idx="17">
                  <c:v>44347</c:v>
                </c:pt>
                <c:pt idx="18">
                  <c:v>44349</c:v>
                </c:pt>
                <c:pt idx="19">
                  <c:v>44351</c:v>
                </c:pt>
                <c:pt idx="20">
                  <c:v>44353</c:v>
                </c:pt>
                <c:pt idx="21">
                  <c:v>44355</c:v>
                </c:pt>
                <c:pt idx="22">
                  <c:v>44357</c:v>
                </c:pt>
                <c:pt idx="23">
                  <c:v>44359</c:v>
                </c:pt>
                <c:pt idx="24">
                  <c:v>44361</c:v>
                </c:pt>
                <c:pt idx="25">
                  <c:v>44363</c:v>
                </c:pt>
                <c:pt idx="26">
                  <c:v>44365</c:v>
                </c:pt>
                <c:pt idx="27">
                  <c:v>44367</c:v>
                </c:pt>
                <c:pt idx="28">
                  <c:v>44369</c:v>
                </c:pt>
                <c:pt idx="29">
                  <c:v>44371</c:v>
                </c:pt>
                <c:pt idx="30">
                  <c:v>44373</c:v>
                </c:pt>
                <c:pt idx="31">
                  <c:v>44375</c:v>
                </c:pt>
                <c:pt idx="32">
                  <c:v>44377</c:v>
                </c:pt>
                <c:pt idx="33">
                  <c:v>44379</c:v>
                </c:pt>
                <c:pt idx="34">
                  <c:v>44381</c:v>
                </c:pt>
                <c:pt idx="35">
                  <c:v>44383</c:v>
                </c:pt>
                <c:pt idx="36">
                  <c:v>44385</c:v>
                </c:pt>
                <c:pt idx="37">
                  <c:v>44387</c:v>
                </c:pt>
                <c:pt idx="38">
                  <c:v>44389</c:v>
                </c:pt>
                <c:pt idx="39">
                  <c:v>44391</c:v>
                </c:pt>
                <c:pt idx="40">
                  <c:v>44393</c:v>
                </c:pt>
                <c:pt idx="41">
                  <c:v>44395</c:v>
                </c:pt>
                <c:pt idx="42">
                  <c:v>44397</c:v>
                </c:pt>
                <c:pt idx="43">
                  <c:v>44399</c:v>
                </c:pt>
                <c:pt idx="44">
                  <c:v>44401</c:v>
                </c:pt>
                <c:pt idx="45">
                  <c:v>44403</c:v>
                </c:pt>
                <c:pt idx="46">
                  <c:v>44405</c:v>
                </c:pt>
                <c:pt idx="47">
                  <c:v>44407</c:v>
                </c:pt>
                <c:pt idx="48">
                  <c:v>44409</c:v>
                </c:pt>
                <c:pt idx="49">
                  <c:v>44411</c:v>
                </c:pt>
                <c:pt idx="50">
                  <c:v>44413</c:v>
                </c:pt>
                <c:pt idx="51">
                  <c:v>44415</c:v>
                </c:pt>
                <c:pt idx="52">
                  <c:v>44417</c:v>
                </c:pt>
                <c:pt idx="53">
                  <c:v>44419</c:v>
                </c:pt>
                <c:pt idx="54">
                  <c:v>44421</c:v>
                </c:pt>
                <c:pt idx="55">
                  <c:v>44423</c:v>
                </c:pt>
                <c:pt idx="56">
                  <c:v>44425</c:v>
                </c:pt>
                <c:pt idx="57">
                  <c:v>44427</c:v>
                </c:pt>
                <c:pt idx="58">
                  <c:v>44429</c:v>
                </c:pt>
                <c:pt idx="59">
                  <c:v>44431</c:v>
                </c:pt>
                <c:pt idx="60">
                  <c:v>44433</c:v>
                </c:pt>
                <c:pt idx="61">
                  <c:v>44435</c:v>
                </c:pt>
                <c:pt idx="62">
                  <c:v>44437</c:v>
                </c:pt>
                <c:pt idx="63">
                  <c:v>44439</c:v>
                </c:pt>
                <c:pt idx="64">
                  <c:v>44441</c:v>
                </c:pt>
                <c:pt idx="65">
                  <c:v>44443</c:v>
                </c:pt>
                <c:pt idx="66">
                  <c:v>44445</c:v>
                </c:pt>
                <c:pt idx="67">
                  <c:v>44447</c:v>
                </c:pt>
                <c:pt idx="68">
                  <c:v>44449</c:v>
                </c:pt>
                <c:pt idx="69">
                  <c:v>44451</c:v>
                </c:pt>
                <c:pt idx="70">
                  <c:v>44453</c:v>
                </c:pt>
                <c:pt idx="71">
                  <c:v>44455</c:v>
                </c:pt>
                <c:pt idx="72">
                  <c:v>44457</c:v>
                </c:pt>
                <c:pt idx="73">
                  <c:v>44459</c:v>
                </c:pt>
                <c:pt idx="74">
                  <c:v>44461</c:v>
                </c:pt>
                <c:pt idx="75">
                  <c:v>44463</c:v>
                </c:pt>
                <c:pt idx="76">
                  <c:v>44465</c:v>
                </c:pt>
                <c:pt idx="77">
                  <c:v>44467</c:v>
                </c:pt>
                <c:pt idx="78">
                  <c:v>44469</c:v>
                </c:pt>
                <c:pt idx="79">
                  <c:v>44471</c:v>
                </c:pt>
                <c:pt idx="80">
                  <c:v>44473</c:v>
                </c:pt>
                <c:pt idx="81">
                  <c:v>44475</c:v>
                </c:pt>
                <c:pt idx="82">
                  <c:v>44477</c:v>
                </c:pt>
                <c:pt idx="83">
                  <c:v>44479</c:v>
                </c:pt>
                <c:pt idx="84">
                  <c:v>44481</c:v>
                </c:pt>
                <c:pt idx="85">
                  <c:v>44483</c:v>
                </c:pt>
                <c:pt idx="86">
                  <c:v>44485</c:v>
                </c:pt>
                <c:pt idx="87">
                  <c:v>44487</c:v>
                </c:pt>
                <c:pt idx="88">
                  <c:v>44489</c:v>
                </c:pt>
                <c:pt idx="89">
                  <c:v>44491</c:v>
                </c:pt>
                <c:pt idx="90">
                  <c:v>44493</c:v>
                </c:pt>
                <c:pt idx="91">
                  <c:v>44495</c:v>
                </c:pt>
                <c:pt idx="92">
                  <c:v>44497</c:v>
                </c:pt>
                <c:pt idx="93">
                  <c:v>44499</c:v>
                </c:pt>
                <c:pt idx="94">
                  <c:v>44501</c:v>
                </c:pt>
                <c:pt idx="95">
                  <c:v>44503</c:v>
                </c:pt>
                <c:pt idx="96">
                  <c:v>44505</c:v>
                </c:pt>
                <c:pt idx="97">
                  <c:v>44507</c:v>
                </c:pt>
                <c:pt idx="98">
                  <c:v>44509</c:v>
                </c:pt>
                <c:pt idx="99">
                  <c:v>44511</c:v>
                </c:pt>
                <c:pt idx="100">
                  <c:v>44513</c:v>
                </c:pt>
                <c:pt idx="101">
                  <c:v>44515</c:v>
                </c:pt>
                <c:pt idx="102">
                  <c:v>44517</c:v>
                </c:pt>
                <c:pt idx="103">
                  <c:v>44519</c:v>
                </c:pt>
                <c:pt idx="104">
                  <c:v>44521</c:v>
                </c:pt>
                <c:pt idx="105">
                  <c:v>44523</c:v>
                </c:pt>
              </c:numCache>
            </c:numRef>
          </c:cat>
          <c:val>
            <c:numRef>
              <c:f>Sheet1!$G$2:$G$107</c:f>
              <c:numCache>
                <c:formatCode>0.00</c:formatCode>
                <c:ptCount val="106"/>
                <c:pt idx="0">
                  <c:v>2.76</c:v>
                </c:pt>
                <c:pt idx="1">
                  <c:v>2.5099999999999998</c:v>
                </c:pt>
                <c:pt idx="2">
                  <c:v>4.82</c:v>
                </c:pt>
                <c:pt idx="3">
                  <c:v>2.87</c:v>
                </c:pt>
                <c:pt idx="4">
                  <c:v>0.9</c:v>
                </c:pt>
                <c:pt idx="5">
                  <c:v>2.2000000000000002</c:v>
                </c:pt>
                <c:pt idx="6">
                  <c:v>2.5</c:v>
                </c:pt>
                <c:pt idx="7">
                  <c:v>3.23</c:v>
                </c:pt>
                <c:pt idx="8">
                  <c:v>4.75</c:v>
                </c:pt>
                <c:pt idx="9">
                  <c:v>4.28</c:v>
                </c:pt>
                <c:pt idx="10">
                  <c:v>4.72</c:v>
                </c:pt>
                <c:pt idx="11">
                  <c:v>1.85</c:v>
                </c:pt>
                <c:pt idx="12">
                  <c:v>0.45</c:v>
                </c:pt>
                <c:pt idx="13">
                  <c:v>1.56</c:v>
                </c:pt>
                <c:pt idx="14">
                  <c:v>1.31</c:v>
                </c:pt>
                <c:pt idx="15">
                  <c:v>4.12</c:v>
                </c:pt>
                <c:pt idx="16">
                  <c:v>4.7699999999999996</c:v>
                </c:pt>
                <c:pt idx="17">
                  <c:v>3.64</c:v>
                </c:pt>
                <c:pt idx="18">
                  <c:v>4.5</c:v>
                </c:pt>
                <c:pt idx="19">
                  <c:v>2.92</c:v>
                </c:pt>
                <c:pt idx="20">
                  <c:v>5.61</c:v>
                </c:pt>
                <c:pt idx="21">
                  <c:v>4.08</c:v>
                </c:pt>
                <c:pt idx="22">
                  <c:v>0.68</c:v>
                </c:pt>
                <c:pt idx="23">
                  <c:v>2.95</c:v>
                </c:pt>
                <c:pt idx="24">
                  <c:v>4.7699999999999996</c:v>
                </c:pt>
                <c:pt idx="25">
                  <c:v>2.5</c:v>
                </c:pt>
                <c:pt idx="26">
                  <c:v>0.69</c:v>
                </c:pt>
                <c:pt idx="27">
                  <c:v>2.79</c:v>
                </c:pt>
                <c:pt idx="28">
                  <c:v>2.84</c:v>
                </c:pt>
                <c:pt idx="29">
                  <c:v>2.9</c:v>
                </c:pt>
                <c:pt idx="30">
                  <c:v>3.21</c:v>
                </c:pt>
                <c:pt idx="31">
                  <c:v>2.9</c:v>
                </c:pt>
                <c:pt idx="32">
                  <c:v>1.03</c:v>
                </c:pt>
                <c:pt idx="33">
                  <c:v>4.13</c:v>
                </c:pt>
                <c:pt idx="34">
                  <c:v>1.1000000000000001</c:v>
                </c:pt>
                <c:pt idx="35">
                  <c:v>2.42</c:v>
                </c:pt>
                <c:pt idx="36">
                  <c:v>1.26</c:v>
                </c:pt>
                <c:pt idx="37">
                  <c:v>1.61</c:v>
                </c:pt>
                <c:pt idx="38">
                  <c:v>2.9</c:v>
                </c:pt>
                <c:pt idx="39">
                  <c:v>3.08</c:v>
                </c:pt>
                <c:pt idx="40">
                  <c:v>2.5099999999999998</c:v>
                </c:pt>
                <c:pt idx="41">
                  <c:v>2.41</c:v>
                </c:pt>
                <c:pt idx="42">
                  <c:v>1.77</c:v>
                </c:pt>
                <c:pt idx="43">
                  <c:v>4.49</c:v>
                </c:pt>
                <c:pt idx="44">
                  <c:v>4.4400000000000004</c:v>
                </c:pt>
                <c:pt idx="45">
                  <c:v>3.2</c:v>
                </c:pt>
                <c:pt idx="46">
                  <c:v>4.58</c:v>
                </c:pt>
                <c:pt idx="47">
                  <c:v>5.64</c:v>
                </c:pt>
                <c:pt idx="48">
                  <c:v>2.9</c:v>
                </c:pt>
                <c:pt idx="49">
                  <c:v>0.47</c:v>
                </c:pt>
                <c:pt idx="50">
                  <c:v>1.99</c:v>
                </c:pt>
                <c:pt idx="51">
                  <c:v>7.31</c:v>
                </c:pt>
                <c:pt idx="52">
                  <c:v>4.4000000000000004</c:v>
                </c:pt>
                <c:pt idx="53">
                  <c:v>5.36</c:v>
                </c:pt>
                <c:pt idx="54">
                  <c:v>2.99</c:v>
                </c:pt>
                <c:pt idx="55">
                  <c:v>2.13</c:v>
                </c:pt>
                <c:pt idx="56">
                  <c:v>6.76</c:v>
                </c:pt>
                <c:pt idx="57">
                  <c:v>0.39</c:v>
                </c:pt>
                <c:pt idx="58">
                  <c:v>3.86</c:v>
                </c:pt>
                <c:pt idx="59">
                  <c:v>6.76</c:v>
                </c:pt>
                <c:pt idx="60">
                  <c:v>1.9</c:v>
                </c:pt>
                <c:pt idx="61">
                  <c:v>8.09</c:v>
                </c:pt>
                <c:pt idx="62">
                  <c:v>5.98</c:v>
                </c:pt>
                <c:pt idx="63">
                  <c:v>3.27</c:v>
                </c:pt>
                <c:pt idx="64">
                  <c:v>1.5</c:v>
                </c:pt>
                <c:pt idx="65">
                  <c:v>4.78</c:v>
                </c:pt>
                <c:pt idx="66">
                  <c:v>4.13</c:v>
                </c:pt>
                <c:pt idx="67">
                  <c:v>2.9</c:v>
                </c:pt>
                <c:pt idx="68">
                  <c:v>4.1500000000000004</c:v>
                </c:pt>
                <c:pt idx="69">
                  <c:v>2.71</c:v>
                </c:pt>
                <c:pt idx="70">
                  <c:v>1.42</c:v>
                </c:pt>
                <c:pt idx="71">
                  <c:v>5.09</c:v>
                </c:pt>
                <c:pt idx="72">
                  <c:v>2.71</c:v>
                </c:pt>
                <c:pt idx="73">
                  <c:v>3.91</c:v>
                </c:pt>
                <c:pt idx="74">
                  <c:v>1.77</c:v>
                </c:pt>
                <c:pt idx="75">
                  <c:v>3.69</c:v>
                </c:pt>
                <c:pt idx="76">
                  <c:v>0.64</c:v>
                </c:pt>
                <c:pt idx="77">
                  <c:v>3.26</c:v>
                </c:pt>
                <c:pt idx="78">
                  <c:v>2.48</c:v>
                </c:pt>
                <c:pt idx="79">
                  <c:v>4.18</c:v>
                </c:pt>
                <c:pt idx="80">
                  <c:v>1.44</c:v>
                </c:pt>
                <c:pt idx="81">
                  <c:v>3.28</c:v>
                </c:pt>
                <c:pt idx="82">
                  <c:v>2.88</c:v>
                </c:pt>
                <c:pt idx="83">
                  <c:v>3.54</c:v>
                </c:pt>
                <c:pt idx="84">
                  <c:v>1.65</c:v>
                </c:pt>
                <c:pt idx="85">
                  <c:v>1.74</c:v>
                </c:pt>
                <c:pt idx="86">
                  <c:v>3.09</c:v>
                </c:pt>
                <c:pt idx="87">
                  <c:v>5.48</c:v>
                </c:pt>
                <c:pt idx="88">
                  <c:v>3.76</c:v>
                </c:pt>
                <c:pt idx="89">
                  <c:v>1.81</c:v>
                </c:pt>
                <c:pt idx="90">
                  <c:v>2.9</c:v>
                </c:pt>
                <c:pt idx="91">
                  <c:v>4.63</c:v>
                </c:pt>
                <c:pt idx="92">
                  <c:v>2.9</c:v>
                </c:pt>
                <c:pt idx="93">
                  <c:v>5.0199999999999996</c:v>
                </c:pt>
                <c:pt idx="94">
                  <c:v>4.97</c:v>
                </c:pt>
                <c:pt idx="95">
                  <c:v>2.2400000000000002</c:v>
                </c:pt>
                <c:pt idx="96">
                  <c:v>2.9</c:v>
                </c:pt>
                <c:pt idx="97">
                  <c:v>5.17</c:v>
                </c:pt>
                <c:pt idx="98">
                  <c:v>4.6900000000000004</c:v>
                </c:pt>
                <c:pt idx="99">
                  <c:v>2.81</c:v>
                </c:pt>
                <c:pt idx="100">
                  <c:v>5.73</c:v>
                </c:pt>
                <c:pt idx="101">
                  <c:v>3.4</c:v>
                </c:pt>
                <c:pt idx="102">
                  <c:v>5.19</c:v>
                </c:pt>
                <c:pt idx="103">
                  <c:v>5.7</c:v>
                </c:pt>
                <c:pt idx="104">
                  <c:v>0.54</c:v>
                </c:pt>
                <c:pt idx="105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0-4335-AB45-2A63E8BF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8937104"/>
        <c:axId val="628932944"/>
      </c:lineChart>
      <c:dateAx>
        <c:axId val="6289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51753530808648918"/>
              <c:y val="0.91505575225915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28932944"/>
        <c:crosses val="autoZero"/>
        <c:auto val="1"/>
        <c:lblOffset val="100"/>
        <c:baseTimeUnit val="days"/>
      </c:dateAx>
      <c:valAx>
        <c:axId val="62893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7.619047619047619E-3"/>
              <c:y val="0.38351635575754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28937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328084</xdr:colOff>
      <xdr:row>0</xdr:row>
      <xdr:rowOff>147108</xdr:rowOff>
    </xdr:from>
    <xdr:to>
      <xdr:col>11</xdr:col>
      <xdr:colOff>603251</xdr:colOff>
      <xdr:row>14</xdr:row>
      <xdr:rowOff>75141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10218-3823-4A41-8BFD-443A03E3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349251</xdr:colOff>
      <xdr:row>0</xdr:row>
      <xdr:rowOff>147107</xdr:rowOff>
    </xdr:from>
    <xdr:to>
      <xdr:col>20</xdr:col>
      <xdr:colOff>10584</xdr:colOff>
      <xdr:row>14</xdr:row>
      <xdr:rowOff>75140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E3308-A360-4A07-AFEB-0D1A2AF7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169333</xdr:colOff>
      <xdr:row>15</xdr:row>
      <xdr:rowOff>169333</xdr:rowOff>
    </xdr:from>
    <xdr:to>
      <xdr:col>11</xdr:col>
      <xdr:colOff>249959</xdr:colOff>
      <xdr:row>49</xdr:row>
      <xdr:rowOff>53975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2DA11410-BE73-471A-8304-426C6E20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858" y="3169708"/>
          <a:ext cx="4747876" cy="668549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201084</xdr:colOff>
      <xdr:row>15</xdr:row>
      <xdr:rowOff>137583</xdr:rowOff>
    </xdr:from>
    <xdr:to>
      <xdr:col>18</xdr:col>
      <xdr:colOff>573522</xdr:colOff>
      <xdr:row>48</xdr:row>
      <xdr:rowOff>31750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52D25356-9EC6-4F5B-AE15-7D55386D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4259" y="3137958"/>
          <a:ext cx="4715838" cy="649499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15</xdr:col>
      <xdr:colOff>601710</xdr:colOff>
      <xdr:row>71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CE8CED-C95C-4CB7-874B-8EBBEE03F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58125" y="10601325"/>
          <a:ext cx="5421360" cy="363855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52</xdr:row>
      <xdr:rowOff>42333</xdr:rowOff>
    </xdr:from>
    <xdr:to>
      <xdr:col>32</xdr:col>
      <xdr:colOff>575733</xdr:colOff>
      <xdr:row>70</xdr:row>
      <xdr:rowOff>80433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1CD4F9-DE9D-4119-BB39-AD76B3781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64175" y="10443633"/>
          <a:ext cx="5452533" cy="36385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16</xdr:col>
      <xdr:colOff>264103</xdr:colOff>
      <xdr:row>84</xdr:row>
      <xdr:rowOff>38100</xdr:rowOff>
    </xdr:to>
    <xdr:pic>
      <xdr:nvPicPr>
        <xdr:cNvPr id="8" name="Picture 7" descr="Model identification by ACF and PACF | Download Table">
          <a:extLst>
            <a:ext uri="{FF2B5EF4-FFF2-40B4-BE49-F238E27FC236}">
              <a16:creationId xmlns:a16="http://schemas.microsoft.com/office/drawing/2014/main" id="{CDA5AD88-8B73-4278-9305-CAF901A19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5201900"/>
          <a:ext cx="5693353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114300</xdr:rowOff>
    </xdr:from>
    <xdr:to>
      <xdr:col>9</xdr:col>
      <xdr:colOff>733425</xdr:colOff>
      <xdr:row>10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EDC3B-E5B2-403A-BA4A-95F20E50A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866775</xdr:colOff>
      <xdr:row>0</xdr:row>
      <xdr:rowOff>104775</xdr:rowOff>
    </xdr:from>
    <xdr:to>
      <xdr:col>13</xdr:col>
      <xdr:colOff>542925</xdr:colOff>
      <xdr:row>10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07246-2944-4C11-914E-5300253E6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512764</xdr:colOff>
      <xdr:row>18</xdr:row>
      <xdr:rowOff>190500</xdr:rowOff>
    </xdr:from>
    <xdr:to>
      <xdr:col>16</xdr:col>
      <xdr:colOff>1292226</xdr:colOff>
      <xdr:row>29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C7D99-B0E8-4DA5-8A7F-DC51338FE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8466</xdr:colOff>
      <xdr:row>0</xdr:row>
      <xdr:rowOff>209549</xdr:rowOff>
    </xdr:from>
    <xdr:to>
      <xdr:col>24</xdr:col>
      <xdr:colOff>228600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8E061-5889-4EF7-961D-605291FE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2</xdr:row>
      <xdr:rowOff>152399</xdr:rowOff>
    </xdr:from>
    <xdr:to>
      <xdr:col>27</xdr:col>
      <xdr:colOff>47625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6562B-2BAC-401D-A1FB-CB34DF960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90</xdr:row>
      <xdr:rowOff>133350</xdr:rowOff>
    </xdr:from>
    <xdr:to>
      <xdr:col>16</xdr:col>
      <xdr:colOff>19050</xdr:colOff>
      <xdr:row>105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E802C-5BAA-4E12-B84C-9D60827B1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74</xdr:row>
      <xdr:rowOff>85725</xdr:rowOff>
    </xdr:from>
    <xdr:to>
      <xdr:col>16</xdr:col>
      <xdr:colOff>123825</xdr:colOff>
      <xdr:row>89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AD242-17F7-4A6E-8F06-E96E0EC8D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306161</xdr:colOff>
      <xdr:row>14</xdr:row>
      <xdr:rowOff>40822</xdr:rowOff>
    </xdr:from>
    <xdr:to>
      <xdr:col>26</xdr:col>
      <xdr:colOff>69549</xdr:colOff>
      <xdr:row>27</xdr:row>
      <xdr:rowOff>84668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3692C-5473-44CE-B8F7-9DE59E019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301623</xdr:colOff>
      <xdr:row>29</xdr:row>
      <xdr:rowOff>86708</xdr:rowOff>
    </xdr:from>
    <xdr:to>
      <xdr:col>26</xdr:col>
      <xdr:colOff>43845</xdr:colOff>
      <xdr:row>46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FCE87-5E47-4029-8320-0E2D9D04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687916</xdr:colOff>
      <xdr:row>2</xdr:row>
      <xdr:rowOff>0</xdr:rowOff>
    </xdr:from>
    <xdr:to>
      <xdr:col>11</xdr:col>
      <xdr:colOff>529166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E1D00-E2B7-4E6E-93E1-4FB36BC4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158749</xdr:colOff>
      <xdr:row>13</xdr:row>
      <xdr:rowOff>42334</xdr:rowOff>
    </xdr:from>
    <xdr:to>
      <xdr:col>11</xdr:col>
      <xdr:colOff>539749</xdr:colOff>
      <xdr:row>22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0778C-4A38-4FFF-AAC1-D7749D5D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&#258;M%204%20-%20SEM1\CAPSTONE%20DESIGN\Research%20paper\Data%20validation\Final\Data%20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ỢT 4"/>
      <sheetName val="90% &amp; 95% CI"/>
      <sheetName val="Benford fit 95%"/>
      <sheetName val="Chi-square, d factor, MAD, SSD"/>
      <sheetName val="SUMMARY"/>
      <sheetName val="Sheet1"/>
      <sheetName val="Vaccination"/>
    </sheetNames>
    <sheetDataSet>
      <sheetData sheetId="0" refreshError="1"/>
      <sheetData sheetId="1" refreshError="1"/>
      <sheetData sheetId="2">
        <row r="3">
          <cell r="AG3" t="str">
            <v>Benford</v>
          </cell>
          <cell r="AH3" t="str">
            <v>Data Value</v>
          </cell>
          <cell r="AI3" t="str">
            <v>Upper limit</v>
          </cell>
          <cell r="AJ3" t="str">
            <v>Lower limit</v>
          </cell>
          <cell r="AL3" t="str">
            <v>Benford</v>
          </cell>
          <cell r="AM3" t="str">
            <v>Data Value</v>
          </cell>
          <cell r="AN3" t="str">
            <v>Upper linit</v>
          </cell>
          <cell r="AO3" t="str">
            <v>Lower limit</v>
          </cell>
        </row>
        <row r="4">
          <cell r="AF4">
            <v>0</v>
          </cell>
          <cell r="AK4">
            <v>0</v>
          </cell>
          <cell r="AL4">
            <v>0.1197</v>
          </cell>
          <cell r="AM4">
            <v>0.12209302325581395</v>
          </cell>
          <cell r="AN4">
            <v>0</v>
          </cell>
          <cell r="AO4">
            <v>0</v>
          </cell>
        </row>
        <row r="5">
          <cell r="AF5">
            <v>1</v>
          </cell>
          <cell r="AG5">
            <v>0.30099999999999999</v>
          </cell>
          <cell r="AH5">
            <v>0.27906976744186052</v>
          </cell>
          <cell r="AI5">
            <v>0</v>
          </cell>
          <cell r="AJ5">
            <v>0</v>
          </cell>
          <cell r="AK5">
            <v>1</v>
          </cell>
          <cell r="AL5">
            <v>0.1139</v>
          </cell>
          <cell r="AM5">
            <v>0.13953488372093023</v>
          </cell>
          <cell r="AN5">
            <v>0</v>
          </cell>
          <cell r="AO5">
            <v>0</v>
          </cell>
        </row>
        <row r="6">
          <cell r="AF6">
            <v>2</v>
          </cell>
          <cell r="AG6">
            <v>0.17610000000000001</v>
          </cell>
          <cell r="AH6">
            <v>9.3023255813953487E-2</v>
          </cell>
          <cell r="AI6">
            <v>0</v>
          </cell>
          <cell r="AJ6">
            <v>0</v>
          </cell>
          <cell r="AK6">
            <v>2</v>
          </cell>
          <cell r="AL6">
            <v>0.10879999999999999</v>
          </cell>
          <cell r="AM6">
            <v>8.1395348837209294E-2</v>
          </cell>
          <cell r="AN6">
            <v>0</v>
          </cell>
          <cell r="AO6">
            <v>0</v>
          </cell>
        </row>
        <row r="7">
          <cell r="AF7">
            <v>3</v>
          </cell>
          <cell r="AG7">
            <v>0.1249</v>
          </cell>
          <cell r="AH7">
            <v>0.12209302325581395</v>
          </cell>
          <cell r="AI7">
            <v>0</v>
          </cell>
          <cell r="AJ7">
            <v>0</v>
          </cell>
          <cell r="AK7">
            <v>3</v>
          </cell>
          <cell r="AL7">
            <v>0.1043</v>
          </cell>
          <cell r="AM7">
            <v>0.14534883720930233</v>
          </cell>
          <cell r="AN7">
            <v>0</v>
          </cell>
          <cell r="AO7">
            <v>0</v>
          </cell>
        </row>
        <row r="8">
          <cell r="AF8">
            <v>4</v>
          </cell>
          <cell r="AG8">
            <v>9.69E-2</v>
          </cell>
          <cell r="AH8">
            <v>0.13953488372093023</v>
          </cell>
          <cell r="AI8">
            <v>0</v>
          </cell>
          <cell r="AJ8">
            <v>0</v>
          </cell>
          <cell r="AK8">
            <v>4</v>
          </cell>
          <cell r="AL8">
            <v>0.1003</v>
          </cell>
          <cell r="AM8">
            <v>0.11046511627906974</v>
          </cell>
          <cell r="AN8">
            <v>0</v>
          </cell>
          <cell r="AO8">
            <v>0</v>
          </cell>
        </row>
        <row r="9">
          <cell r="AF9">
            <v>5</v>
          </cell>
          <cell r="AG9">
            <v>7.9200000000000007E-2</v>
          </cell>
          <cell r="AH9">
            <v>0.13372093023255813</v>
          </cell>
          <cell r="AI9">
            <v>0</v>
          </cell>
          <cell r="AJ9">
            <v>0</v>
          </cell>
          <cell r="AK9">
            <v>5</v>
          </cell>
          <cell r="AL9">
            <v>9.6699999999999994E-2</v>
          </cell>
          <cell r="AM9">
            <v>8.7209302325581384E-2</v>
          </cell>
          <cell r="AN9">
            <v>0</v>
          </cell>
          <cell r="AO9">
            <v>0</v>
          </cell>
        </row>
        <row r="10">
          <cell r="AF10">
            <v>6</v>
          </cell>
          <cell r="AG10">
            <v>6.6900000000000001E-2</v>
          </cell>
          <cell r="AH10">
            <v>6.3953488372093026E-2</v>
          </cell>
          <cell r="AI10">
            <v>0</v>
          </cell>
          <cell r="AJ10">
            <v>0</v>
          </cell>
          <cell r="AK10">
            <v>6</v>
          </cell>
          <cell r="AL10">
            <v>9.3399999999999997E-2</v>
          </cell>
          <cell r="AM10">
            <v>0.11627906976744184</v>
          </cell>
          <cell r="AN10">
            <v>0</v>
          </cell>
          <cell r="AO10">
            <v>0</v>
          </cell>
        </row>
        <row r="11">
          <cell r="AF11">
            <v>7</v>
          </cell>
          <cell r="AG11">
            <v>5.8000000000000003E-2</v>
          </cell>
          <cell r="AH11">
            <v>5.8139534883720922E-2</v>
          </cell>
          <cell r="AI11">
            <v>0</v>
          </cell>
          <cell r="AJ11">
            <v>0</v>
          </cell>
          <cell r="AK11">
            <v>7</v>
          </cell>
          <cell r="AL11">
            <v>9.0399999999999994E-2</v>
          </cell>
          <cell r="AM11">
            <v>4.6511627906976744E-2</v>
          </cell>
          <cell r="AN11">
            <v>0</v>
          </cell>
          <cell r="AO11">
            <v>0</v>
          </cell>
        </row>
        <row r="12">
          <cell r="AF12">
            <v>8</v>
          </cell>
          <cell r="AG12">
            <v>5.1200000000000002E-2</v>
          </cell>
          <cell r="AH12">
            <v>1.7441860465116279E-2</v>
          </cell>
          <cell r="AI12">
            <v>0</v>
          </cell>
          <cell r="AJ12">
            <v>0</v>
          </cell>
          <cell r="AK12">
            <v>8</v>
          </cell>
          <cell r="AL12">
            <v>8.7599999999999997E-2</v>
          </cell>
          <cell r="AM12">
            <v>8.1395348837209294E-2</v>
          </cell>
          <cell r="AN12">
            <v>0</v>
          </cell>
          <cell r="AO12">
            <v>0</v>
          </cell>
        </row>
        <row r="13">
          <cell r="AF13">
            <v>9</v>
          </cell>
          <cell r="AG13">
            <v>4.58E-2</v>
          </cell>
          <cell r="AH13">
            <v>9.3023255813953487E-2</v>
          </cell>
          <cell r="AI13">
            <v>0</v>
          </cell>
          <cell r="AJ13">
            <v>0</v>
          </cell>
          <cell r="AK13">
            <v>9</v>
          </cell>
          <cell r="AL13">
            <v>8.5000000000000006E-2</v>
          </cell>
          <cell r="AM13">
            <v>6.9767441860465115E-2</v>
          </cell>
          <cell r="AN13">
            <v>0</v>
          </cell>
          <cell r="AO13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news.com/2020/07/21/cdc-study-actual-covid-19-cases/" TargetMode="External"/><Relationship Id="rId2" Type="http://schemas.openxmlformats.org/officeDocument/2006/relationships/hyperlink" Target="https://www.baosoctrang.org.vn/quoc-te/so-ca-mac-covid-19-tai-chau-phi-cao-gap-7-lan-so-voi-muc-duoc-ghi-nhan-52546.html" TargetMode="External"/><Relationship Id="rId1" Type="http://schemas.openxmlformats.org/officeDocument/2006/relationships/hyperlink" Target="https://cand.com.vn/The-gioi-24h/Nghien-cuu-moi-So-ca-tu-vong-vi-COVID-19-thuc-te-cao-gap-doi-i604703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ckhoedoisong.vn/sang-20-9-gan-5400-ca-covid-19-nang-dang-dieu-tri-15-dia-phuong-qua-14-ngay-chua-ghi-nhan-f0-trong-nuoc-169210920063247474.htm" TargetMode="External"/><Relationship Id="rId21" Type="http://schemas.openxmlformats.org/officeDocument/2006/relationships/hyperlink" Target="https://giadinh.net.vn/y-te/ban-tin-covid-19-toi-18-5-them-48-ca-mac-moi-ca-nuoc-co-hon-4-trieu-luot-nguoi-duoc-xet-nghiem-20210518184356163.htm" TargetMode="External"/><Relationship Id="rId42" Type="http://schemas.openxmlformats.org/officeDocument/2006/relationships/hyperlink" Target="https://suckhoedoisong.vn/ngay-9-6-co-407-ca-mac-covid-19-va-87-benh-nhan-khoi-n194676.html" TargetMode="External"/><Relationship Id="rId63" Type="http://schemas.openxmlformats.org/officeDocument/2006/relationships/hyperlink" Target="https://suckhoedoisong.vn/toi-10-7-them-463-ca-mac-covid-19-tong-so-mac-trong-ngay-vuot-1800-ca-n196947.html" TargetMode="External"/><Relationship Id="rId84" Type="http://schemas.openxmlformats.org/officeDocument/2006/relationships/hyperlink" Target="https://suckhoedoisong.vn/toi-16-8-them-8644-ca-mac-covid-19-tai-tphcm-va-42-tinh-thanh-169210816175318102.htm" TargetMode="External"/><Relationship Id="rId138" Type="http://schemas.openxmlformats.org/officeDocument/2006/relationships/hyperlink" Target="https://suckhoedoisong.vn/ngay-11-10-co-3619-ca-mac-covid-19-tai-44-dia-phuong-rieng-tp-hcm-1527-ca-169211011181935125.htm" TargetMode="External"/><Relationship Id="rId107" Type="http://schemas.openxmlformats.org/officeDocument/2006/relationships/hyperlink" Target="https://suckhoedoisong.vn/ngay-10-9-them-13321-ca-mac-covid-19-tp-hcm-va-binh-duong-chiem-den-hon-11100-ca-169210910182529294.htm" TargetMode="External"/><Relationship Id="rId11" Type="http://schemas.openxmlformats.org/officeDocument/2006/relationships/hyperlink" Target="https://baochinhphu.vn/Suc-khoe/NONG-Ghi-nhan-them-18-ca-lay-nhiem-trong-cong-dong/430252.vgp" TargetMode="External"/><Relationship Id="rId32" Type="http://schemas.openxmlformats.org/officeDocument/2006/relationships/hyperlink" Target="https://suckhoedoisong.vn/toi-28-5-them-173-ca-mac-covid-19-trong-nuoc-bac-giang-co-123-ca-n193715.html" TargetMode="External"/><Relationship Id="rId53" Type="http://schemas.openxmlformats.org/officeDocument/2006/relationships/hyperlink" Target="https://suckhoedoisong.vn/toi-26-6-them-123-ca-mac-covid-19-tp-ho-chi-minh-nhieu-nhat-58-ca-n195913.html" TargetMode="External"/><Relationship Id="rId74" Type="http://schemas.openxmlformats.org/officeDocument/2006/relationships/hyperlink" Target="https://suckhoedoisong.vn/toi-3-8-them-4851-ca-mac-covid-19-ca-ngay-ha-noi-them-gan-100-benh-nhan-169210803180337414.htm" TargetMode="External"/><Relationship Id="rId128" Type="http://schemas.openxmlformats.org/officeDocument/2006/relationships/hyperlink" Target="https://suckhoedoisong.vn/ngay-1-10-co-6957-ca-mac-covid-19-so-benh-nhan-khoi-dat-ky-luc-moi-voi-27520-nguoi-169211001181857662.htm" TargetMode="External"/><Relationship Id="rId149" Type="http://schemas.openxmlformats.org/officeDocument/2006/relationships/hyperlink" Target="https://suckhoedoisong.vn/ngay-22-10-co-3985-ca-mac-covid-19-va-5202-nguoi-khoi-benh-so-tu-vong-giam-manh-con-55-ca-169211022181414894.htm" TargetMode="External"/><Relationship Id="rId5" Type="http://schemas.openxmlformats.org/officeDocument/2006/relationships/hyperlink" Target="https://nhandan.vn/tin-tuc-y-te/tp-ho-chi-minh-ghi-nhan-mot-truong-hop-nghi-nhiem-covid-19-643968/" TargetMode="External"/><Relationship Id="rId95" Type="http://schemas.openxmlformats.org/officeDocument/2006/relationships/hyperlink" Target="https://suckhoedoisong.vn/toi-28-8-co-12103-ca-mac-covid-19-rieng-tp-hcm-va-binh-duong-9530-ca-169210828180600805.htm" TargetMode="External"/><Relationship Id="rId22" Type="http://schemas.openxmlformats.org/officeDocument/2006/relationships/hyperlink" Target="https://ncov.moh.gov.vn/vi/web/guest/-/6847426-3710" TargetMode="External"/><Relationship Id="rId27" Type="http://schemas.openxmlformats.org/officeDocument/2006/relationships/hyperlink" Target="https://suckhoedoisong.vn/toi-24-5-them-95-ca-mac-covid-19-trong-nuoc-bac-giang-va-bac-ninh-chiem-77-ca-n193322.html" TargetMode="External"/><Relationship Id="rId43" Type="http://schemas.openxmlformats.org/officeDocument/2006/relationships/hyperlink" Target="https://suckhoedoisong.vn/ngay-11-6-viet-nam-ghi-nhan-tong-196-ca-mac-covid-19-co-96-benh-nhan-khoi-n194832.html" TargetMode="External"/><Relationship Id="rId48" Type="http://schemas.openxmlformats.org/officeDocument/2006/relationships/hyperlink" Target="https://ncov.moh.gov.vn/vi/web/guest/-/6847426-4841" TargetMode="External"/><Relationship Id="rId64" Type="http://schemas.openxmlformats.org/officeDocument/2006/relationships/hyperlink" Target="https://ncov.moh.gov.vn/vi/web/guest/-/6847426-5637" TargetMode="External"/><Relationship Id="rId69" Type="http://schemas.openxmlformats.org/officeDocument/2006/relationships/hyperlink" Target="https://suckhoedoisong.vn/toi-29-7-them-4773-ca-mac-covid-19-co-4323-benh-nhan-khoi-benh-n198529.html" TargetMode="External"/><Relationship Id="rId113" Type="http://schemas.openxmlformats.org/officeDocument/2006/relationships/hyperlink" Target="https://suckhoedoisong.vn/ngay-16-9-them-10489-ca-mac-covid-19-rieng-tp-hcm-va-binh-duong-hon-8700-ca-169210916180856675.htm" TargetMode="External"/><Relationship Id="rId118" Type="http://schemas.openxmlformats.org/officeDocument/2006/relationships/hyperlink" Target="https://suckhoedoisong.vn/ngay-21-9-co-11692-ca-mac-covid-19-tai-tp-hcm-va-33-tinh-thanh-pho-169210921180551315.htm" TargetMode="External"/><Relationship Id="rId134" Type="http://schemas.openxmlformats.org/officeDocument/2006/relationships/hyperlink" Target="https://suckhoedoisong.vn/ngay-7-10-co-4150-ca-mac-covid-19-giam-hon-200-ca-so-voi-hom-qua-169211007181929683.htm" TargetMode="External"/><Relationship Id="rId139" Type="http://schemas.openxmlformats.org/officeDocument/2006/relationships/hyperlink" Target="https://suckhoedoisong.vn/ngay-12-10-chi-co-2949-ca-mac-covid-19-tai-43-dia-phuong-thap-nhat-trong-25-thang-qua-169211012180220603.htm" TargetMode="External"/><Relationship Id="rId80" Type="http://schemas.openxmlformats.org/officeDocument/2006/relationships/hyperlink" Target="https://suckhoedoisong.vn/toi-12-8-them-5025-ca-covid-19-binh-duong-dan-dau-voi-2117-ca-169210812180300065.htm" TargetMode="External"/><Relationship Id="rId85" Type="http://schemas.openxmlformats.org/officeDocument/2006/relationships/hyperlink" Target="https://suckhoedoisong.vn/toi-18-8-them-8800-ca-mac-covid-19-va-3751-benh-nhan-khoi-169210818175406672.htm" TargetMode="External"/><Relationship Id="rId150" Type="http://schemas.openxmlformats.org/officeDocument/2006/relationships/hyperlink" Target="https://suckhoedoisong.vn/ngay-24-10-co-4045-ca-mac-covid-19-tai-47-tinh-thanh-them-386400-lieu-vaccine-astrazeneca-ve-viet-nam-169211024180227579.htm" TargetMode="External"/><Relationship Id="rId12" Type="http://schemas.openxmlformats.org/officeDocument/2006/relationships/hyperlink" Target="https://giadinh.net.vn/y-te/cong-bo-60-ca-mac-moi-covid-19-rieng-bv-benh-nhiet-doi-trung-uong-co-16-ca-20210506185457643.htm" TargetMode="External"/><Relationship Id="rId17" Type="http://schemas.openxmlformats.org/officeDocument/2006/relationships/hyperlink" Target="https://suckhoedoisong.vn/toi-14-5-them-59-ca-mac-covid-19-ghi-nhan-trong-nuoc-rieng-bac-ninh-33-ca-n192498.htm" TargetMode="External"/><Relationship Id="rId33" Type="http://schemas.openxmlformats.org/officeDocument/2006/relationships/hyperlink" Target="https://suckhoedoisong.vn/toi-30-5-co-142-ca-mac-covid-19-trong-nuoc-rieng-tphcm-ghi-nhan-nhieu-nhat-voi-49-ca-n193841.html" TargetMode="External"/><Relationship Id="rId38" Type="http://schemas.openxmlformats.org/officeDocument/2006/relationships/hyperlink" Target="https://baochinhphu.vn/Suc-khoe/Them-80-ca-mac-COVID19-trong-nuoc-68-benh-nhan-khoi-benh/433773.vgp" TargetMode="External"/><Relationship Id="rId59" Type="http://schemas.openxmlformats.org/officeDocument/2006/relationships/hyperlink" Target="https://suckhoedoisong.vn/toi-6-7-them-504-ca-mac-nang-tong-so-ca-covid-19-trong-ngay-o-nuoc-ta-len-1029-n196647.html" TargetMode="External"/><Relationship Id="rId103" Type="http://schemas.openxmlformats.org/officeDocument/2006/relationships/hyperlink" Target="https://suckhoedoisong.vn/ngay-6-9-them-12481-ca-mac-covid-19-rieng-tphcm-7122-ca-169210906182042979.htm" TargetMode="External"/><Relationship Id="rId108" Type="http://schemas.openxmlformats.org/officeDocument/2006/relationships/hyperlink" Target="https://suckhoedoisong.vn/ngay-11-9-co-11932-ca-mac-covid-19-it-hon-hom-qua-gan-1400-ca-169210911181543947.htm" TargetMode="External"/><Relationship Id="rId124" Type="http://schemas.openxmlformats.org/officeDocument/2006/relationships/hyperlink" Target="https://suckhoedoisong.vn/ngay-27-9-co-9362-ca-mac-covid-19-tai-tp-hcm-binh-duong-va-34-tinh-thanh-pho-169210927174122985.htm" TargetMode="External"/><Relationship Id="rId129" Type="http://schemas.openxmlformats.org/officeDocument/2006/relationships/hyperlink" Target="https://suckhoedoisong.vn/ngay-2-10-co-5490-ca-mac-moi-covid-19-thap-nhat-trong-thoi-gian-qua-16921100218375393.htm" TargetMode="External"/><Relationship Id="rId54" Type="http://schemas.openxmlformats.org/officeDocument/2006/relationships/hyperlink" Target="https://suckhoedoisong.vn/toi-27-6-them-197-ca-mac-covid-19-tp-ho-chi-minh-co-den-95-ca-n195981.html" TargetMode="External"/><Relationship Id="rId70" Type="http://schemas.openxmlformats.org/officeDocument/2006/relationships/hyperlink" Target="https://suckhoedoisong.vn/toi-30-7-them-3657-ca-mac-covid-19-co-3704-benh-nhan-khoi-n198605.html" TargetMode="External"/><Relationship Id="rId75" Type="http://schemas.openxmlformats.org/officeDocument/2006/relationships/hyperlink" Target="https://suckhoedoisong.vn/toi-3-8-them-4851-ca-mac-covid-19-ca-ngay-ha-noi-them-gan-100-benh-nhan-169210803180337414.htm" TargetMode="External"/><Relationship Id="rId91" Type="http://schemas.openxmlformats.org/officeDocument/2006/relationships/hyperlink" Target="https://suckhoedoisong.vn/toi-24-8-them-10811-ca-covid-19-tp-ho-chi-minh-va-binh-duong-da-co-den-8255-ca-16921082417480431.htm" TargetMode="External"/><Relationship Id="rId96" Type="http://schemas.openxmlformats.org/officeDocument/2006/relationships/hyperlink" Target="https://suckhoedoisong.vn/toi-29-8-them-12663-ca-mac-covid-19-binh-duong-nhieu-nhat-voi-5414-ca-169210829181052356.htm" TargetMode="External"/><Relationship Id="rId140" Type="http://schemas.openxmlformats.org/officeDocument/2006/relationships/hyperlink" Target="https://suckhoedoisong.vn/ngay-14-10-co-3092-ca-mac-covid-19-rieng-tp-hcm-909-ca-169211014182809507.htm" TargetMode="External"/><Relationship Id="rId145" Type="http://schemas.openxmlformats.org/officeDocument/2006/relationships/hyperlink" Target="https://suckhoedoisong.vn/ngay-18-10-co-3168-ca-mac-covid-19-tai-tp-hcm-soc-trang-va-43-tinh-thanh-khac-169211018182407029.htm" TargetMode="External"/><Relationship Id="rId1" Type="http://schemas.openxmlformats.org/officeDocument/2006/relationships/hyperlink" Target="https://moh.gov.vn/tin-tong-hop?p_p_id=101_INSTANCE_k206Q9qkZOqn&amp;p_p_lifecycle=0&amp;p_p_state=normal&amp;p_p_mode=view&amp;p_p_col_id=row-0-column-2&amp;p_p_col_count=1&amp;_101_INSTANCE_k206Q9qkZOqn_delta=20&amp;_101_INSTANCE_k206Q9qkZOqn_keywords=&amp;_101_INSTANCE_k206Q9qkZOqn_advancedSearch=false&amp;_101_INSTANCE_k206Q9qkZOqn_andOperator=true&amp;p_r_p_564233524_resetCur=false&amp;_101_INSTANCE_k206Q9qkZOqn_cur=44" TargetMode="External"/><Relationship Id="rId6" Type="http://schemas.openxmlformats.org/officeDocument/2006/relationships/hyperlink" Target="https://suckhoedoisong.vn/chieu-30-4-them-14-ca-mac-covid-19-co-4-ca-ghi-nhan-trong-nuoc-tai-ha-nam-va-ha-noi-n191086.html" TargetMode="External"/><Relationship Id="rId23" Type="http://schemas.openxmlformats.org/officeDocument/2006/relationships/hyperlink" Target="https://suckhoedoisong.vn/toi-20-5-them-40-ca-mac-covid-19-trong-nuoc-viet-nam-co-4809-benh-nhan-n193005.html" TargetMode="External"/><Relationship Id="rId28" Type="http://schemas.openxmlformats.org/officeDocument/2006/relationships/hyperlink" Target="https://suckhoedoisong.vn/toi-25-5-them-284-ca-mac-covid-19-trong-nuoc-rieng-bac-giang-243-ca-n193428.html" TargetMode="External"/><Relationship Id="rId49" Type="http://schemas.openxmlformats.org/officeDocument/2006/relationships/hyperlink" Target="https://suckhoedoisong.vn/ngay-22-6-viet-nam-co-248-ca-mac-covid-19-va-93-benh-nhan-khoi-n195627.html" TargetMode="External"/><Relationship Id="rId114" Type="http://schemas.openxmlformats.org/officeDocument/2006/relationships/hyperlink" Target="https://suckhoedoisong.vn/ngay-17-9-co-11521-ca-mac-covid-19-trong-do-tphcm-va-binh-duong-da-gan-10000-ca-169210917181345586.htm" TargetMode="External"/><Relationship Id="rId119" Type="http://schemas.openxmlformats.org/officeDocument/2006/relationships/hyperlink" Target="https://tuoitre.vn/dung-coi-thuong-hoi-chung-hau-covid-19-20210922105425001.htm" TargetMode="External"/><Relationship Id="rId44" Type="http://schemas.openxmlformats.org/officeDocument/2006/relationships/hyperlink" Target="https://suckhoedoisong.vn/bo-y-te-ngay-13-6-ca-nuoc-them-297-ca-mac-covid-19-rieng-tphcm-95-benh-nhan-n194953.html" TargetMode="External"/><Relationship Id="rId60" Type="http://schemas.openxmlformats.org/officeDocument/2006/relationships/hyperlink" Target="https://suckhoedoisong.vn/toi-7-7-them-330-ca-mac-covid-19-nang-tong-so-ca-trong-ngay-len-1007-n196727.html" TargetMode="External"/><Relationship Id="rId65" Type="http://schemas.openxmlformats.org/officeDocument/2006/relationships/hyperlink" Target="https://suckhoedoisong.vn/dong-nuoc-mat-hanh-phuc-cua-benh-nhan-covid-19-n197481.html" TargetMode="External"/><Relationship Id="rId81" Type="http://schemas.openxmlformats.org/officeDocument/2006/relationships/hyperlink" Target="https://suckhoedoisong.vn/ngay-13-8-ca-nuoc-ghi-nhan-9150-ca-mac-moi-covid-19-tp-hcm-va-binh-duong-chiem-den-6347-ca-169210813181458867.htm" TargetMode="External"/><Relationship Id="rId86" Type="http://schemas.openxmlformats.org/officeDocument/2006/relationships/hyperlink" Target="https://suckhoedoisong.vn/toi-19-8-them-10639-ca-mac-covid-19-rieng-tphcm-va-binh-duong-7860-ca-16921081918014881.htm" TargetMode="External"/><Relationship Id="rId130" Type="http://schemas.openxmlformats.org/officeDocument/2006/relationships/hyperlink" Target="https://suckhoedoisong.vn/ngay-3-10-co-5376-ca-mac-covid-19-so-benh-nhan-khoi-lap-ky-luc-moi-voi-28859-ca-169211003181621008.htm" TargetMode="External"/><Relationship Id="rId135" Type="http://schemas.openxmlformats.org/officeDocument/2006/relationships/hyperlink" Target="https://suckhoedoisong.vn/ngay-8-10-them-4806-ca-mac-covid-19-rieng-tp-hcm-co-2215-ca-169211008181231204.htm" TargetMode="External"/><Relationship Id="rId151" Type="http://schemas.openxmlformats.org/officeDocument/2006/relationships/hyperlink" Target="https://suckhoedoisong.vn/ngay-25-10-co-3639-ca-mac-covid-19-tai-tp-hcm-va-52-tinh-thanh-1323-benh-nhan-khoi-169211025183826993.htm" TargetMode="External"/><Relationship Id="rId13" Type="http://schemas.openxmlformats.org/officeDocument/2006/relationships/hyperlink" Target="https://suckhoedoisong.vn/chieu-7-5-them-40-ca-mac-covid-19-trong-nuoc-rieng-benh-vien-k-la-11-ca-n191782.html" TargetMode="External"/><Relationship Id="rId18" Type="http://schemas.openxmlformats.org/officeDocument/2006/relationships/hyperlink" Target="https://suckhoedoisong.vn/toi-15-5-them-129-ca-mac-covid-19-trong-nuoc-rieng-bac-giang-85-ca-n192558.html" TargetMode="External"/><Relationship Id="rId39" Type="http://schemas.openxmlformats.org/officeDocument/2006/relationships/hyperlink" Target="https://hcdc.vn/category/van-de-suc-khoe/covid19/ban-tin-hang-ngay/pages-38" TargetMode="External"/><Relationship Id="rId109" Type="http://schemas.openxmlformats.org/officeDocument/2006/relationships/hyperlink" Target="https://tuoitre.vn/bo-truong-bo-y-te-so-ca-mac-va-tu-vong-o-tp-hcm-co-xu-huong-giam-ro-ret-20210912115901501.htm" TargetMode="External"/><Relationship Id="rId34" Type="http://schemas.openxmlformats.org/officeDocument/2006/relationships/hyperlink" Target="https://vietnamnet.vn/vn/suc-khoe/tin-tuc-covid-19-chieu-hom-nay-31-5-viet-nam-cong-bo-82-ca-covid-19-trong-nuoc-them-1-tinh-co-ca-nhiem-dau-tien-741665.html" TargetMode="External"/><Relationship Id="rId50" Type="http://schemas.openxmlformats.org/officeDocument/2006/relationships/hyperlink" Target="https://suckhoedoisong.vn/toi-23-6-them-85-ca-mac-covid-19-tphcm-co-den-61-ca-n195696.html" TargetMode="External"/><Relationship Id="rId55" Type="http://schemas.openxmlformats.org/officeDocument/2006/relationships/hyperlink" Target="https://suckhoedoisong.vn/ngay-28-6-viet-nam-ghi-nhan-tong-cong-391-ca-mac-covid-19-rieng-tp-ho-chi-minh-la-218-ca-n196050.html" TargetMode="External"/><Relationship Id="rId76" Type="http://schemas.openxmlformats.org/officeDocument/2006/relationships/hyperlink" Target="https://suckhoedoisong.vn/toi-6-8-them-4315-ca-mac-covid-19-nang-tong-so-mac-trong-ngay-len-8324-ca-rieng-ha-noi-co-116-169210806181934265.htm" TargetMode="External"/><Relationship Id="rId97" Type="http://schemas.openxmlformats.org/officeDocument/2006/relationships/hyperlink" Target="https://suckhoedoisong.vn/toi-30-8-co-14224-ca-mac-covid-19-tang-1467-ca-so-voi-hom-qua-16921083018094444.htm" TargetMode="External"/><Relationship Id="rId104" Type="http://schemas.openxmlformats.org/officeDocument/2006/relationships/hyperlink" Target="https://suckhoedoisong.vn/ngay-7-9-them-14208-ca-mac-covid-19-cao-hon-hom-qua-1727-ca-169210907181428422.htm" TargetMode="External"/><Relationship Id="rId120" Type="http://schemas.openxmlformats.org/officeDocument/2006/relationships/hyperlink" Target="https://suckhoedoisong.vn/ngay-23-9-co-9472-ca-mac-covid-19-giam-2060-ca-so-voi-ngay-hom-qua-169210923175100815.htm" TargetMode="External"/><Relationship Id="rId125" Type="http://schemas.openxmlformats.org/officeDocument/2006/relationships/hyperlink" Target="https://suckhoedoisong.vn/ngay-28-9-so-mac-moi-covid-19-chi-4589-ca-trong-khi-so-khoi-nhieu-gap-gan-5-lan-169210928180738217.htm" TargetMode="External"/><Relationship Id="rId141" Type="http://schemas.openxmlformats.org/officeDocument/2006/relationships/hyperlink" Target="https://suckhoedoisong.vn/ngay-14-10-co-3092-ca-mac-covid-19-rieng-tp-hcm-909-ca-169211014182809507.htm" TargetMode="External"/><Relationship Id="rId146" Type="http://schemas.openxmlformats.org/officeDocument/2006/relationships/hyperlink" Target="https://suckhoedoisong.vn/ngay-19-10-co-3034-ca-mac-covid-19-tai-tp-hcm-va-48-tinh-thanh-khac-giam-132-ca-voi-ngay-qua-169211019180933659.htm" TargetMode="External"/><Relationship Id="rId7" Type="http://schemas.openxmlformats.org/officeDocument/2006/relationships/hyperlink" Target="https://suckhoedoisong.vn/chieu-1-5-bo-y-te-cong-bo-14-ca-mac-covid-19-co-3-ca-trong-nuoc-o-ha-nam-n191165.html" TargetMode="External"/><Relationship Id="rId71" Type="http://schemas.openxmlformats.org/officeDocument/2006/relationships/hyperlink" Target="https://suckhoedoisong.vn/toi-31-7-them-4564-ca-mac-covid-19-nang-tong-so-mac-trong-ngay-len-8624-ca-n198655.html" TargetMode="External"/><Relationship Id="rId92" Type="http://schemas.openxmlformats.org/officeDocument/2006/relationships/hyperlink" Target="https://suckhoedoisong.vn/toi-25-8-them-1209-ca-mac-covid-19-rieng-tphcm-da-5294-ca-169210825180330532.htm" TargetMode="External"/><Relationship Id="rId2" Type="http://schemas.openxmlformats.org/officeDocument/2006/relationships/hyperlink" Target="https://hcdc.vn/category/van-de-suc-khoe/covid19/ban-tin-hang-ngay/pages-45" TargetMode="External"/><Relationship Id="rId29" Type="http://schemas.openxmlformats.org/officeDocument/2006/relationships/hyperlink" Target="https://suckhoedoisong.vn/toi-26-5-them-115-ca-mac-covid-19-rieng-bac-giang-va-bac-ninh-103-ca-n193509.html" TargetMode="External"/><Relationship Id="rId24" Type="http://schemas.openxmlformats.org/officeDocument/2006/relationships/hyperlink" Target="https://suckhoedoisong.vn/chieu-21-5-them-57-ca-mac-covid-19-trong-nuoc--n193106.html" TargetMode="External"/><Relationship Id="rId40" Type="http://schemas.openxmlformats.org/officeDocument/2006/relationships/hyperlink" Target="https://hcdc.vn/category/van-de-suc-khoe/covid19/ban-tin-hang-ngay/pages-38" TargetMode="External"/><Relationship Id="rId45" Type="http://schemas.openxmlformats.org/officeDocument/2006/relationships/hyperlink" Target="https://baochinhphu.vn/Xa-hoi/KY-LUC-Ngay-146-co-238-benh-nhan-COVID-duoc-chua-khoi/434748.vgp" TargetMode="External"/><Relationship Id="rId66" Type="http://schemas.openxmlformats.org/officeDocument/2006/relationships/hyperlink" Target="https://ttbc-hcm.gov.vn/benh-vien-dam-bao-chua-benh-nang-kham-benh-tu-xa-16904.html" TargetMode="External"/><Relationship Id="rId87" Type="http://schemas.openxmlformats.org/officeDocument/2006/relationships/hyperlink" Target="https://suckhoedoisong.vn/toi-20-8-them-10657-ca-covid-19-binh-duong-co-so-mac-cao-nhat-voi-4223-ca-169210820181508571.htm" TargetMode="External"/><Relationship Id="rId110" Type="http://schemas.openxmlformats.org/officeDocument/2006/relationships/hyperlink" Target="https://suckhoedoisong.vn/ngay-13-9-co-11172-ca-mac-covid-19-tp-hcm-nhieu-nhat-voi-5446-ca-169210913182924132.htm" TargetMode="External"/><Relationship Id="rId115" Type="http://schemas.openxmlformats.org/officeDocument/2006/relationships/hyperlink" Target="https://suckhoedoisong.vn/ngay-18-9-co-9373-ca-mac-covid-19-thap-hon-hom-qua-2146-ca-169210918180826807.htm" TargetMode="External"/><Relationship Id="rId131" Type="http://schemas.openxmlformats.org/officeDocument/2006/relationships/hyperlink" Target="https://suckhoedoisong.vn/ngay-4-10-co-5383-ca-mac-moi-covid-19-rieng-tp-hcm-la-2490-ca-169211004182230114.htm" TargetMode="External"/><Relationship Id="rId136" Type="http://schemas.openxmlformats.org/officeDocument/2006/relationships/hyperlink" Target="https://suckhoedoisong.vn/ngay-9-10-co-4513-ca-mac-covid-19-tai-tp-hcm-va-39-tinh-thanh-pho-giam-261-ca-so-voi-hom-qua-169211009180119826.htm" TargetMode="External"/><Relationship Id="rId61" Type="http://schemas.openxmlformats.org/officeDocument/2006/relationships/hyperlink" Target="https://suckhoedoisong.vn/toi-8-7-them-645-ca-mac-covid-19-nang-tong-so-mac-trong-ngay-vuot-1300-n196810.html" TargetMode="External"/><Relationship Id="rId82" Type="http://schemas.openxmlformats.org/officeDocument/2006/relationships/hyperlink" Target="https://suckhoedoisong.vn/toi-14-8-co-9716-ca-mac-covid-19-rieng-tphcm-4231-ca-169210814172340386.htm" TargetMode="External"/><Relationship Id="rId152" Type="http://schemas.openxmlformats.org/officeDocument/2006/relationships/hyperlink" Target="https://suckhoedoisong.vn/ngay-26-10-co-3595-ca-mac-covid-19-tai-tp-hcm-ha-noi-va-47-tinh-thanh-gan-3000-benh-nhan-khoi-169211026183804751.htm" TargetMode="External"/><Relationship Id="rId19" Type="http://schemas.openxmlformats.org/officeDocument/2006/relationships/hyperlink" Target="https://suckhoedoisong.vn/toi-16-5-co-54-mac-covid-19-trong-nuoc-rieng-bac-ninh-24-ca-n192608.html" TargetMode="External"/><Relationship Id="rId14" Type="http://schemas.openxmlformats.org/officeDocument/2006/relationships/hyperlink" Target="https://baochinhphu.vn/Suc-khoe/NONG-Ghi-nhan-them-65-ca-mac-COVID19-trong-cong-dong/430650.vgp" TargetMode="External"/><Relationship Id="rId30" Type="http://schemas.openxmlformats.org/officeDocument/2006/relationships/hyperlink" Target="https://suckhoedoisong.vn/toi-27-5-co-150-ca-mac-covid-19-trong-nuoc-rieng-tp-hcm-36-ca-n193619.html" TargetMode="External"/><Relationship Id="rId35" Type="http://schemas.openxmlformats.org/officeDocument/2006/relationships/hyperlink" Target="https://giadinh.net.vn/y-te/toi-1-6-ha-noi-va-9-tinh-thanh-them-89-ca-mac-moi-covid-19-20210601182838848.htm" TargetMode="External"/><Relationship Id="rId56" Type="http://schemas.openxmlformats.org/officeDocument/2006/relationships/hyperlink" Target="https://ncov.moh.gov.vn/vi/web/guest/-/6847426-5175" TargetMode="External"/><Relationship Id="rId77" Type="http://schemas.openxmlformats.org/officeDocument/2006/relationships/hyperlink" Target="https://suckhoedoisong.vn/toi-8-8-them-4949-ca-mac-covid-19-ca-ngay-tang-9690-rieng-binh-duong-3210-ca-169210808181630595.htm" TargetMode="External"/><Relationship Id="rId100" Type="http://schemas.openxmlformats.org/officeDocument/2006/relationships/hyperlink" Target="https://suckhoedoisong.vn/ngay-3-9-them-14922-ca-mac-covid-19-rieng-tp-hcm-co-den-8499-ca-169210903180914923.htm" TargetMode="External"/><Relationship Id="rId105" Type="http://schemas.openxmlformats.org/officeDocument/2006/relationships/hyperlink" Target="https://tuoitre.vn/f0-khoi-benh-vung-chai-noi-tuyen-dau-chong-dich-20210908092340422.htm" TargetMode="External"/><Relationship Id="rId126" Type="http://schemas.openxmlformats.org/officeDocument/2006/relationships/hyperlink" Target="https://suckhoedoisong.vn/ngay-29-9-co-8758-ca-mac-covid-19-va-so-benh-nhan-khoi-ky-luc-voi-23568-ca-169210929180546707.htm" TargetMode="External"/><Relationship Id="rId147" Type="http://schemas.openxmlformats.org/officeDocument/2006/relationships/hyperlink" Target="https://suckhoedoisong.vn/ngay-20-10-co-3646-ca-mac-covid-19-hon-1700-benh-nhan-khoi-169211020181810142.htm" TargetMode="External"/><Relationship Id="rId8" Type="http://schemas.openxmlformats.org/officeDocument/2006/relationships/hyperlink" Target="https://suckhoedoisong.vn/chieu-2-5-them-20-ca-mac-covid-19-co-8-ca-ghi-nhan-trong-nuoc-tai-ha-nam-vinh-phuc-n191232.html" TargetMode="External"/><Relationship Id="rId51" Type="http://schemas.openxmlformats.org/officeDocument/2006/relationships/hyperlink" Target="https://suckhoedoisong.vn/ngay-24-6-co-285-ca-mac-covid-19-rieng-tphcm-162-truong-hop-n195778.html" TargetMode="External"/><Relationship Id="rId72" Type="http://schemas.openxmlformats.org/officeDocument/2006/relationships/hyperlink" Target="https://suckhoedoisong.vn/toi-1-8-them-4246-ca-mac-covid-19-ca-ngay-8620-ca-16921080118450266.htm" TargetMode="External"/><Relationship Id="rId93" Type="http://schemas.openxmlformats.org/officeDocument/2006/relationships/hyperlink" Target="https://suckhoedoisong.vn/toi-26-8-them-11575-ca-mac-covid-19-ky-luc-hon-18560-benh-nhan-duoc-chua-khoi-16921082618091535.htm" TargetMode="External"/><Relationship Id="rId98" Type="http://schemas.openxmlformats.org/officeDocument/2006/relationships/hyperlink" Target="https://suckhoedoisong.vn/toi-31-8-co-12607-ca-mac-covid-19-tphcm-va-binh-duong-da-chiem-den-9974-ca-169210831181214185.htm" TargetMode="External"/><Relationship Id="rId121" Type="http://schemas.openxmlformats.org/officeDocument/2006/relationships/hyperlink" Target="https://suckhoedoisong.vn/ngay-24-9-ghi-nhan-8537-ca-mac-covid-19-thap-nhat-trong-hon-1-thang-qua-cua-dot-dich-nay-169210924181328392.htm" TargetMode="External"/><Relationship Id="rId142" Type="http://schemas.openxmlformats.org/officeDocument/2006/relationships/hyperlink" Target="https://suckhoedoisong.vn/ngay-15-10-co-3797-ca-mac-covid-19-tai-tp-hcm-soc-trang-va-45-dia-phuong-khac-169211015181921807.htm" TargetMode="External"/><Relationship Id="rId3" Type="http://schemas.openxmlformats.org/officeDocument/2006/relationships/hyperlink" Target="https://suckhoedoisong.vn/chieu-27-4-them-5-ca-mac-covid-19-trong-do-1-truong-hop-lay-nhiem-tai-noi-cach-ly-n190799.html" TargetMode="External"/><Relationship Id="rId25" Type="http://schemas.openxmlformats.org/officeDocument/2006/relationships/hyperlink" Target="https://plo.vn/suc-khoe/chua-day-1-thang-viet-nam-vuot-2000-ca-nhiem-987108.html" TargetMode="External"/><Relationship Id="rId46" Type="http://schemas.openxmlformats.org/officeDocument/2006/relationships/hyperlink" Target="https://baochinhphu.vn/Suc-khoe/Toi-156-them-213-ca-mac-COVID19-303-ca-khoi-benh/434849.vgp" TargetMode="External"/><Relationship Id="rId67" Type="http://schemas.openxmlformats.org/officeDocument/2006/relationships/hyperlink" Target="https://giadinh.net.vn/y-te/ngan-hang-mau-can-kiet-vi-covid-19-20210726104141711.htm" TargetMode="External"/><Relationship Id="rId116" Type="http://schemas.openxmlformats.org/officeDocument/2006/relationships/hyperlink" Target="https://suckhoedoisong.vn/ngay-19-9-them-10040-ca-mac-covid-19-trong-do-rieng-tp-hcm-co-5496-ca-169210919175648403.htm" TargetMode="External"/><Relationship Id="rId137" Type="http://schemas.openxmlformats.org/officeDocument/2006/relationships/hyperlink" Target="https://suckhoedoisong.vn/ngay-10-10-chi-co-3528-ca-mac-covid-19-nhung-co-den-21398-benh-nhan-khoi-169211010180104264.htm" TargetMode="External"/><Relationship Id="rId20" Type="http://schemas.openxmlformats.org/officeDocument/2006/relationships/hyperlink" Target="https://suckhoedoisong.vn/toi-17-5-them-116-ca-mac-covid-19-trong-nuoc-rieng-bac-giang-va-bac-ninh-la-99-ca-n192728.html" TargetMode="External"/><Relationship Id="rId41" Type="http://schemas.openxmlformats.org/officeDocument/2006/relationships/hyperlink" Target="https://suckhoedoisong.vn/bo-y-te-ngay-8-6-ghi-nhan-tong-175-ca-mac-covid-19-40-benh-nhan-khoi-n194587.html" TargetMode="External"/><Relationship Id="rId62" Type="http://schemas.openxmlformats.org/officeDocument/2006/relationships/hyperlink" Target="https://suckhoedoisong.vn/toi-9-7-them-591-ca-mac-covid-19-nang-tong-so-mac-trong-ngay-vuot-1600-n196878.html" TargetMode="External"/><Relationship Id="rId83" Type="http://schemas.openxmlformats.org/officeDocument/2006/relationships/hyperlink" Target="https://ncov.moh.gov.vn/web/guest/-/6847426-6856" TargetMode="External"/><Relationship Id="rId88" Type="http://schemas.openxmlformats.org/officeDocument/2006/relationships/hyperlink" Target="https://suckhoedoisong.vn/toi-21-8-them-11321-ca-covid-19-binh-duong-tiep-tuc-nhieu-nhat-voi-4505-ca-169210821182332656.htm" TargetMode="External"/><Relationship Id="rId111" Type="http://schemas.openxmlformats.org/officeDocument/2006/relationships/hyperlink" Target="https://suckhoedoisong.vn/ngay-14-9-them-10508-ca-mac-covid-19-trong-do-tp-hcm-va-binh-duong-da-gan-8500-ca-169210914182008422.htm" TargetMode="External"/><Relationship Id="rId132" Type="http://schemas.openxmlformats.org/officeDocument/2006/relationships/hyperlink" Target="https://suckhoedoisong.vn/ngay-5-10-co-4363-ca-mac-covid-19-thap-nhat-trong-khoang-15-thang-qua-169211005180604662.htm" TargetMode="External"/><Relationship Id="rId153" Type="http://schemas.openxmlformats.org/officeDocument/2006/relationships/hyperlink" Target="https://suckhoedoisong.vn/ngay-27-10-co-4411-ca-mac-covid-19-tai-47-tinh-thanh-tang-hon-800-ca-so-voi-ngay-qua-16921102718233195.htm" TargetMode="External"/><Relationship Id="rId15" Type="http://schemas.openxmlformats.org/officeDocument/2006/relationships/hyperlink" Target="https://tuoitre.vn/toi-9-5-ky-luc-77-ca-covid-19-cong-dong-tai-9-tinh-thanh-20210509191324665.htm" TargetMode="External"/><Relationship Id="rId36" Type="http://schemas.openxmlformats.org/officeDocument/2006/relationships/hyperlink" Target="https://giadinh.net.vn/y-te/ban-tin-covid-19-toi-2-6-ca-nuoc-them-138-ca-mac-moi-tphcm-tang-31-benh-nhan-20210602183746933.htm" TargetMode="External"/><Relationship Id="rId57" Type="http://schemas.openxmlformats.org/officeDocument/2006/relationships/hyperlink" Target="https://baochinhphu.vn/Suc-khoe/Ngay-17-Ca-nuoc-them-713-ca-mac-COVID19-407-nguoi-khoi-benh/436648.vgp" TargetMode="External"/><Relationship Id="rId106" Type="http://schemas.openxmlformats.org/officeDocument/2006/relationships/hyperlink" Target="https://suckhoedoisong.vn/ngay-9-9-viet-nam-ghi-nhan-12420-ca-mac-covid-19-va-12523-benh-nhan-khoi-169210909181525359.htm" TargetMode="External"/><Relationship Id="rId127" Type="http://schemas.openxmlformats.org/officeDocument/2006/relationships/hyperlink" Target="https://suckhoedoisong.vn/ngay-30-9-co-7940-ca-mac-covid-19-so-benh-nhan-khoi-lap-ky-luc-moi-voi-25322-ca-169210930181734537.htm" TargetMode="External"/><Relationship Id="rId10" Type="http://schemas.openxmlformats.org/officeDocument/2006/relationships/hyperlink" Target="https://tuoitre.vn/so-gd-dt-tp-hcm-dung-moi-hoat-dong-giao-duc-ngoai-lop-den-het-nam-hoc-20210504183405698.htm" TargetMode="External"/><Relationship Id="rId31" Type="http://schemas.openxmlformats.org/officeDocument/2006/relationships/hyperlink" Target="https://suckhoedoisong.vn/chuoi-lay-nhiem-hoi-thanh-lien-quan-bien-the-an-do-n193726.html" TargetMode="External"/><Relationship Id="rId52" Type="http://schemas.openxmlformats.org/officeDocument/2006/relationships/hyperlink" Target="https://suckhoedoisong.vn/ngay-25-6-ca-nuoc-co-305-ca-mac-covid-19-rieng-tp-ho-chi-minh-la-161-ca-n195858.html" TargetMode="External"/><Relationship Id="rId73" Type="http://schemas.openxmlformats.org/officeDocument/2006/relationships/hyperlink" Target="https://suckhoedoisong.vn/toi-2-8-them-4254-nguoi-mac-covid-19-nang-so-ca-mac-trong-ngay-len-7455-169210802184628943.htm" TargetMode="External"/><Relationship Id="rId78" Type="http://schemas.openxmlformats.org/officeDocument/2006/relationships/hyperlink" Target="https://suckhoedoisong.vn/toi-10-8-them-3241-ca-covid-19-rieng-ha-noi-60-ca-4428-nguoi-khoi-benh-169210810182530874.htm" TargetMode="External"/><Relationship Id="rId94" Type="http://schemas.openxmlformats.org/officeDocument/2006/relationships/hyperlink" Target="https://suckhoedoisong.vn/toi-27-8-them-12920-ca-mac-covid-19-cao-hon-1345-ca-so-voi-hom-qua-169210827184429047.htm" TargetMode="External"/><Relationship Id="rId99" Type="http://schemas.openxmlformats.org/officeDocument/2006/relationships/hyperlink" Target="https://suckhoedoisong.vn/toi-1-9-them-11434-ca-mac-covid-19-tp-hcm-nhieu-nhat-voi-5368-ca-169210901183207847.htm" TargetMode="External"/><Relationship Id="rId101" Type="http://schemas.openxmlformats.org/officeDocument/2006/relationships/hyperlink" Target="https://suckhoedoisong.vn/ngay-4-9-co-9521-ca-mac-covid-19-thap-hon-5401-ca-so-voi-hom-qua-169210904181341051.htm" TargetMode="External"/><Relationship Id="rId122" Type="http://schemas.openxmlformats.org/officeDocument/2006/relationships/hyperlink" Target="https://suckhoedoisong.vn/ngay-25-9-co-9706-ca-mac-covid-19-trong-do-tp-hcm-va-binh-duong-da-ghi-nhan-7675-ca-169210925172705503.htm" TargetMode="External"/><Relationship Id="rId143" Type="http://schemas.openxmlformats.org/officeDocument/2006/relationships/hyperlink" Target="https://suckhoedoisong.vn/ngay-16-10-co-3211-ca-mac-covid-19-tai-48-tinh-thanh-pho-giam-578-ca-so-voi-hom-qua-169211016180701583.htm" TargetMode="External"/><Relationship Id="rId148" Type="http://schemas.openxmlformats.org/officeDocument/2006/relationships/hyperlink" Target="https://suckhoedoisong.vn/ngay-21-10-co-3636-ca-mac-covid-19-tai-50-tinh-thanh-1541-benh-nhan-khoi-169211021182707088.htm" TargetMode="External"/><Relationship Id="rId4" Type="http://schemas.openxmlformats.org/officeDocument/2006/relationships/hyperlink" Target="https://suckhoedoisong.vn/chieu-28-4-viet-nam-them-8-ca-mac-covid-19-the-gioi-ghi-nhan-hon-1485-trieu-ca-n190859.html" TargetMode="External"/><Relationship Id="rId9" Type="http://schemas.openxmlformats.org/officeDocument/2006/relationships/hyperlink" Target="https://ncov.moh.gov.vn/vi/web/guest/-/6847426-2754" TargetMode="External"/><Relationship Id="rId26" Type="http://schemas.openxmlformats.org/officeDocument/2006/relationships/hyperlink" Target="https://baochinhphu.vn/Suc-khoe/Toi-235-Them-76-ca-mac-COVID19-trong-nuoc/432187.vgp" TargetMode="External"/><Relationship Id="rId47" Type="http://schemas.openxmlformats.org/officeDocument/2006/relationships/hyperlink" Target="https://giadinh.net.vn/y-te/ban-tin-covid-19-toi-17-6-them-136-ca-mac-moi-ca-ngay-viet-nam-ghi-nhan-515-benh-nhan-2021061718345643.htm" TargetMode="External"/><Relationship Id="rId68" Type="http://schemas.openxmlformats.org/officeDocument/2006/relationships/hyperlink" Target="https://suckhoedoisong.vn/hon-1000-benh-nhan-covid-19-o-benh-vien-da-chien-so-3-duoc-xuat-vien-n198372.html" TargetMode="External"/><Relationship Id="rId89" Type="http://schemas.openxmlformats.org/officeDocument/2006/relationships/hyperlink" Target="https://suckhoedoisong.vn/toi-22-8-them-11214-ca-mac-covid-19-rieng-tphcm-va-binh-duong-da-gan-8000-ca-169210822174454316.htm" TargetMode="External"/><Relationship Id="rId112" Type="http://schemas.openxmlformats.org/officeDocument/2006/relationships/hyperlink" Target="https://suckhoedoisong.vn/ngay-15-9-co-10585-ca-mac-covid-19-rieng-tp-hcm-da-5301-ca-169210915182952278.htm" TargetMode="External"/><Relationship Id="rId133" Type="http://schemas.openxmlformats.org/officeDocument/2006/relationships/hyperlink" Target="https://suckhoedoisong.vn/ngay-6-10-co-4363-ca-mac-covid-19-tai-tphcm-va-39-tinh-thanh-pho-16921100618105649.htm" TargetMode="External"/><Relationship Id="rId154" Type="http://schemas.openxmlformats.org/officeDocument/2006/relationships/hyperlink" Target="https://vnexpress.net/covid-19/covid-19-viet-nam" TargetMode="External"/><Relationship Id="rId16" Type="http://schemas.openxmlformats.org/officeDocument/2006/relationships/hyperlink" Target="https://suckhoedoisong.vn/chieu-11-5-them-30-ca-mac-covid-19-trong-nuoc-co-27-ca-n192195.html" TargetMode="External"/><Relationship Id="rId37" Type="http://schemas.openxmlformats.org/officeDocument/2006/relationships/hyperlink" Target="https://suckhoedoisong.vn/toi-4-6-them-87-ca-mac-covid-19-trong-nuoc-ky-luc-157-truong-hop-khoi-benh-n194285.html" TargetMode="External"/><Relationship Id="rId58" Type="http://schemas.openxmlformats.org/officeDocument/2006/relationships/hyperlink" Target="https://suckhoedoisong.vn/toi-4-7-them-360-ca-mac-moi-nang-tong-so-benh-nhan-covid-19-trong-ngay-len-887-n196495.html" TargetMode="External"/><Relationship Id="rId79" Type="http://schemas.openxmlformats.org/officeDocument/2006/relationships/hyperlink" Target="https://suckhoedoisong.vn/toi-11-8-them-3964-ca-mac-covid-19-ca-ngay-8776-ca-169210811180958989.htm" TargetMode="External"/><Relationship Id="rId102" Type="http://schemas.openxmlformats.org/officeDocument/2006/relationships/hyperlink" Target="https://suckhoedoisong.vn/ngay-5-9-them-13137-ca-mac-covid-19-rieng-tp-hcm-va-binh-duong-da-gan-9800-ca-16921090518063301.htm" TargetMode="External"/><Relationship Id="rId123" Type="http://schemas.openxmlformats.org/officeDocument/2006/relationships/hyperlink" Target="https://suckhoedoisong.vn/ngay-26-9-them-10011-ca-mac-covid-19-rieng-tp-hcm-da-5121-ca-169210926182030129.htm" TargetMode="External"/><Relationship Id="rId144" Type="http://schemas.openxmlformats.org/officeDocument/2006/relationships/hyperlink" Target="https://suckhoedoisong.vn/ngay-17-10-co-3193-ca-mac-covid-19-rieng-tp-hcm-la-1059-ca-so-tu-vong-giam-con-63-ca-169211017175617838.htm" TargetMode="External"/><Relationship Id="rId90" Type="http://schemas.openxmlformats.org/officeDocument/2006/relationships/hyperlink" Target="https://suckhoedoisong.vn/toi-23-8-them-10266-ca-mac-covid-19-tphcm-van-nhieu-nhat-voi-4251-ca-16921082317515435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94D6-5B3E-40A2-8D5A-BF0D38AFAE55}">
  <dimension ref="A1:N14"/>
  <sheetViews>
    <sheetView showGridLines="0" zoomScale="90" zoomScaleNormal="90" workbookViewId="0">
      <selection activeCell="H10" sqref="H10"/>
    </sheetView>
  </sheetViews>
  <sheetFormatPr defaultRowHeight="14.25"/>
  <cols>
    <col min="2" max="2" width="67.625" customWidth="1"/>
    <col min="3" max="3" width="74.125" style="37" customWidth="1"/>
  </cols>
  <sheetData>
    <row r="1" spans="1:14" ht="42.75" customHeight="1">
      <c r="A1" s="40">
        <v>1</v>
      </c>
      <c r="B1" s="43" t="s">
        <v>87</v>
      </c>
      <c r="C1" s="39" t="s">
        <v>86</v>
      </c>
    </row>
    <row r="2" spans="1:14" ht="38.25">
      <c r="A2" s="40">
        <v>2</v>
      </c>
      <c r="B2" s="38" t="s">
        <v>83</v>
      </c>
      <c r="C2" s="39" t="s">
        <v>82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28.5">
      <c r="A3" s="40">
        <v>3</v>
      </c>
      <c r="B3" s="38" t="s">
        <v>85</v>
      </c>
      <c r="C3" s="39" t="s">
        <v>84</v>
      </c>
    </row>
    <row r="4" spans="1:14" ht="28.5">
      <c r="A4" s="40">
        <v>4</v>
      </c>
      <c r="B4" s="43" t="s">
        <v>89</v>
      </c>
      <c r="C4" s="39" t="s">
        <v>88</v>
      </c>
    </row>
    <row r="5" spans="1:14" ht="25.5">
      <c r="A5" s="40">
        <v>5</v>
      </c>
      <c r="B5" s="38" t="s">
        <v>91</v>
      </c>
      <c r="C5" s="39" t="s">
        <v>90</v>
      </c>
    </row>
    <row r="6" spans="1:14" ht="28.5">
      <c r="A6" s="40">
        <v>6</v>
      </c>
      <c r="B6" s="38" t="s">
        <v>92</v>
      </c>
      <c r="C6" s="39" t="s">
        <v>93</v>
      </c>
    </row>
    <row r="7" spans="1:14" ht="28.5">
      <c r="A7" s="40">
        <v>7</v>
      </c>
      <c r="B7" s="38" t="s">
        <v>95</v>
      </c>
      <c r="C7" s="39" t="s">
        <v>94</v>
      </c>
    </row>
    <row r="8" spans="1:14" ht="28.5">
      <c r="A8" s="41">
        <v>8</v>
      </c>
      <c r="B8" s="43" t="s">
        <v>97</v>
      </c>
      <c r="C8" s="39" t="s">
        <v>96</v>
      </c>
    </row>
    <row r="9" spans="1:14">
      <c r="B9" s="34"/>
      <c r="C9" s="36"/>
    </row>
    <row r="10" spans="1:14" ht="185.25">
      <c r="B10" s="42" t="s">
        <v>98</v>
      </c>
    </row>
    <row r="11" spans="1:14" ht="60" customHeight="1"/>
    <row r="12" spans="1:14" ht="30" customHeight="1">
      <c r="B12" s="35"/>
    </row>
    <row r="13" spans="1:14" ht="60" customHeight="1">
      <c r="B13" s="35"/>
    </row>
    <row r="14" spans="1:14" ht="60" customHeight="1">
      <c r="B14" s="35"/>
    </row>
  </sheetData>
  <hyperlinks>
    <hyperlink ref="C2" r:id="rId1" xr:uid="{A39B00D4-5B5B-4136-AF69-F567FB33834A}"/>
    <hyperlink ref="C4" r:id="rId2" xr:uid="{572C7080-F192-45E3-82AB-B1C1BE86D6CA}"/>
    <hyperlink ref="C5" r:id="rId3" xr:uid="{F877D56B-5CD4-40C3-90C3-6F8808176287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20A6-5D9A-4466-9A31-EA7AF88025DA}">
  <dimension ref="A1:AO999"/>
  <sheetViews>
    <sheetView topLeftCell="B4" zoomScale="60" zoomScaleNormal="60" workbookViewId="0">
      <selection activeCell="AD33" sqref="AD33:AD34"/>
    </sheetView>
  </sheetViews>
  <sheetFormatPr defaultColWidth="9.125" defaultRowHeight="15"/>
  <cols>
    <col min="1" max="1" width="12" style="163" customWidth="1"/>
    <col min="2" max="2" width="4.375" style="164" bestFit="1" customWidth="1"/>
    <col min="3" max="3" width="11" style="163" bestFit="1" customWidth="1"/>
    <col min="4" max="4" width="12.875" style="185" bestFit="1" customWidth="1"/>
    <col min="5" max="5" width="8.75" style="167" customWidth="1"/>
    <col min="6" max="6" width="10.25" style="167" bestFit="1" customWidth="1"/>
    <col min="7" max="7" width="4.875" style="167" bestFit="1" customWidth="1"/>
    <col min="8" max="17" width="3.25" style="167" bestFit="1" customWidth="1"/>
    <col min="18" max="18" width="9.125" style="167"/>
    <col min="19" max="19" width="10.375" style="167" bestFit="1" customWidth="1"/>
    <col min="20" max="20" width="13.375" style="167" bestFit="1" customWidth="1"/>
    <col min="21" max="22" width="8.625" style="167" bestFit="1" customWidth="1"/>
    <col min="23" max="23" width="7.875" style="167" bestFit="1" customWidth="1"/>
    <col min="24" max="24" width="8.625" style="167" bestFit="1" customWidth="1"/>
    <col min="25" max="25" width="7.875" style="167" bestFit="1" customWidth="1"/>
    <col min="26" max="27" width="8.625" style="167" bestFit="1" customWidth="1"/>
    <col min="28" max="28" width="7.875" style="167" bestFit="1" customWidth="1"/>
    <col min="29" max="29" width="8.625" style="167" bestFit="1" customWidth="1"/>
    <col min="30" max="30" width="12.875" style="167" bestFit="1" customWidth="1"/>
    <col min="31" max="31" width="11" style="167" bestFit="1" customWidth="1"/>
    <col min="32" max="32" width="5" style="167" bestFit="1" customWidth="1"/>
    <col min="33" max="33" width="8.125" style="167" bestFit="1" customWidth="1"/>
    <col min="34" max="34" width="10.625" style="167" bestFit="1" customWidth="1"/>
    <col min="35" max="36" width="11" style="167" hidden="1" customWidth="1"/>
    <col min="37" max="37" width="5.25" style="167" bestFit="1" customWidth="1"/>
    <col min="38" max="38" width="8.125" style="167" bestFit="1" customWidth="1"/>
    <col min="39" max="39" width="10.625" style="167" bestFit="1" customWidth="1"/>
    <col min="40" max="40" width="10.375" style="167" hidden="1" customWidth="1"/>
    <col min="41" max="41" width="11" style="167" hidden="1" customWidth="1"/>
    <col min="42" max="16384" width="9.125" style="167"/>
  </cols>
  <sheetData>
    <row r="1" spans="1:41" ht="15.75" thickBot="1">
      <c r="C1" s="165" t="s">
        <v>294</v>
      </c>
      <c r="D1" s="166" t="s">
        <v>299</v>
      </c>
      <c r="F1" s="168" t="s">
        <v>300</v>
      </c>
      <c r="G1" s="321" t="s">
        <v>301</v>
      </c>
      <c r="H1" s="322"/>
      <c r="I1" s="322"/>
      <c r="J1" s="322"/>
      <c r="K1" s="322"/>
      <c r="L1" s="322"/>
      <c r="M1" s="322"/>
      <c r="N1" s="322"/>
      <c r="O1" s="322"/>
      <c r="P1" s="322"/>
      <c r="Q1" s="323"/>
    </row>
    <row r="2" spans="1:41" s="177" customFormat="1" ht="19.5" customHeight="1">
      <c r="A2" s="169" t="s">
        <v>36</v>
      </c>
      <c r="B2" s="170" t="s">
        <v>302</v>
      </c>
      <c r="C2" s="171" t="s">
        <v>300</v>
      </c>
      <c r="D2" s="172" t="s">
        <v>299</v>
      </c>
      <c r="E2" s="173"/>
      <c r="F2" s="324" t="s">
        <v>303</v>
      </c>
      <c r="G2" s="174"/>
      <c r="H2" s="175">
        <v>0</v>
      </c>
      <c r="I2" s="175">
        <v>1</v>
      </c>
      <c r="J2" s="175">
        <v>2</v>
      </c>
      <c r="K2" s="175">
        <v>3</v>
      </c>
      <c r="L2" s="175">
        <v>4</v>
      </c>
      <c r="M2" s="175">
        <v>5</v>
      </c>
      <c r="N2" s="175">
        <v>6</v>
      </c>
      <c r="O2" s="175">
        <v>7</v>
      </c>
      <c r="P2" s="175">
        <v>8</v>
      </c>
      <c r="Q2" s="176">
        <v>9</v>
      </c>
      <c r="S2" s="178" t="s">
        <v>300</v>
      </c>
      <c r="T2" s="326" t="s">
        <v>301</v>
      </c>
      <c r="U2" s="327"/>
      <c r="V2" s="327"/>
      <c r="W2" s="327"/>
      <c r="X2" s="327"/>
      <c r="Y2" s="327"/>
      <c r="Z2" s="327"/>
      <c r="AA2" s="327"/>
      <c r="AB2" s="327"/>
      <c r="AC2" s="327"/>
      <c r="AD2" s="174"/>
      <c r="AF2" s="179"/>
      <c r="AG2" s="328" t="s">
        <v>303</v>
      </c>
      <c r="AH2" s="321"/>
      <c r="AI2" s="321"/>
      <c r="AJ2" s="329"/>
      <c r="AK2" s="180"/>
      <c r="AL2" s="330" t="s">
        <v>304</v>
      </c>
      <c r="AM2" s="321"/>
      <c r="AN2" s="321"/>
      <c r="AO2" s="329"/>
    </row>
    <row r="3" spans="1:41" ht="28.5">
      <c r="A3" s="181">
        <v>44313</v>
      </c>
      <c r="B3" s="182">
        <v>1</v>
      </c>
      <c r="C3" s="183">
        <v>0</v>
      </c>
      <c r="D3" s="184" t="str">
        <f t="shared" ref="D3:D66" si="0">LEFT(C3,2)</f>
        <v>0</v>
      </c>
      <c r="E3" s="177"/>
      <c r="F3" s="325"/>
      <c r="G3" s="168">
        <v>1</v>
      </c>
      <c r="H3" s="185">
        <f>COUNTIF($D$3:$D$209,"10")</f>
        <v>8</v>
      </c>
      <c r="I3" s="185">
        <f>COUNTIF($D$3:$D$209,"11")</f>
        <v>6</v>
      </c>
      <c r="J3" s="185">
        <f>COUNTIF($D$3:$D$209,"12")</f>
        <v>5</v>
      </c>
      <c r="K3" s="185">
        <f>COUNTIF($D$3:$D$209,"13")</f>
        <v>11</v>
      </c>
      <c r="L3" s="185">
        <f>COUNTIF($D$3:$D$209,"14")</f>
        <v>5</v>
      </c>
      <c r="M3" s="185">
        <f>COUNTIF($D$3:$D$209,"15")</f>
        <v>5</v>
      </c>
      <c r="N3" s="185">
        <f>COUNTIF($D$3:$D$209,"16")</f>
        <v>4</v>
      </c>
      <c r="O3" s="185">
        <f>COUNTIF($D$3:$D$209,"17")</f>
        <v>2</v>
      </c>
      <c r="P3" s="185">
        <f>COUNTIF($D$3:$D$209,"18")</f>
        <v>1</v>
      </c>
      <c r="Q3" s="185">
        <f>COUNTIF($D$3:$D$209,"19")</f>
        <v>1</v>
      </c>
      <c r="R3" s="186">
        <f>SUM(H3:Q3)</f>
        <v>48</v>
      </c>
      <c r="S3" s="40" t="s">
        <v>303</v>
      </c>
      <c r="T3" s="175">
        <v>0</v>
      </c>
      <c r="U3" s="175">
        <v>1</v>
      </c>
      <c r="V3" s="175">
        <v>2</v>
      </c>
      <c r="W3" s="175">
        <v>3</v>
      </c>
      <c r="X3" s="175">
        <v>4</v>
      </c>
      <c r="Y3" s="175">
        <v>5</v>
      </c>
      <c r="Z3" s="175">
        <v>6</v>
      </c>
      <c r="AA3" s="175">
        <v>7</v>
      </c>
      <c r="AB3" s="175">
        <v>8</v>
      </c>
      <c r="AC3" s="187">
        <v>9</v>
      </c>
      <c r="AD3" s="188" t="s">
        <v>305</v>
      </c>
      <c r="AF3" s="189" t="s">
        <v>306</v>
      </c>
      <c r="AG3" s="190" t="s">
        <v>307</v>
      </c>
      <c r="AH3" s="149" t="s">
        <v>308</v>
      </c>
      <c r="AI3" s="149" t="s">
        <v>309</v>
      </c>
      <c r="AJ3" s="162" t="s">
        <v>310</v>
      </c>
      <c r="AK3" s="189" t="s">
        <v>306</v>
      </c>
      <c r="AL3" s="191" t="s">
        <v>307</v>
      </c>
      <c r="AM3" s="149" t="s">
        <v>308</v>
      </c>
      <c r="AN3" s="149" t="s">
        <v>311</v>
      </c>
      <c r="AO3" s="162" t="s">
        <v>310</v>
      </c>
    </row>
    <row r="4" spans="1:41">
      <c r="A4" s="192">
        <v>44314</v>
      </c>
      <c r="B4" s="193">
        <v>2</v>
      </c>
      <c r="C4" s="194">
        <v>0</v>
      </c>
      <c r="D4" s="184" t="str">
        <f t="shared" si="0"/>
        <v>0</v>
      </c>
      <c r="E4" s="177"/>
      <c r="F4" s="325"/>
      <c r="G4" s="168">
        <v>2</v>
      </c>
      <c r="H4" s="185">
        <f>COUNTIF($D$3:$D$209,"20")</f>
        <v>3</v>
      </c>
      <c r="I4" s="185">
        <f>COUNTIF($D$3:$D$209,"21")</f>
        <v>1</v>
      </c>
      <c r="J4" s="185">
        <f>COUNTIF($D$3:$D$209,"22")</f>
        <v>3</v>
      </c>
      <c r="K4" s="185">
        <f>COUNTIF($D$3:$D$209,"23")</f>
        <v>1</v>
      </c>
      <c r="L4" s="185">
        <f>COUNTIF($D$3:$D$209,"24")</f>
        <v>4</v>
      </c>
      <c r="M4" s="185">
        <f>COUNTIF($D$3:$D$209,"25")</f>
        <v>0</v>
      </c>
      <c r="N4" s="185">
        <f>COUNTIF($D$3:$D$209,"26")</f>
        <v>1</v>
      </c>
      <c r="O4" s="185">
        <f>COUNTIF($D$3:$D$209,"27")</f>
        <v>1</v>
      </c>
      <c r="P4" s="185">
        <f>COUNTIF($D$3:$D$209,"28")</f>
        <v>2</v>
      </c>
      <c r="Q4" s="185">
        <f>COUNTIF($D$3:$D$209,"29")</f>
        <v>0</v>
      </c>
      <c r="R4" s="186">
        <f t="shared" ref="R4:R11" si="1">SUM(H4:Q4)</f>
        <v>16</v>
      </c>
      <c r="S4" s="168">
        <v>1</v>
      </c>
      <c r="T4" s="195">
        <f t="shared" ref="T4:AC12" si="2">H3/172</f>
        <v>4.6511627906976744E-2</v>
      </c>
      <c r="U4" s="195">
        <f t="shared" si="2"/>
        <v>3.4883720930232558E-2</v>
      </c>
      <c r="V4" s="195">
        <f t="shared" si="2"/>
        <v>2.9069767441860465E-2</v>
      </c>
      <c r="W4" s="195">
        <f t="shared" si="2"/>
        <v>6.3953488372093026E-2</v>
      </c>
      <c r="X4" s="195">
        <f t="shared" si="2"/>
        <v>2.9069767441860465E-2</v>
      </c>
      <c r="Y4" s="195">
        <f t="shared" si="2"/>
        <v>2.9069767441860465E-2</v>
      </c>
      <c r="Z4" s="195">
        <f t="shared" si="2"/>
        <v>2.3255813953488372E-2</v>
      </c>
      <c r="AA4" s="195">
        <f t="shared" si="2"/>
        <v>1.1627906976744186E-2</v>
      </c>
      <c r="AB4" s="195">
        <f t="shared" si="2"/>
        <v>5.8139534883720929E-3</v>
      </c>
      <c r="AC4" s="196">
        <f t="shared" si="2"/>
        <v>5.8139534883720929E-3</v>
      </c>
      <c r="AD4" s="197">
        <f>SUM(T4:AC4)</f>
        <v>0.27906976744186052</v>
      </c>
      <c r="AF4" s="198">
        <v>0</v>
      </c>
      <c r="AG4" s="199"/>
      <c r="AH4" s="200"/>
      <c r="AI4" s="200"/>
      <c r="AJ4" s="201"/>
      <c r="AK4" s="202">
        <v>0</v>
      </c>
      <c r="AL4" s="203">
        <v>0.1197</v>
      </c>
      <c r="AM4" s="204">
        <f>T13</f>
        <v>0.12209302325581395</v>
      </c>
      <c r="AN4" s="205">
        <f>U26</f>
        <v>0</v>
      </c>
      <c r="AO4" s="206">
        <f>U40</f>
        <v>0</v>
      </c>
    </row>
    <row r="5" spans="1:41">
      <c r="A5" s="192">
        <v>44315</v>
      </c>
      <c r="B5" s="193">
        <v>3</v>
      </c>
      <c r="C5" s="194">
        <v>1</v>
      </c>
      <c r="D5" s="184" t="str">
        <f t="shared" si="0"/>
        <v>1</v>
      </c>
      <c r="E5" s="177"/>
      <c r="F5" s="325"/>
      <c r="G5" s="168">
        <v>3</v>
      </c>
      <c r="H5" s="185">
        <f>COUNTIF($D$3:$D$209,"30")</f>
        <v>1</v>
      </c>
      <c r="I5" s="185">
        <f>COUNTIF($D$3:$D$209,"31")</f>
        <v>1</v>
      </c>
      <c r="J5" s="185">
        <f>COUNTIF($D$3:$D$209,"32")</f>
        <v>0</v>
      </c>
      <c r="K5" s="185">
        <f>COUNTIF($D$3:$D$209,"33")</f>
        <v>4</v>
      </c>
      <c r="L5" s="185">
        <f>COUNTIF($D$3:$D$209,"34")</f>
        <v>1</v>
      </c>
      <c r="M5" s="185">
        <f>COUNTIF($D$3:$D$209,"35")</f>
        <v>2</v>
      </c>
      <c r="N5" s="185">
        <f>COUNTIF($D$3:$D$209,"36")</f>
        <v>4</v>
      </c>
      <c r="O5" s="185">
        <f>COUNTIF($D$3:$D$209,"37")</f>
        <v>3</v>
      </c>
      <c r="P5" s="185">
        <f>COUNTIF($D$3:$D$209,"38")</f>
        <v>2</v>
      </c>
      <c r="Q5" s="185">
        <f>COUNTIF($D$3:$D$209,"39")</f>
        <v>3</v>
      </c>
      <c r="R5" s="186">
        <f t="shared" si="1"/>
        <v>21</v>
      </c>
      <c r="S5" s="168">
        <v>2</v>
      </c>
      <c r="T5" s="195">
        <f t="shared" si="2"/>
        <v>1.7441860465116279E-2</v>
      </c>
      <c r="U5" s="195">
        <f t="shared" si="2"/>
        <v>5.8139534883720929E-3</v>
      </c>
      <c r="V5" s="195">
        <f t="shared" si="2"/>
        <v>1.7441860465116279E-2</v>
      </c>
      <c r="W5" s="195">
        <f t="shared" si="2"/>
        <v>5.8139534883720929E-3</v>
      </c>
      <c r="X5" s="195">
        <f t="shared" si="2"/>
        <v>2.3255813953488372E-2</v>
      </c>
      <c r="Y5" s="195">
        <f t="shared" si="2"/>
        <v>0</v>
      </c>
      <c r="Z5" s="195">
        <f t="shared" si="2"/>
        <v>5.8139534883720929E-3</v>
      </c>
      <c r="AA5" s="195">
        <f t="shared" si="2"/>
        <v>5.8139534883720929E-3</v>
      </c>
      <c r="AB5" s="195">
        <f t="shared" si="2"/>
        <v>1.1627906976744186E-2</v>
      </c>
      <c r="AC5" s="196">
        <f t="shared" si="2"/>
        <v>0</v>
      </c>
      <c r="AD5" s="197">
        <f t="shared" ref="AD5:AD12" si="3">SUM(T5:AC5)</f>
        <v>9.3023255813953487E-2</v>
      </c>
      <c r="AF5" s="198">
        <v>1</v>
      </c>
      <c r="AG5" s="207">
        <v>0.30099999999999999</v>
      </c>
      <c r="AH5" s="204">
        <f>AD4</f>
        <v>0.27906976744186052</v>
      </c>
      <c r="AI5" s="205">
        <f>AE17</f>
        <v>0</v>
      </c>
      <c r="AJ5" s="206">
        <f>AE31</f>
        <v>0</v>
      </c>
      <c r="AK5" s="202">
        <v>1</v>
      </c>
      <c r="AL5" s="203">
        <v>0.1139</v>
      </c>
      <c r="AM5" s="204">
        <f>U13</f>
        <v>0.13953488372093023</v>
      </c>
      <c r="AN5" s="205">
        <f>V26</f>
        <v>0</v>
      </c>
      <c r="AO5" s="206">
        <f>V40</f>
        <v>0</v>
      </c>
    </row>
    <row r="6" spans="1:41">
      <c r="A6" s="192">
        <v>44316</v>
      </c>
      <c r="B6" s="193">
        <v>4</v>
      </c>
      <c r="C6" s="194">
        <v>2</v>
      </c>
      <c r="D6" s="184" t="str">
        <f t="shared" si="0"/>
        <v>2</v>
      </c>
      <c r="E6" s="177"/>
      <c r="F6" s="325"/>
      <c r="G6" s="168">
        <v>4</v>
      </c>
      <c r="H6" s="185">
        <f>COUNTIF($D$3:$D$209,"40")</f>
        <v>4</v>
      </c>
      <c r="I6" s="185">
        <f>COUNTIF($D$3:$D$209,"41")</f>
        <v>7</v>
      </c>
      <c r="J6" s="185">
        <f>COUNTIF($D$3:$D$209,"42")</f>
        <v>2</v>
      </c>
      <c r="K6" s="185">
        <f>COUNTIF($D$3:$D$209,"43")</f>
        <v>2</v>
      </c>
      <c r="L6" s="185">
        <f>COUNTIF($D$3:$D$209,"44")</f>
        <v>1</v>
      </c>
      <c r="M6" s="185">
        <f>COUNTIF($D$3:$D$209,"45")</f>
        <v>2</v>
      </c>
      <c r="N6" s="185">
        <f>COUNTIF($D$3:$D$209,"46")</f>
        <v>3</v>
      </c>
      <c r="O6" s="185">
        <f>COUNTIF($D$3:$D$209,"47")</f>
        <v>0</v>
      </c>
      <c r="P6" s="185">
        <f>COUNTIF($D$3:$D$209,"48")</f>
        <v>0</v>
      </c>
      <c r="Q6" s="185">
        <f>COUNTIF($D$3:$D$209,"49")</f>
        <v>3</v>
      </c>
      <c r="R6" s="186">
        <f t="shared" si="1"/>
        <v>24</v>
      </c>
      <c r="S6" s="168">
        <v>3</v>
      </c>
      <c r="T6" s="195">
        <f t="shared" si="2"/>
        <v>5.8139534883720929E-3</v>
      </c>
      <c r="U6" s="195">
        <f t="shared" si="2"/>
        <v>5.8139534883720929E-3</v>
      </c>
      <c r="V6" s="195">
        <f t="shared" si="2"/>
        <v>0</v>
      </c>
      <c r="W6" s="195">
        <f t="shared" si="2"/>
        <v>2.3255813953488372E-2</v>
      </c>
      <c r="X6" s="195">
        <f t="shared" si="2"/>
        <v>5.8139534883720929E-3</v>
      </c>
      <c r="Y6" s="195">
        <f t="shared" si="2"/>
        <v>1.1627906976744186E-2</v>
      </c>
      <c r="Z6" s="195">
        <f t="shared" si="2"/>
        <v>2.3255813953488372E-2</v>
      </c>
      <c r="AA6" s="195">
        <f t="shared" si="2"/>
        <v>1.7441860465116279E-2</v>
      </c>
      <c r="AB6" s="195">
        <f t="shared" si="2"/>
        <v>1.1627906976744186E-2</v>
      </c>
      <c r="AC6" s="196">
        <f t="shared" si="2"/>
        <v>1.7441860465116279E-2</v>
      </c>
      <c r="AD6" s="197">
        <f t="shared" si="3"/>
        <v>0.12209302325581395</v>
      </c>
      <c r="AF6" s="198">
        <v>2</v>
      </c>
      <c r="AG6" s="207">
        <v>0.17610000000000001</v>
      </c>
      <c r="AH6" s="204">
        <f t="shared" ref="AH6:AH13" si="4">AD5</f>
        <v>9.3023255813953487E-2</v>
      </c>
      <c r="AI6" s="205">
        <f t="shared" ref="AI6:AI13" si="5">AE18</f>
        <v>0</v>
      </c>
      <c r="AJ6" s="206">
        <f t="shared" ref="AJ6:AJ13" si="6">AE32</f>
        <v>0</v>
      </c>
      <c r="AK6" s="202">
        <v>2</v>
      </c>
      <c r="AL6" s="203">
        <v>0.10879999999999999</v>
      </c>
      <c r="AM6" s="204">
        <f>V13</f>
        <v>8.1395348837209294E-2</v>
      </c>
      <c r="AN6" s="205">
        <f>W26</f>
        <v>0</v>
      </c>
      <c r="AO6" s="206">
        <f>W40</f>
        <v>0</v>
      </c>
    </row>
    <row r="7" spans="1:41">
      <c r="A7" s="192">
        <v>44317</v>
      </c>
      <c r="B7" s="193">
        <v>5</v>
      </c>
      <c r="C7" s="194">
        <v>3</v>
      </c>
      <c r="D7" s="184" t="str">
        <f t="shared" si="0"/>
        <v>3</v>
      </c>
      <c r="E7" s="177"/>
      <c r="F7" s="325"/>
      <c r="G7" s="168">
        <v>5</v>
      </c>
      <c r="H7" s="185">
        <f>COUNTIF($D$3:$D$209,"50")</f>
        <v>1</v>
      </c>
      <c r="I7" s="185">
        <f>COUNTIF($D$3:$D$209,"51")</f>
        <v>3</v>
      </c>
      <c r="J7" s="185">
        <f>COUNTIF($D$3:$D$209,"52")</f>
        <v>1</v>
      </c>
      <c r="K7" s="185">
        <f>COUNTIF($D$3:$D$209,"53")</f>
        <v>3</v>
      </c>
      <c r="L7" s="185">
        <f>COUNTIF($D$3:$D$209,"54")</f>
        <v>5</v>
      </c>
      <c r="M7" s="185">
        <f>COUNTIF($D$3:$D$209,"55")</f>
        <v>2</v>
      </c>
      <c r="N7" s="185">
        <f>COUNTIF($D$3:$D$209,"56")</f>
        <v>1</v>
      </c>
      <c r="O7" s="185">
        <f>COUNTIF($D$3:$D$209,"57")</f>
        <v>1</v>
      </c>
      <c r="P7" s="185">
        <f>COUNTIF($D$3:$D$209,"58")</f>
        <v>3</v>
      </c>
      <c r="Q7" s="185">
        <f>COUNTIF($D$3:$D$209,"59")</f>
        <v>3</v>
      </c>
      <c r="R7" s="186">
        <f t="shared" si="1"/>
        <v>23</v>
      </c>
      <c r="S7" s="168">
        <v>4</v>
      </c>
      <c r="T7" s="195">
        <f t="shared" si="2"/>
        <v>2.3255813953488372E-2</v>
      </c>
      <c r="U7" s="195">
        <f t="shared" si="2"/>
        <v>4.0697674418604654E-2</v>
      </c>
      <c r="V7" s="195">
        <f t="shared" si="2"/>
        <v>1.1627906976744186E-2</v>
      </c>
      <c r="W7" s="195">
        <f t="shared" si="2"/>
        <v>1.1627906976744186E-2</v>
      </c>
      <c r="X7" s="195">
        <f t="shared" si="2"/>
        <v>5.8139534883720929E-3</v>
      </c>
      <c r="Y7" s="195">
        <f t="shared" si="2"/>
        <v>1.1627906976744186E-2</v>
      </c>
      <c r="Z7" s="195">
        <f t="shared" si="2"/>
        <v>1.7441860465116279E-2</v>
      </c>
      <c r="AA7" s="195">
        <f t="shared" si="2"/>
        <v>0</v>
      </c>
      <c r="AB7" s="195">
        <f t="shared" si="2"/>
        <v>0</v>
      </c>
      <c r="AC7" s="196">
        <f t="shared" si="2"/>
        <v>1.7441860465116279E-2</v>
      </c>
      <c r="AD7" s="197">
        <f t="shared" si="3"/>
        <v>0.13953488372093023</v>
      </c>
      <c r="AF7" s="198">
        <v>3</v>
      </c>
      <c r="AG7" s="207">
        <v>0.1249</v>
      </c>
      <c r="AH7" s="204">
        <f t="shared" si="4"/>
        <v>0.12209302325581395</v>
      </c>
      <c r="AI7" s="205">
        <f t="shared" si="5"/>
        <v>0</v>
      </c>
      <c r="AJ7" s="206">
        <f t="shared" si="6"/>
        <v>0</v>
      </c>
      <c r="AK7" s="202">
        <v>3</v>
      </c>
      <c r="AL7" s="203">
        <v>0.1043</v>
      </c>
      <c r="AM7" s="204">
        <f>W13</f>
        <v>0.14534883720930233</v>
      </c>
      <c r="AN7" s="205">
        <f>X26</f>
        <v>0</v>
      </c>
      <c r="AO7" s="206">
        <f>X40</f>
        <v>0</v>
      </c>
    </row>
    <row r="8" spans="1:41">
      <c r="A8" s="192">
        <v>44318</v>
      </c>
      <c r="B8" s="193">
        <v>6</v>
      </c>
      <c r="C8" s="194">
        <v>0</v>
      </c>
      <c r="D8" s="184" t="str">
        <f t="shared" si="0"/>
        <v>0</v>
      </c>
      <c r="E8" s="177"/>
      <c r="F8" s="325"/>
      <c r="G8" s="168">
        <v>6</v>
      </c>
      <c r="H8" s="185">
        <f>COUNTIF($D$3:$D$209,"60")</f>
        <v>1</v>
      </c>
      <c r="I8" s="185">
        <f>COUNTIF($D$3:$D$209,"61")</f>
        <v>1</v>
      </c>
      <c r="J8" s="185">
        <f>COUNTIF($D$3:$D$209,"62")</f>
        <v>2</v>
      </c>
      <c r="K8" s="185">
        <f>COUNTIF($D$3:$D$209,"63")</f>
        <v>1</v>
      </c>
      <c r="L8" s="185">
        <f>COUNTIF($D$3:$D$209,"64")</f>
        <v>1</v>
      </c>
      <c r="M8" s="185">
        <f>COUNTIF($D$3:$D$209,"65")</f>
        <v>1</v>
      </c>
      <c r="N8" s="185">
        <f>COUNTIF($D$3:$D$209,"66")</f>
        <v>2</v>
      </c>
      <c r="O8" s="185">
        <f>COUNTIF($D$3:$D$209,"67")</f>
        <v>0</v>
      </c>
      <c r="P8" s="185">
        <f>COUNTIF($D$3:$D$209,"68")</f>
        <v>1</v>
      </c>
      <c r="Q8" s="185">
        <f>COUNTIF($D$3:$D$209,"69")</f>
        <v>1</v>
      </c>
      <c r="R8" s="186">
        <f t="shared" si="1"/>
        <v>11</v>
      </c>
      <c r="S8" s="168">
        <v>5</v>
      </c>
      <c r="T8" s="195">
        <f t="shared" si="2"/>
        <v>5.8139534883720929E-3</v>
      </c>
      <c r="U8" s="195">
        <f t="shared" si="2"/>
        <v>1.7441860465116279E-2</v>
      </c>
      <c r="V8" s="195">
        <f t="shared" si="2"/>
        <v>5.8139534883720929E-3</v>
      </c>
      <c r="W8" s="195">
        <f t="shared" si="2"/>
        <v>1.7441860465116279E-2</v>
      </c>
      <c r="X8" s="195">
        <f t="shared" si="2"/>
        <v>2.9069767441860465E-2</v>
      </c>
      <c r="Y8" s="195">
        <f t="shared" si="2"/>
        <v>1.1627906976744186E-2</v>
      </c>
      <c r="Z8" s="195">
        <f t="shared" si="2"/>
        <v>5.8139534883720929E-3</v>
      </c>
      <c r="AA8" s="195">
        <f t="shared" si="2"/>
        <v>5.8139534883720929E-3</v>
      </c>
      <c r="AB8" s="195">
        <f t="shared" si="2"/>
        <v>1.7441860465116279E-2</v>
      </c>
      <c r="AC8" s="196">
        <f t="shared" si="2"/>
        <v>1.7441860465116279E-2</v>
      </c>
      <c r="AD8" s="197">
        <f t="shared" si="3"/>
        <v>0.13372093023255813</v>
      </c>
      <c r="AF8" s="198">
        <v>4</v>
      </c>
      <c r="AG8" s="207">
        <v>9.69E-2</v>
      </c>
      <c r="AH8" s="204">
        <f t="shared" si="4"/>
        <v>0.13953488372093023</v>
      </c>
      <c r="AI8" s="205">
        <f t="shared" si="5"/>
        <v>0</v>
      </c>
      <c r="AJ8" s="206">
        <f t="shared" si="6"/>
        <v>0</v>
      </c>
      <c r="AK8" s="202">
        <v>4</v>
      </c>
      <c r="AL8" s="203">
        <v>0.1003</v>
      </c>
      <c r="AM8" s="204">
        <f>X13</f>
        <v>0.11046511627906974</v>
      </c>
      <c r="AN8" s="205">
        <f>Y26</f>
        <v>0</v>
      </c>
      <c r="AO8" s="206">
        <f>Y40</f>
        <v>0</v>
      </c>
    </row>
    <row r="9" spans="1:41">
      <c r="A9" s="192">
        <v>44319</v>
      </c>
      <c r="B9" s="193">
        <v>7</v>
      </c>
      <c r="C9" s="194">
        <v>0</v>
      </c>
      <c r="D9" s="184" t="str">
        <f t="shared" si="0"/>
        <v>0</v>
      </c>
      <c r="E9" s="177"/>
      <c r="F9" s="325"/>
      <c r="G9" s="168">
        <v>7</v>
      </c>
      <c r="H9" s="185">
        <f>COUNTIF($D$3:$D$209,"70")</f>
        <v>0</v>
      </c>
      <c r="I9" s="185">
        <f>COUNTIF($D$3:$D$209,"71")</f>
        <v>3</v>
      </c>
      <c r="J9" s="185">
        <f>COUNTIF($D$3:$D$209,"72")</f>
        <v>0</v>
      </c>
      <c r="K9" s="185">
        <f>COUNTIF($D$3:$D$209,"73")</f>
        <v>2</v>
      </c>
      <c r="L9" s="185">
        <f>COUNTIF($D$3:$D$209,"74")</f>
        <v>1</v>
      </c>
      <c r="M9" s="185">
        <f>COUNTIF($D$3:$D$209,"75")</f>
        <v>1</v>
      </c>
      <c r="N9" s="185">
        <f>COUNTIF($D$3:$D$209,"76")</f>
        <v>1</v>
      </c>
      <c r="O9" s="185">
        <f>COUNTIF($D$3:$D$209,"77")</f>
        <v>0</v>
      </c>
      <c r="P9" s="185">
        <f>COUNTIF($D$3:$D$209,"78")</f>
        <v>1</v>
      </c>
      <c r="Q9" s="185">
        <f>COUNTIF($D$3:$D$209,"79")</f>
        <v>1</v>
      </c>
      <c r="R9" s="186">
        <f t="shared" si="1"/>
        <v>10</v>
      </c>
      <c r="S9" s="168">
        <v>6</v>
      </c>
      <c r="T9" s="195">
        <f t="shared" si="2"/>
        <v>5.8139534883720929E-3</v>
      </c>
      <c r="U9" s="195">
        <f t="shared" si="2"/>
        <v>5.8139534883720929E-3</v>
      </c>
      <c r="V9" s="195">
        <f t="shared" si="2"/>
        <v>1.1627906976744186E-2</v>
      </c>
      <c r="W9" s="195">
        <f t="shared" si="2"/>
        <v>5.8139534883720929E-3</v>
      </c>
      <c r="X9" s="195">
        <f t="shared" si="2"/>
        <v>5.8139534883720929E-3</v>
      </c>
      <c r="Y9" s="195">
        <f t="shared" si="2"/>
        <v>5.8139534883720929E-3</v>
      </c>
      <c r="Z9" s="195">
        <f t="shared" si="2"/>
        <v>1.1627906976744186E-2</v>
      </c>
      <c r="AA9" s="195">
        <f t="shared" si="2"/>
        <v>0</v>
      </c>
      <c r="AB9" s="195">
        <f t="shared" si="2"/>
        <v>5.8139534883720929E-3</v>
      </c>
      <c r="AC9" s="196">
        <f t="shared" si="2"/>
        <v>5.8139534883720929E-3</v>
      </c>
      <c r="AD9" s="197">
        <f t="shared" si="3"/>
        <v>6.3953488372093026E-2</v>
      </c>
      <c r="AF9" s="198">
        <v>5</v>
      </c>
      <c r="AG9" s="207">
        <v>7.9200000000000007E-2</v>
      </c>
      <c r="AH9" s="204">
        <f t="shared" si="4"/>
        <v>0.13372093023255813</v>
      </c>
      <c r="AI9" s="205">
        <f t="shared" si="5"/>
        <v>0</v>
      </c>
      <c r="AJ9" s="206">
        <f t="shared" si="6"/>
        <v>0</v>
      </c>
      <c r="AK9" s="202">
        <v>5</v>
      </c>
      <c r="AL9" s="203">
        <v>9.6699999999999994E-2</v>
      </c>
      <c r="AM9" s="204">
        <f>Y13</f>
        <v>8.7209302325581384E-2</v>
      </c>
      <c r="AN9" s="205">
        <f>Z26</f>
        <v>0</v>
      </c>
      <c r="AO9" s="206">
        <f>Z40</f>
        <v>0</v>
      </c>
    </row>
    <row r="10" spans="1:41">
      <c r="A10" s="192">
        <v>44320</v>
      </c>
      <c r="B10" s="193">
        <v>8</v>
      </c>
      <c r="C10" s="194">
        <v>3</v>
      </c>
      <c r="D10" s="184" t="str">
        <f t="shared" si="0"/>
        <v>3</v>
      </c>
      <c r="E10" s="177"/>
      <c r="F10" s="325"/>
      <c r="G10" s="168">
        <v>8</v>
      </c>
      <c r="H10" s="185">
        <f>COUNTIF($D$3:$D$209,"80")</f>
        <v>0</v>
      </c>
      <c r="I10" s="185">
        <f>COUNTIF($D$3:$D$209,"81")</f>
        <v>0</v>
      </c>
      <c r="J10" s="185">
        <f>COUNTIF($D$3:$D$209,"82")</f>
        <v>0</v>
      </c>
      <c r="K10" s="185">
        <f>COUNTIF($D$3:$D$209,"83")</f>
        <v>0</v>
      </c>
      <c r="L10" s="185">
        <f>COUNTIF($D$3:$D$209,"84")</f>
        <v>1</v>
      </c>
      <c r="M10" s="185">
        <f>COUNTIF($D$3:$D$209,"85")</f>
        <v>1</v>
      </c>
      <c r="N10" s="185">
        <f>COUNTIF($D$3:$D$209,"86")</f>
        <v>1</v>
      </c>
      <c r="O10" s="185">
        <f>COUNTIF($D$3:$D$209,"87")</f>
        <v>0</v>
      </c>
      <c r="P10" s="185">
        <f>COUNTIF($D$3:$D$209,"88")</f>
        <v>0</v>
      </c>
      <c r="Q10" s="185">
        <f>COUNTIF($D$3:$D$209,"89")</f>
        <v>0</v>
      </c>
      <c r="R10" s="186">
        <f t="shared" si="1"/>
        <v>3</v>
      </c>
      <c r="S10" s="168">
        <v>7</v>
      </c>
      <c r="T10" s="195">
        <f t="shared" si="2"/>
        <v>0</v>
      </c>
      <c r="U10" s="195">
        <f t="shared" si="2"/>
        <v>1.7441860465116279E-2</v>
      </c>
      <c r="V10" s="195">
        <f t="shared" si="2"/>
        <v>0</v>
      </c>
      <c r="W10" s="195">
        <f t="shared" si="2"/>
        <v>1.1627906976744186E-2</v>
      </c>
      <c r="X10" s="195">
        <f t="shared" si="2"/>
        <v>5.8139534883720929E-3</v>
      </c>
      <c r="Y10" s="195">
        <f t="shared" si="2"/>
        <v>5.8139534883720929E-3</v>
      </c>
      <c r="Z10" s="195">
        <f t="shared" si="2"/>
        <v>5.8139534883720929E-3</v>
      </c>
      <c r="AA10" s="195">
        <f t="shared" si="2"/>
        <v>0</v>
      </c>
      <c r="AB10" s="195">
        <f t="shared" si="2"/>
        <v>5.8139534883720929E-3</v>
      </c>
      <c r="AC10" s="196">
        <f t="shared" si="2"/>
        <v>5.8139534883720929E-3</v>
      </c>
      <c r="AD10" s="197">
        <f t="shared" si="3"/>
        <v>5.8139534883720922E-2</v>
      </c>
      <c r="AF10" s="198">
        <v>6</v>
      </c>
      <c r="AG10" s="207">
        <v>6.6900000000000001E-2</v>
      </c>
      <c r="AH10" s="204">
        <f t="shared" si="4"/>
        <v>6.3953488372093026E-2</v>
      </c>
      <c r="AI10" s="205">
        <f t="shared" si="5"/>
        <v>0</v>
      </c>
      <c r="AJ10" s="206">
        <f t="shared" si="6"/>
        <v>0</v>
      </c>
      <c r="AK10" s="202">
        <v>6</v>
      </c>
      <c r="AL10" s="203">
        <v>9.3399999999999997E-2</v>
      </c>
      <c r="AM10" s="204">
        <f>Z13</f>
        <v>0.11627906976744184</v>
      </c>
      <c r="AN10" s="205">
        <f>AA26</f>
        <v>0</v>
      </c>
      <c r="AO10" s="206">
        <f>AA40</f>
        <v>0</v>
      </c>
    </row>
    <row r="11" spans="1:41">
      <c r="A11" s="192">
        <v>44321</v>
      </c>
      <c r="B11" s="193">
        <v>9</v>
      </c>
      <c r="C11" s="194">
        <v>1</v>
      </c>
      <c r="D11" s="184" t="str">
        <f t="shared" si="0"/>
        <v>1</v>
      </c>
      <c r="E11" s="177"/>
      <c r="F11" s="325"/>
      <c r="G11" s="168">
        <v>9</v>
      </c>
      <c r="H11" s="185">
        <f>COUNTIF($D$3:$D$209,"90")</f>
        <v>3</v>
      </c>
      <c r="I11" s="185">
        <f>COUNTIF($D$3:$D$209,"91")</f>
        <v>2</v>
      </c>
      <c r="J11" s="185">
        <f>COUNTIF($D$3:$D$209,"92")</f>
        <v>1</v>
      </c>
      <c r="K11" s="185">
        <f>COUNTIF($D$3:$D$209,"93")</f>
        <v>1</v>
      </c>
      <c r="L11" s="185">
        <f>COUNTIF($D$3:$D$209,"94")</f>
        <v>0</v>
      </c>
      <c r="M11" s="185">
        <f>COUNTIF($D$3:$D$209,"95")</f>
        <v>1</v>
      </c>
      <c r="N11" s="185">
        <f>COUNTIF($D$3:$D$209,"96")</f>
        <v>3</v>
      </c>
      <c r="O11" s="185">
        <f>COUNTIF($D$3:$D$209,"97")</f>
        <v>1</v>
      </c>
      <c r="P11" s="185">
        <f>COUNTIF($D$3:$D$209,"98")</f>
        <v>4</v>
      </c>
      <c r="Q11" s="185">
        <f>COUNTIF($D$3:$D$209,"99")</f>
        <v>0</v>
      </c>
      <c r="R11" s="186">
        <f t="shared" si="1"/>
        <v>16</v>
      </c>
      <c r="S11" s="168">
        <v>8</v>
      </c>
      <c r="T11" s="195">
        <f t="shared" si="2"/>
        <v>0</v>
      </c>
      <c r="U11" s="195">
        <f t="shared" si="2"/>
        <v>0</v>
      </c>
      <c r="V11" s="195">
        <f t="shared" si="2"/>
        <v>0</v>
      </c>
      <c r="W11" s="195">
        <f t="shared" si="2"/>
        <v>0</v>
      </c>
      <c r="X11" s="195">
        <f t="shared" si="2"/>
        <v>5.8139534883720929E-3</v>
      </c>
      <c r="Y11" s="195">
        <f t="shared" si="2"/>
        <v>5.8139534883720929E-3</v>
      </c>
      <c r="Z11" s="195">
        <f t="shared" si="2"/>
        <v>5.8139534883720929E-3</v>
      </c>
      <c r="AA11" s="195">
        <f t="shared" si="2"/>
        <v>0</v>
      </c>
      <c r="AB11" s="195">
        <f t="shared" si="2"/>
        <v>0</v>
      </c>
      <c r="AC11" s="196">
        <f t="shared" si="2"/>
        <v>0</v>
      </c>
      <c r="AD11" s="197">
        <f t="shared" si="3"/>
        <v>1.7441860465116279E-2</v>
      </c>
      <c r="AF11" s="198">
        <v>7</v>
      </c>
      <c r="AG11" s="207">
        <v>5.8000000000000003E-2</v>
      </c>
      <c r="AH11" s="204">
        <f t="shared" si="4"/>
        <v>5.8139534883720922E-2</v>
      </c>
      <c r="AI11" s="205">
        <f t="shared" si="5"/>
        <v>0</v>
      </c>
      <c r="AJ11" s="206">
        <f t="shared" si="6"/>
        <v>0</v>
      </c>
      <c r="AK11" s="202">
        <v>7</v>
      </c>
      <c r="AL11" s="203">
        <v>9.0399999999999994E-2</v>
      </c>
      <c r="AM11" s="204">
        <f>AA13</f>
        <v>4.6511627906976744E-2</v>
      </c>
      <c r="AN11" s="205">
        <f>AB26</f>
        <v>0</v>
      </c>
      <c r="AO11" s="206">
        <f>AB40</f>
        <v>0</v>
      </c>
    </row>
    <row r="12" spans="1:41" ht="15.75" thickBot="1">
      <c r="A12" s="192">
        <v>44322</v>
      </c>
      <c r="B12" s="193">
        <v>10</v>
      </c>
      <c r="C12" s="194">
        <v>0</v>
      </c>
      <c r="D12" s="184" t="str">
        <f t="shared" si="0"/>
        <v>0</v>
      </c>
      <c r="E12" s="177"/>
      <c r="F12" s="325"/>
      <c r="G12" s="208" t="s">
        <v>312</v>
      </c>
      <c r="H12" s="209">
        <f>SUM(H3:H11)</f>
        <v>21</v>
      </c>
      <c r="I12" s="209">
        <f t="shared" ref="I12:Q12" si="7">SUM(I3:I11)</f>
        <v>24</v>
      </c>
      <c r="J12" s="209">
        <f t="shared" si="7"/>
        <v>14</v>
      </c>
      <c r="K12" s="209">
        <f t="shared" si="7"/>
        <v>25</v>
      </c>
      <c r="L12" s="209">
        <f t="shared" si="7"/>
        <v>19</v>
      </c>
      <c r="M12" s="209">
        <f t="shared" si="7"/>
        <v>15</v>
      </c>
      <c r="N12" s="209">
        <f t="shared" si="7"/>
        <v>20</v>
      </c>
      <c r="O12" s="209">
        <f t="shared" si="7"/>
        <v>8</v>
      </c>
      <c r="P12" s="209">
        <f t="shared" si="7"/>
        <v>14</v>
      </c>
      <c r="Q12" s="209">
        <f t="shared" si="7"/>
        <v>12</v>
      </c>
      <c r="R12" s="210">
        <f>SUM(H12:Q12)</f>
        <v>172</v>
      </c>
      <c r="S12" s="211">
        <v>9</v>
      </c>
      <c r="T12" s="212">
        <f t="shared" si="2"/>
        <v>1.7441860465116279E-2</v>
      </c>
      <c r="U12" s="212">
        <f t="shared" si="2"/>
        <v>1.1627906976744186E-2</v>
      </c>
      <c r="V12" s="212">
        <f t="shared" si="2"/>
        <v>5.8139534883720929E-3</v>
      </c>
      <c r="W12" s="212">
        <f t="shared" si="2"/>
        <v>5.8139534883720929E-3</v>
      </c>
      <c r="X12" s="212">
        <f t="shared" si="2"/>
        <v>0</v>
      </c>
      <c r="Y12" s="212">
        <f t="shared" si="2"/>
        <v>5.8139534883720929E-3</v>
      </c>
      <c r="Z12" s="212">
        <f t="shared" si="2"/>
        <v>1.7441860465116279E-2</v>
      </c>
      <c r="AA12" s="212">
        <f t="shared" si="2"/>
        <v>5.8139534883720929E-3</v>
      </c>
      <c r="AB12" s="212">
        <f t="shared" si="2"/>
        <v>2.3255813953488372E-2</v>
      </c>
      <c r="AC12" s="213">
        <f t="shared" si="2"/>
        <v>0</v>
      </c>
      <c r="AD12" s="197">
        <f t="shared" si="3"/>
        <v>9.3023255813953487E-2</v>
      </c>
      <c r="AF12" s="198">
        <v>8</v>
      </c>
      <c r="AG12" s="207">
        <v>5.1200000000000002E-2</v>
      </c>
      <c r="AH12" s="204">
        <f t="shared" si="4"/>
        <v>1.7441860465116279E-2</v>
      </c>
      <c r="AI12" s="205">
        <f t="shared" si="5"/>
        <v>0</v>
      </c>
      <c r="AJ12" s="206">
        <f t="shared" si="6"/>
        <v>0</v>
      </c>
      <c r="AK12" s="202">
        <v>8</v>
      </c>
      <c r="AL12" s="203">
        <v>8.7599999999999997E-2</v>
      </c>
      <c r="AM12" s="204">
        <f>AB13</f>
        <v>8.1395348837209294E-2</v>
      </c>
      <c r="AN12" s="205">
        <f>AC26</f>
        <v>0</v>
      </c>
      <c r="AO12" s="206">
        <f>AC40</f>
        <v>0</v>
      </c>
    </row>
    <row r="13" spans="1:41" ht="29.25" thickBot="1">
      <c r="A13" s="192">
        <v>44323</v>
      </c>
      <c r="B13" s="193">
        <v>11</v>
      </c>
      <c r="C13" s="194">
        <v>2</v>
      </c>
      <c r="D13" s="184" t="str">
        <f t="shared" si="0"/>
        <v>2</v>
      </c>
      <c r="E13" s="177"/>
      <c r="S13" s="214" t="s">
        <v>313</v>
      </c>
      <c r="T13" s="215">
        <f>SUM(T4:T12)</f>
        <v>0.12209302325581395</v>
      </c>
      <c r="U13" s="215">
        <f t="shared" ref="U13:AC13" si="8">SUM(U4:U12)</f>
        <v>0.13953488372093023</v>
      </c>
      <c r="V13" s="215">
        <f t="shared" si="8"/>
        <v>8.1395348837209294E-2</v>
      </c>
      <c r="W13" s="215">
        <f t="shared" si="8"/>
        <v>0.14534883720930233</v>
      </c>
      <c r="X13" s="215">
        <f t="shared" si="8"/>
        <v>0.11046511627906974</v>
      </c>
      <c r="Y13" s="215">
        <f t="shared" si="8"/>
        <v>8.7209302325581384E-2</v>
      </c>
      <c r="Z13" s="215">
        <f t="shared" si="8"/>
        <v>0.11627906976744184</v>
      </c>
      <c r="AA13" s="215">
        <f t="shared" si="8"/>
        <v>4.6511627906976744E-2</v>
      </c>
      <c r="AB13" s="215">
        <f t="shared" si="8"/>
        <v>8.1395348837209294E-2</v>
      </c>
      <c r="AC13" s="215">
        <f t="shared" si="8"/>
        <v>6.9767441860465115E-2</v>
      </c>
      <c r="AD13" s="216">
        <f>SUM(AD4:AD12)</f>
        <v>1</v>
      </c>
      <c r="AF13" s="217">
        <v>9</v>
      </c>
      <c r="AG13" s="218">
        <v>4.58E-2</v>
      </c>
      <c r="AH13" s="219">
        <f t="shared" si="4"/>
        <v>9.3023255813953487E-2</v>
      </c>
      <c r="AI13" s="220">
        <f t="shared" si="5"/>
        <v>0</v>
      </c>
      <c r="AJ13" s="221">
        <f t="shared" si="6"/>
        <v>0</v>
      </c>
      <c r="AK13" s="222">
        <v>9</v>
      </c>
      <c r="AL13" s="223">
        <v>8.5000000000000006E-2</v>
      </c>
      <c r="AM13" s="224">
        <f>AC13</f>
        <v>6.9767441860465115E-2</v>
      </c>
      <c r="AN13" s="225">
        <f>AD26</f>
        <v>0</v>
      </c>
      <c r="AO13" s="226">
        <f>AD40</f>
        <v>0</v>
      </c>
    </row>
    <row r="14" spans="1:41" ht="14.25">
      <c r="A14" s="192">
        <v>44324</v>
      </c>
      <c r="B14" s="193">
        <v>12</v>
      </c>
      <c r="C14" s="194">
        <v>1</v>
      </c>
      <c r="D14" s="184" t="str">
        <f t="shared" si="0"/>
        <v>1</v>
      </c>
      <c r="E14" s="177"/>
    </row>
    <row r="15" spans="1:41" ht="15" customHeight="1">
      <c r="A15" s="192">
        <v>44325</v>
      </c>
      <c r="B15" s="193">
        <v>13</v>
      </c>
      <c r="C15" s="194">
        <v>0</v>
      </c>
      <c r="D15" s="184" t="str">
        <f t="shared" si="0"/>
        <v>0</v>
      </c>
      <c r="E15" s="17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</row>
    <row r="16" spans="1:41" ht="15" customHeight="1">
      <c r="A16" s="192">
        <v>44326</v>
      </c>
      <c r="B16" s="193">
        <v>14</v>
      </c>
      <c r="C16" s="194">
        <v>0</v>
      </c>
      <c r="D16" s="184" t="str">
        <f t="shared" si="0"/>
        <v>0</v>
      </c>
      <c r="E16" s="17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8"/>
    </row>
    <row r="17" spans="1:32" ht="15" customHeight="1">
      <c r="A17" s="192">
        <v>44327</v>
      </c>
      <c r="B17" s="193">
        <v>15</v>
      </c>
      <c r="C17" s="194">
        <v>3</v>
      </c>
      <c r="D17" s="184" t="str">
        <f t="shared" si="0"/>
        <v>3</v>
      </c>
      <c r="E17" s="17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9"/>
    </row>
    <row r="18" spans="1:32" ht="15" customHeight="1">
      <c r="A18" s="192">
        <v>44328</v>
      </c>
      <c r="B18" s="193">
        <v>16</v>
      </c>
      <c r="C18" s="194">
        <v>0</v>
      </c>
      <c r="D18" s="184" t="str">
        <f t="shared" si="0"/>
        <v>0</v>
      </c>
      <c r="E18" s="17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9"/>
    </row>
    <row r="19" spans="1:32" ht="15" customHeight="1">
      <c r="A19" s="192">
        <v>44329</v>
      </c>
      <c r="B19" s="193">
        <v>17</v>
      </c>
      <c r="C19" s="194">
        <v>0</v>
      </c>
      <c r="D19" s="184" t="str">
        <f t="shared" si="0"/>
        <v>0</v>
      </c>
      <c r="E19" s="17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9"/>
    </row>
    <row r="20" spans="1:32" ht="15" customHeight="1">
      <c r="A20" s="192">
        <v>44330</v>
      </c>
      <c r="B20" s="193">
        <v>18</v>
      </c>
      <c r="C20" s="194">
        <v>0</v>
      </c>
      <c r="D20" s="184" t="str">
        <f t="shared" si="0"/>
        <v>0</v>
      </c>
      <c r="E20" s="17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9"/>
    </row>
    <row r="21" spans="1:32" ht="15" customHeight="1">
      <c r="A21" s="192">
        <v>44331</v>
      </c>
      <c r="B21" s="193">
        <v>19</v>
      </c>
      <c r="C21" s="194">
        <v>0</v>
      </c>
      <c r="D21" s="184" t="str">
        <f t="shared" si="0"/>
        <v>0</v>
      </c>
      <c r="E21" s="17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9"/>
    </row>
    <row r="22" spans="1:32" ht="15" customHeight="1">
      <c r="A22" s="192">
        <v>44332</v>
      </c>
      <c r="B22" s="193">
        <v>20</v>
      </c>
      <c r="C22" s="194">
        <v>0</v>
      </c>
      <c r="D22" s="184" t="str">
        <f t="shared" si="0"/>
        <v>0</v>
      </c>
      <c r="E22" s="17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9"/>
    </row>
    <row r="23" spans="1:32" ht="15" customHeight="1">
      <c r="A23" s="192">
        <v>44333</v>
      </c>
      <c r="B23" s="193">
        <v>21</v>
      </c>
      <c r="C23" s="194">
        <v>2</v>
      </c>
      <c r="D23" s="184" t="str">
        <f t="shared" si="0"/>
        <v>2</v>
      </c>
      <c r="E23" s="17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9"/>
    </row>
    <row r="24" spans="1:32" ht="15" customHeight="1">
      <c r="A24" s="192">
        <v>44334</v>
      </c>
      <c r="B24" s="193">
        <v>22</v>
      </c>
      <c r="C24" s="194">
        <v>1</v>
      </c>
      <c r="D24" s="184" t="str">
        <f t="shared" si="0"/>
        <v>1</v>
      </c>
      <c r="E24" s="17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9"/>
    </row>
    <row r="25" spans="1:32" ht="15" customHeight="1">
      <c r="A25" s="192">
        <v>44335</v>
      </c>
      <c r="B25" s="193">
        <v>23</v>
      </c>
      <c r="C25" s="194">
        <v>1</v>
      </c>
      <c r="D25" s="184" t="str">
        <f t="shared" si="0"/>
        <v>1</v>
      </c>
      <c r="E25" s="17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9"/>
    </row>
    <row r="26" spans="1:32" ht="14.25" customHeight="1">
      <c r="A26" s="192">
        <v>44336</v>
      </c>
      <c r="B26" s="193">
        <v>24</v>
      </c>
      <c r="C26" s="194">
        <v>3</v>
      </c>
      <c r="D26" s="184" t="str">
        <f t="shared" si="0"/>
        <v>3</v>
      </c>
      <c r="E26" s="17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30"/>
    </row>
    <row r="27" spans="1:32" ht="14.25" customHeight="1">
      <c r="A27" s="192">
        <v>44337</v>
      </c>
      <c r="B27" s="193">
        <v>25</v>
      </c>
      <c r="C27" s="194">
        <v>0</v>
      </c>
      <c r="D27" s="184" t="str">
        <f t="shared" si="0"/>
        <v>0</v>
      </c>
      <c r="E27" s="17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</row>
    <row r="28" spans="1:32" ht="14.25" customHeight="1">
      <c r="A28" s="192">
        <v>44338</v>
      </c>
      <c r="B28" s="193">
        <v>26</v>
      </c>
      <c r="C28" s="194">
        <v>0</v>
      </c>
      <c r="D28" s="184" t="str">
        <f t="shared" si="0"/>
        <v>0</v>
      </c>
      <c r="E28" s="17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</row>
    <row r="29" spans="1:32" ht="15" customHeight="1">
      <c r="A29" s="192">
        <v>44339</v>
      </c>
      <c r="B29" s="193">
        <v>27</v>
      </c>
      <c r="C29" s="194">
        <v>0</v>
      </c>
      <c r="D29" s="184" t="str">
        <f t="shared" si="0"/>
        <v>0</v>
      </c>
      <c r="E29" s="17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</row>
    <row r="30" spans="1:32" ht="15" customHeight="1">
      <c r="A30" s="192">
        <v>44340</v>
      </c>
      <c r="B30" s="193">
        <v>28</v>
      </c>
      <c r="C30" s="194">
        <v>1</v>
      </c>
      <c r="D30" s="184" t="str">
        <f t="shared" si="0"/>
        <v>1</v>
      </c>
      <c r="E30" s="17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8"/>
    </row>
    <row r="31" spans="1:32" ht="15" customHeight="1">
      <c r="A31" s="192">
        <v>44341</v>
      </c>
      <c r="B31" s="193">
        <v>29</v>
      </c>
      <c r="C31" s="194">
        <v>1</v>
      </c>
      <c r="D31" s="184" t="str">
        <f t="shared" si="0"/>
        <v>1</v>
      </c>
      <c r="E31" s="17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9"/>
    </row>
    <row r="32" spans="1:32" ht="15" customHeight="1">
      <c r="A32" s="192">
        <v>44342</v>
      </c>
      <c r="B32" s="193">
        <v>30</v>
      </c>
      <c r="C32" s="194">
        <v>0</v>
      </c>
      <c r="D32" s="184" t="str">
        <f t="shared" si="0"/>
        <v>0</v>
      </c>
      <c r="E32" s="17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9"/>
    </row>
    <row r="33" spans="1:32" ht="15" customHeight="1">
      <c r="A33" s="192">
        <v>44343</v>
      </c>
      <c r="B33" s="193">
        <v>31</v>
      </c>
      <c r="C33" s="194">
        <v>36</v>
      </c>
      <c r="D33" s="184" t="str">
        <f t="shared" si="0"/>
        <v>36</v>
      </c>
      <c r="E33" s="17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9"/>
    </row>
    <row r="34" spans="1:32" ht="15" customHeight="1">
      <c r="A34" s="192">
        <v>44344</v>
      </c>
      <c r="B34" s="193">
        <v>32</v>
      </c>
      <c r="C34" s="194">
        <v>0</v>
      </c>
      <c r="D34" s="184" t="str">
        <f t="shared" si="0"/>
        <v>0</v>
      </c>
      <c r="E34" s="17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9"/>
    </row>
    <row r="35" spans="1:32" ht="15" customHeight="1">
      <c r="A35" s="192">
        <v>44345</v>
      </c>
      <c r="B35" s="193">
        <v>33</v>
      </c>
      <c r="C35" s="194">
        <v>0</v>
      </c>
      <c r="D35" s="184" t="str">
        <f t="shared" si="0"/>
        <v>0</v>
      </c>
      <c r="E35" s="17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9"/>
    </row>
    <row r="36" spans="1:32" ht="15" customHeight="1">
      <c r="A36" s="192">
        <v>44346</v>
      </c>
      <c r="B36" s="193">
        <v>34</v>
      </c>
      <c r="C36" s="194">
        <v>51</v>
      </c>
      <c r="D36" s="184" t="str">
        <f t="shared" si="0"/>
        <v>51</v>
      </c>
      <c r="E36" s="17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9"/>
    </row>
    <row r="37" spans="1:32" ht="15" customHeight="1">
      <c r="A37" s="192">
        <v>44347</v>
      </c>
      <c r="B37" s="193">
        <v>35</v>
      </c>
      <c r="C37" s="194">
        <v>0</v>
      </c>
      <c r="D37" s="184" t="str">
        <f t="shared" si="0"/>
        <v>0</v>
      </c>
      <c r="E37" s="17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9"/>
    </row>
    <row r="38" spans="1:32" ht="15" customHeight="1">
      <c r="A38" s="192">
        <v>44348</v>
      </c>
      <c r="B38" s="193">
        <v>36</v>
      </c>
      <c r="C38" s="194">
        <v>0</v>
      </c>
      <c r="D38" s="184" t="str">
        <f t="shared" si="0"/>
        <v>0</v>
      </c>
      <c r="E38" s="17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9"/>
    </row>
    <row r="39" spans="1:32" ht="15" customHeight="1">
      <c r="A39" s="192">
        <v>44349</v>
      </c>
      <c r="B39" s="193">
        <v>37</v>
      </c>
      <c r="C39" s="194">
        <v>33</v>
      </c>
      <c r="D39" s="184" t="str">
        <f t="shared" si="0"/>
        <v>33</v>
      </c>
      <c r="E39" s="17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9"/>
    </row>
    <row r="40" spans="1:32" ht="14.25" customHeight="1">
      <c r="A40" s="192">
        <v>44350</v>
      </c>
      <c r="B40" s="193">
        <v>38</v>
      </c>
      <c r="C40" s="194">
        <v>0</v>
      </c>
      <c r="D40" s="184" t="str">
        <f t="shared" si="0"/>
        <v>0</v>
      </c>
      <c r="E40" s="17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30"/>
    </row>
    <row r="41" spans="1:32" ht="14.25">
      <c r="A41" s="192">
        <v>44351</v>
      </c>
      <c r="B41" s="193">
        <v>39</v>
      </c>
      <c r="C41" s="194">
        <v>36</v>
      </c>
      <c r="D41" s="184" t="str">
        <f t="shared" si="0"/>
        <v>36</v>
      </c>
      <c r="E41" s="177"/>
    </row>
    <row r="42" spans="1:32" ht="14.25">
      <c r="A42" s="192">
        <v>44352</v>
      </c>
      <c r="B42" s="193">
        <v>40</v>
      </c>
      <c r="C42" s="194">
        <v>31</v>
      </c>
      <c r="D42" s="184" t="str">
        <f t="shared" si="0"/>
        <v>31</v>
      </c>
      <c r="E42" s="177"/>
    </row>
    <row r="43" spans="1:32" ht="14.25">
      <c r="A43" s="192">
        <v>44353</v>
      </c>
      <c r="B43" s="193">
        <v>41</v>
      </c>
      <c r="C43" s="194">
        <v>33</v>
      </c>
      <c r="D43" s="184" t="str">
        <f t="shared" si="0"/>
        <v>33</v>
      </c>
      <c r="E43" s="177"/>
    </row>
    <row r="44" spans="1:32" ht="14.25">
      <c r="A44" s="192">
        <v>44354</v>
      </c>
      <c r="B44" s="193">
        <v>42</v>
      </c>
      <c r="C44" s="194">
        <v>69</v>
      </c>
      <c r="D44" s="184" t="str">
        <f t="shared" si="0"/>
        <v>69</v>
      </c>
      <c r="E44" s="177"/>
    </row>
    <row r="45" spans="1:32" ht="14.25">
      <c r="A45" s="192">
        <v>44355</v>
      </c>
      <c r="B45" s="193">
        <v>43</v>
      </c>
      <c r="C45" s="194">
        <v>39</v>
      </c>
      <c r="D45" s="184" t="str">
        <f t="shared" si="0"/>
        <v>39</v>
      </c>
      <c r="E45" s="177"/>
    </row>
    <row r="46" spans="1:32" ht="14.25">
      <c r="A46" s="192">
        <v>44356</v>
      </c>
      <c r="B46" s="193">
        <v>44</v>
      </c>
      <c r="C46" s="194">
        <v>66</v>
      </c>
      <c r="D46" s="184" t="str">
        <f t="shared" si="0"/>
        <v>66</v>
      </c>
      <c r="E46" s="177"/>
    </row>
    <row r="47" spans="1:32" ht="14.25">
      <c r="A47" s="192">
        <v>44357</v>
      </c>
      <c r="B47" s="193">
        <v>45</v>
      </c>
      <c r="C47" s="194">
        <v>45</v>
      </c>
      <c r="D47" s="184" t="str">
        <f t="shared" si="0"/>
        <v>45</v>
      </c>
      <c r="E47" s="177"/>
    </row>
    <row r="48" spans="1:32" ht="14.25">
      <c r="A48" s="192">
        <v>44358</v>
      </c>
      <c r="B48" s="193">
        <v>46</v>
      </c>
      <c r="C48" s="194">
        <v>58</v>
      </c>
      <c r="D48" s="184" t="str">
        <f t="shared" si="0"/>
        <v>58</v>
      </c>
      <c r="E48" s="177"/>
    </row>
    <row r="49" spans="1:5" ht="14.25">
      <c r="A49" s="192">
        <v>44359</v>
      </c>
      <c r="B49" s="193">
        <v>47</v>
      </c>
      <c r="C49" s="194">
        <v>84</v>
      </c>
      <c r="D49" s="184" t="str">
        <f t="shared" si="0"/>
        <v>84</v>
      </c>
      <c r="E49" s="177"/>
    </row>
    <row r="50" spans="1:5" ht="14.25">
      <c r="A50" s="192">
        <v>44360</v>
      </c>
      <c r="B50" s="193">
        <v>48</v>
      </c>
      <c r="C50" s="194">
        <v>95</v>
      </c>
      <c r="D50" s="184" t="str">
        <f t="shared" si="0"/>
        <v>95</v>
      </c>
      <c r="E50" s="177"/>
    </row>
    <row r="51" spans="1:5" ht="14.25">
      <c r="A51" s="192">
        <v>44361</v>
      </c>
      <c r="B51" s="193">
        <v>49</v>
      </c>
      <c r="C51" s="194">
        <v>86</v>
      </c>
      <c r="D51" s="184" t="str">
        <f t="shared" si="0"/>
        <v>86</v>
      </c>
      <c r="E51" s="177"/>
    </row>
    <row r="52" spans="1:5" ht="14.25">
      <c r="A52" s="192">
        <v>44362</v>
      </c>
      <c r="B52" s="193">
        <v>50</v>
      </c>
      <c r="C52" s="194">
        <v>90</v>
      </c>
      <c r="D52" s="184" t="str">
        <f t="shared" si="0"/>
        <v>90</v>
      </c>
      <c r="E52" s="177"/>
    </row>
    <row r="53" spans="1:5" ht="14.25">
      <c r="A53" s="192">
        <v>44363</v>
      </c>
      <c r="B53" s="193">
        <v>51</v>
      </c>
      <c r="C53" s="194">
        <v>100</v>
      </c>
      <c r="D53" s="184" t="str">
        <f t="shared" si="0"/>
        <v>10</v>
      </c>
      <c r="E53" s="177"/>
    </row>
    <row r="54" spans="1:5" ht="14.25">
      <c r="A54" s="192">
        <v>44364</v>
      </c>
      <c r="B54" s="193">
        <v>52</v>
      </c>
      <c r="C54" s="194">
        <v>137</v>
      </c>
      <c r="D54" s="184" t="str">
        <f t="shared" si="0"/>
        <v>13</v>
      </c>
      <c r="E54" s="177"/>
    </row>
    <row r="55" spans="1:5" ht="14.25">
      <c r="A55" s="192">
        <v>44365</v>
      </c>
      <c r="B55" s="193">
        <v>53</v>
      </c>
      <c r="C55" s="194">
        <v>149</v>
      </c>
      <c r="D55" s="184" t="str">
        <f t="shared" si="0"/>
        <v>14</v>
      </c>
      <c r="E55" s="177"/>
    </row>
    <row r="56" spans="1:5" ht="14.25">
      <c r="A56" s="192">
        <v>44366</v>
      </c>
      <c r="B56" s="193">
        <v>54</v>
      </c>
      <c r="C56" s="194">
        <v>135</v>
      </c>
      <c r="D56" s="184" t="str">
        <f t="shared" si="0"/>
        <v>13</v>
      </c>
      <c r="E56" s="177"/>
    </row>
    <row r="57" spans="1:5" ht="14.25">
      <c r="A57" s="192">
        <v>44367</v>
      </c>
      <c r="B57" s="193">
        <v>55</v>
      </c>
      <c r="C57" s="194">
        <v>137</v>
      </c>
      <c r="D57" s="184" t="str">
        <f t="shared" si="0"/>
        <v>13</v>
      </c>
      <c r="E57" s="177"/>
    </row>
    <row r="58" spans="1:5" ht="14.25">
      <c r="A58" s="192">
        <v>44368</v>
      </c>
      <c r="B58" s="193">
        <v>56</v>
      </c>
      <c r="C58" s="194">
        <v>166</v>
      </c>
      <c r="D58" s="184" t="str">
        <f t="shared" si="0"/>
        <v>16</v>
      </c>
      <c r="E58" s="177"/>
    </row>
    <row r="59" spans="1:5" ht="14.25">
      <c r="A59" s="192">
        <v>44369</v>
      </c>
      <c r="B59" s="193">
        <v>57</v>
      </c>
      <c r="C59" s="194">
        <v>136</v>
      </c>
      <c r="D59" s="184" t="str">
        <f t="shared" si="0"/>
        <v>13</v>
      </c>
      <c r="E59" s="177"/>
    </row>
    <row r="60" spans="1:5" ht="14.25">
      <c r="A60" s="192">
        <v>44370</v>
      </c>
      <c r="B60" s="193">
        <v>58</v>
      </c>
      <c r="C60" s="194">
        <v>152</v>
      </c>
      <c r="D60" s="184" t="str">
        <f t="shared" si="0"/>
        <v>15</v>
      </c>
      <c r="E60" s="177"/>
    </row>
    <row r="61" spans="1:5" ht="14.25">
      <c r="A61" s="192">
        <v>44371</v>
      </c>
      <c r="B61" s="193">
        <v>59</v>
      </c>
      <c r="C61" s="194">
        <v>207</v>
      </c>
      <c r="D61" s="184" t="str">
        <f t="shared" si="0"/>
        <v>20</v>
      </c>
      <c r="E61" s="177"/>
    </row>
    <row r="62" spans="1:5" ht="14.25">
      <c r="A62" s="192">
        <v>44372</v>
      </c>
      <c r="B62" s="193">
        <v>60</v>
      </c>
      <c r="C62" s="194">
        <v>165</v>
      </c>
      <c r="D62" s="184" t="str">
        <f t="shared" si="0"/>
        <v>16</v>
      </c>
      <c r="E62" s="177"/>
    </row>
    <row r="63" spans="1:5" ht="14.25">
      <c r="A63" s="192">
        <v>44373</v>
      </c>
      <c r="B63" s="193">
        <v>61</v>
      </c>
      <c r="C63" s="194">
        <v>621</v>
      </c>
      <c r="D63" s="184" t="str">
        <f t="shared" si="0"/>
        <v>62</v>
      </c>
      <c r="E63" s="177"/>
    </row>
    <row r="64" spans="1:5" ht="14.25">
      <c r="A64" s="192">
        <v>44374</v>
      </c>
      <c r="B64" s="193">
        <v>62</v>
      </c>
      <c r="C64" s="194">
        <v>230</v>
      </c>
      <c r="D64" s="184" t="str">
        <f t="shared" si="0"/>
        <v>23</v>
      </c>
      <c r="E64" s="177"/>
    </row>
    <row r="65" spans="1:5" ht="14.25">
      <c r="A65" s="192">
        <v>44375</v>
      </c>
      <c r="B65" s="193">
        <v>63</v>
      </c>
      <c r="C65" s="194">
        <v>218</v>
      </c>
      <c r="D65" s="184" t="str">
        <f t="shared" si="0"/>
        <v>21</v>
      </c>
      <c r="E65" s="177"/>
    </row>
    <row r="66" spans="1:5" ht="14.25">
      <c r="A66" s="192">
        <v>44376</v>
      </c>
      <c r="B66" s="193">
        <v>64</v>
      </c>
      <c r="C66" s="194">
        <v>155</v>
      </c>
      <c r="D66" s="184" t="str">
        <f t="shared" si="0"/>
        <v>15</v>
      </c>
      <c r="E66" s="177"/>
    </row>
    <row r="67" spans="1:5" ht="14.25">
      <c r="A67" s="192">
        <v>44377</v>
      </c>
      <c r="B67" s="193">
        <v>65</v>
      </c>
      <c r="C67" s="194">
        <v>249</v>
      </c>
      <c r="D67" s="184" t="str">
        <f t="shared" ref="D67:D130" si="9">LEFT(C67,2)</f>
        <v>24</v>
      </c>
      <c r="E67" s="177"/>
    </row>
    <row r="68" spans="1:5" ht="14.25">
      <c r="A68" s="192">
        <v>44378</v>
      </c>
      <c r="B68" s="193">
        <v>66</v>
      </c>
      <c r="C68" s="194">
        <v>464</v>
      </c>
      <c r="D68" s="184" t="str">
        <f t="shared" si="9"/>
        <v>46</v>
      </c>
      <c r="E68" s="177"/>
    </row>
    <row r="69" spans="1:5" ht="14.25">
      <c r="A69" s="192">
        <v>44379</v>
      </c>
      <c r="B69" s="193">
        <v>67</v>
      </c>
      <c r="C69" s="194">
        <v>419</v>
      </c>
      <c r="D69" s="184" t="str">
        <f t="shared" si="9"/>
        <v>41</v>
      </c>
      <c r="E69" s="177"/>
    </row>
    <row r="70" spans="1:5" ht="14.25">
      <c r="A70" s="192">
        <v>44380</v>
      </c>
      <c r="B70" s="193">
        <v>68</v>
      </c>
      <c r="C70" s="194">
        <v>714</v>
      </c>
      <c r="D70" s="184" t="str">
        <f t="shared" si="9"/>
        <v>71</v>
      </c>
      <c r="E70" s="177"/>
    </row>
    <row r="71" spans="1:5" ht="14.25">
      <c r="A71" s="192">
        <v>44381</v>
      </c>
      <c r="B71" s="193">
        <v>69</v>
      </c>
      <c r="C71" s="194">
        <v>599</v>
      </c>
      <c r="D71" s="184" t="str">
        <f t="shared" si="9"/>
        <v>59</v>
      </c>
      <c r="E71" s="177"/>
    </row>
    <row r="72" spans="1:5" ht="14.25">
      <c r="A72" s="192">
        <v>44382</v>
      </c>
      <c r="B72" s="193">
        <v>70</v>
      </c>
      <c r="C72" s="194">
        <v>641</v>
      </c>
      <c r="D72" s="184" t="str">
        <f t="shared" si="9"/>
        <v>64</v>
      </c>
      <c r="E72" s="177"/>
    </row>
    <row r="73" spans="1:5" ht="14.25">
      <c r="A73" s="192">
        <v>44383</v>
      </c>
      <c r="B73" s="193">
        <v>71</v>
      </c>
      <c r="C73" s="194">
        <v>710</v>
      </c>
      <c r="D73" s="184" t="str">
        <f t="shared" si="9"/>
        <v>71</v>
      </c>
      <c r="E73" s="177"/>
    </row>
    <row r="74" spans="1:5" ht="14.25">
      <c r="A74" s="192">
        <v>44384</v>
      </c>
      <c r="B74" s="193">
        <v>72</v>
      </c>
      <c r="C74" s="194">
        <v>766</v>
      </c>
      <c r="D74" s="184" t="str">
        <f t="shared" si="9"/>
        <v>76</v>
      </c>
      <c r="E74" s="177"/>
    </row>
    <row r="75" spans="1:5" ht="14.25">
      <c r="A75" s="192">
        <v>44385</v>
      </c>
      <c r="B75" s="193">
        <v>73</v>
      </c>
      <c r="C75" s="194">
        <v>915</v>
      </c>
      <c r="D75" s="184" t="str">
        <f t="shared" si="9"/>
        <v>91</v>
      </c>
      <c r="E75" s="177"/>
    </row>
    <row r="76" spans="1:5" ht="14.25">
      <c r="A76" s="192">
        <v>44386</v>
      </c>
      <c r="B76" s="193">
        <v>74</v>
      </c>
      <c r="C76" s="194">
        <v>1229</v>
      </c>
      <c r="D76" s="184" t="str">
        <f t="shared" si="9"/>
        <v>12</v>
      </c>
      <c r="E76" s="177"/>
    </row>
    <row r="77" spans="1:5" ht="14.25">
      <c r="A77" s="192">
        <v>44387</v>
      </c>
      <c r="B77" s="193">
        <v>75</v>
      </c>
      <c r="C77" s="194">
        <v>1320</v>
      </c>
      <c r="D77" s="184" t="str">
        <f t="shared" si="9"/>
        <v>13</v>
      </c>
      <c r="E77" s="177"/>
    </row>
    <row r="78" spans="1:5" ht="14.25">
      <c r="A78" s="192">
        <v>44388</v>
      </c>
      <c r="B78" s="193">
        <v>76</v>
      </c>
      <c r="C78" s="194">
        <v>1397</v>
      </c>
      <c r="D78" s="184" t="str">
        <f t="shared" si="9"/>
        <v>13</v>
      </c>
      <c r="E78" s="177"/>
    </row>
    <row r="79" spans="1:5" ht="14.25">
      <c r="A79" s="192">
        <v>44389</v>
      </c>
      <c r="B79" s="193">
        <v>77</v>
      </c>
      <c r="C79" s="194">
        <v>1764</v>
      </c>
      <c r="D79" s="184" t="str">
        <f t="shared" si="9"/>
        <v>17</v>
      </c>
      <c r="E79" s="177"/>
    </row>
    <row r="80" spans="1:5" ht="14.25">
      <c r="A80" s="192">
        <v>44390</v>
      </c>
      <c r="B80" s="193">
        <v>78</v>
      </c>
      <c r="C80" s="194">
        <v>1802</v>
      </c>
      <c r="D80" s="184" t="str">
        <f t="shared" si="9"/>
        <v>18</v>
      </c>
      <c r="E80" s="177"/>
    </row>
    <row r="81" spans="1:5" ht="14.25">
      <c r="A81" s="192">
        <v>44391</v>
      </c>
      <c r="B81" s="193">
        <v>79</v>
      </c>
      <c r="C81" s="194">
        <v>2229</v>
      </c>
      <c r="D81" s="184" t="str">
        <f t="shared" si="9"/>
        <v>22</v>
      </c>
      <c r="E81" s="177"/>
    </row>
    <row r="82" spans="1:5" ht="14.25">
      <c r="A82" s="192">
        <v>44392</v>
      </c>
      <c r="B82" s="193">
        <v>80</v>
      </c>
      <c r="C82" s="194">
        <v>2691</v>
      </c>
      <c r="D82" s="184" t="str">
        <f t="shared" si="9"/>
        <v>26</v>
      </c>
      <c r="E82" s="177"/>
    </row>
    <row r="83" spans="1:5" ht="14.25">
      <c r="A83" s="192">
        <v>44393</v>
      </c>
      <c r="B83" s="193">
        <v>81</v>
      </c>
      <c r="C83" s="194">
        <v>2436</v>
      </c>
      <c r="D83" s="184" t="str">
        <f t="shared" si="9"/>
        <v>24</v>
      </c>
      <c r="E83" s="177"/>
    </row>
    <row r="84" spans="1:5" ht="14.25">
      <c r="A84" s="192">
        <v>44394</v>
      </c>
      <c r="B84" s="193">
        <v>82</v>
      </c>
      <c r="C84" s="194">
        <v>3420</v>
      </c>
      <c r="D84" s="184" t="str">
        <f t="shared" si="9"/>
        <v>34</v>
      </c>
      <c r="E84" s="177"/>
    </row>
    <row r="85" spans="1:5" ht="14.25">
      <c r="A85" s="192">
        <v>44395</v>
      </c>
      <c r="B85" s="193">
        <v>83</v>
      </c>
      <c r="C85" s="194">
        <v>4083</v>
      </c>
      <c r="D85" s="184" t="str">
        <f t="shared" si="9"/>
        <v>40</v>
      </c>
      <c r="E85" s="177"/>
    </row>
    <row r="86" spans="1:5" ht="14.25">
      <c r="A86" s="192">
        <v>44396</v>
      </c>
      <c r="B86" s="193">
        <v>84</v>
      </c>
      <c r="C86" s="194">
        <v>3074</v>
      </c>
      <c r="D86" s="184" t="str">
        <f t="shared" si="9"/>
        <v>30</v>
      </c>
      <c r="E86" s="177"/>
    </row>
    <row r="87" spans="1:5" ht="14.25">
      <c r="A87" s="192">
        <v>44397</v>
      </c>
      <c r="B87" s="193">
        <v>85</v>
      </c>
      <c r="C87" s="194">
        <v>3322</v>
      </c>
      <c r="D87" s="184" t="str">
        <f t="shared" si="9"/>
        <v>33</v>
      </c>
      <c r="E87" s="177"/>
    </row>
    <row r="88" spans="1:5" ht="14.25">
      <c r="A88" s="192">
        <v>44398</v>
      </c>
      <c r="B88" s="193">
        <v>86</v>
      </c>
      <c r="C88" s="194">
        <v>3558</v>
      </c>
      <c r="D88" s="184" t="str">
        <f t="shared" si="9"/>
        <v>35</v>
      </c>
      <c r="E88" s="177"/>
    </row>
    <row r="89" spans="1:5" ht="14.25">
      <c r="A89" s="192">
        <v>44399</v>
      </c>
      <c r="B89" s="193">
        <v>87</v>
      </c>
      <c r="C89" s="194">
        <v>4473</v>
      </c>
      <c r="D89" s="184" t="str">
        <f t="shared" si="9"/>
        <v>44</v>
      </c>
      <c r="E89" s="177"/>
    </row>
    <row r="90" spans="1:5" ht="14.25">
      <c r="A90" s="192">
        <v>44400</v>
      </c>
      <c r="B90" s="193">
        <v>88</v>
      </c>
      <c r="C90" s="194">
        <v>4913</v>
      </c>
      <c r="D90" s="184" t="str">
        <f t="shared" si="9"/>
        <v>49</v>
      </c>
      <c r="E90" s="177"/>
    </row>
    <row r="91" spans="1:5" ht="14.25">
      <c r="A91" s="192">
        <v>44401</v>
      </c>
      <c r="B91" s="193">
        <v>89</v>
      </c>
      <c r="C91" s="194">
        <v>5546</v>
      </c>
      <c r="D91" s="184" t="str">
        <f t="shared" si="9"/>
        <v>55</v>
      </c>
      <c r="E91" s="177"/>
    </row>
    <row r="92" spans="1:5" ht="14.25">
      <c r="A92" s="192">
        <v>44402</v>
      </c>
      <c r="B92" s="193">
        <v>90</v>
      </c>
      <c r="C92" s="194">
        <v>4555</v>
      </c>
      <c r="D92" s="184" t="str">
        <f t="shared" si="9"/>
        <v>45</v>
      </c>
      <c r="E92" s="177"/>
    </row>
    <row r="93" spans="1:5" ht="14.25">
      <c r="A93" s="192">
        <v>44403</v>
      </c>
      <c r="B93" s="193">
        <v>91</v>
      </c>
      <c r="C93" s="194">
        <v>6097</v>
      </c>
      <c r="D93" s="184" t="str">
        <f t="shared" si="9"/>
        <v>60</v>
      </c>
      <c r="E93" s="177"/>
    </row>
    <row r="94" spans="1:5" ht="14.25">
      <c r="A94" s="192">
        <v>44404</v>
      </c>
      <c r="B94" s="193">
        <v>92</v>
      </c>
      <c r="C94" s="194">
        <v>6622</v>
      </c>
      <c r="D94" s="184" t="str">
        <f t="shared" si="9"/>
        <v>66</v>
      </c>
      <c r="E94" s="177"/>
    </row>
    <row r="95" spans="1:5" ht="14.25">
      <c r="A95" s="192">
        <v>44405</v>
      </c>
      <c r="B95" s="193">
        <v>93</v>
      </c>
      <c r="C95" s="194">
        <v>4045</v>
      </c>
      <c r="D95" s="184" t="str">
        <f t="shared" si="9"/>
        <v>40</v>
      </c>
      <c r="E95" s="177"/>
    </row>
    <row r="96" spans="1:5" ht="14.25">
      <c r="A96" s="192">
        <v>44406</v>
      </c>
      <c r="B96" s="193">
        <v>94</v>
      </c>
      <c r="C96" s="194">
        <v>2877</v>
      </c>
      <c r="D96" s="184" t="str">
        <f t="shared" si="9"/>
        <v>28</v>
      </c>
      <c r="E96" s="177"/>
    </row>
    <row r="97" spans="1:5" ht="14.25">
      <c r="A97" s="192">
        <v>44407</v>
      </c>
      <c r="B97" s="193">
        <v>95</v>
      </c>
      <c r="C97" s="194">
        <v>1541</v>
      </c>
      <c r="D97" s="184" t="str">
        <f t="shared" si="9"/>
        <v>15</v>
      </c>
      <c r="E97" s="177"/>
    </row>
    <row r="98" spans="1:5" ht="14.25">
      <c r="A98" s="192">
        <v>44408</v>
      </c>
      <c r="B98" s="193">
        <v>96</v>
      </c>
      <c r="C98" s="194">
        <v>4180</v>
      </c>
      <c r="D98" s="184" t="str">
        <f t="shared" si="9"/>
        <v>41</v>
      </c>
      <c r="E98" s="177"/>
    </row>
    <row r="99" spans="1:5" ht="14.25">
      <c r="A99" s="192">
        <v>44409</v>
      </c>
      <c r="B99" s="193">
        <v>97</v>
      </c>
      <c r="C99" s="194">
        <v>2025</v>
      </c>
      <c r="D99" s="184" t="str">
        <f t="shared" si="9"/>
        <v>20</v>
      </c>
      <c r="E99" s="177"/>
    </row>
    <row r="100" spans="1:5" ht="14.25">
      <c r="A100" s="192">
        <v>44410</v>
      </c>
      <c r="B100" s="193">
        <v>98</v>
      </c>
      <c r="C100" s="194">
        <v>2267</v>
      </c>
      <c r="D100" s="184" t="str">
        <f t="shared" si="9"/>
        <v>22</v>
      </c>
      <c r="E100" s="177"/>
    </row>
    <row r="101" spans="1:5" ht="14.25">
      <c r="A101" s="192">
        <v>44411</v>
      </c>
      <c r="B101" s="193">
        <v>99</v>
      </c>
      <c r="C101" s="194">
        <v>4171</v>
      </c>
      <c r="D101" s="184" t="str">
        <f t="shared" si="9"/>
        <v>41</v>
      </c>
      <c r="E101" s="177"/>
    </row>
    <row r="102" spans="1:5" ht="14.25">
      <c r="A102" s="192">
        <v>44412</v>
      </c>
      <c r="B102" s="193">
        <v>100</v>
      </c>
      <c r="C102" s="194">
        <v>936</v>
      </c>
      <c r="D102" s="184" t="str">
        <f t="shared" si="9"/>
        <v>93</v>
      </c>
      <c r="E102" s="177"/>
    </row>
    <row r="103" spans="1:5" ht="14.25">
      <c r="A103" s="192">
        <v>44413</v>
      </c>
      <c r="B103" s="193">
        <v>101</v>
      </c>
      <c r="C103" s="194">
        <v>3886</v>
      </c>
      <c r="D103" s="184" t="str">
        <f t="shared" si="9"/>
        <v>38</v>
      </c>
      <c r="E103" s="177"/>
    </row>
    <row r="104" spans="1:5" ht="14.25">
      <c r="A104" s="192">
        <v>44414</v>
      </c>
      <c r="B104" s="193">
        <v>102</v>
      </c>
      <c r="C104" s="194">
        <v>1497</v>
      </c>
      <c r="D104" s="184" t="str">
        <f t="shared" si="9"/>
        <v>14</v>
      </c>
      <c r="E104" s="177"/>
    </row>
    <row r="105" spans="1:5" ht="14.25">
      <c r="A105" s="192">
        <v>44415</v>
      </c>
      <c r="B105" s="193">
        <v>103</v>
      </c>
      <c r="C105" s="194">
        <v>5827</v>
      </c>
      <c r="D105" s="184" t="str">
        <f t="shared" si="9"/>
        <v>58</v>
      </c>
      <c r="E105" s="177"/>
    </row>
    <row r="106" spans="1:5" ht="14.25">
      <c r="A106" s="192">
        <v>44416</v>
      </c>
      <c r="B106" s="193">
        <v>104</v>
      </c>
      <c r="C106" s="194">
        <v>2002</v>
      </c>
      <c r="D106" s="184" t="str">
        <f t="shared" si="9"/>
        <v>20</v>
      </c>
      <c r="E106" s="177"/>
    </row>
    <row r="107" spans="1:5" ht="14.25">
      <c r="A107" s="192">
        <v>44417</v>
      </c>
      <c r="B107" s="193">
        <v>105</v>
      </c>
      <c r="C107" s="194">
        <v>4132</v>
      </c>
      <c r="D107" s="184" t="str">
        <f t="shared" si="9"/>
        <v>41</v>
      </c>
      <c r="E107" s="177"/>
    </row>
    <row r="108" spans="1:5" ht="14.25">
      <c r="A108" s="192">
        <v>44418</v>
      </c>
      <c r="B108" s="193">
        <v>106</v>
      </c>
      <c r="C108" s="194">
        <v>1466</v>
      </c>
      <c r="D108" s="184" t="str">
        <f t="shared" si="9"/>
        <v>14</v>
      </c>
      <c r="E108" s="177"/>
    </row>
    <row r="109" spans="1:5" ht="14.25">
      <c r="A109" s="192">
        <v>44419</v>
      </c>
      <c r="B109" s="193">
        <v>107</v>
      </c>
      <c r="C109" s="194">
        <v>3609</v>
      </c>
      <c r="D109" s="184" t="str">
        <f t="shared" si="9"/>
        <v>36</v>
      </c>
      <c r="E109" s="177"/>
    </row>
    <row r="110" spans="1:5" ht="14.25">
      <c r="A110" s="192">
        <v>44420</v>
      </c>
      <c r="B110" s="193">
        <v>108</v>
      </c>
      <c r="C110" s="194">
        <v>1521</v>
      </c>
      <c r="D110" s="184" t="str">
        <f t="shared" si="9"/>
        <v>15</v>
      </c>
      <c r="E110" s="177"/>
    </row>
    <row r="111" spans="1:5" ht="14.25">
      <c r="A111" s="192">
        <v>44421</v>
      </c>
      <c r="B111" s="193">
        <v>109</v>
      </c>
      <c r="C111" s="194">
        <v>3399</v>
      </c>
      <c r="D111" s="184" t="str">
        <f t="shared" si="9"/>
        <v>33</v>
      </c>
      <c r="E111" s="177"/>
    </row>
    <row r="112" spans="1:5" ht="14.25">
      <c r="A112" s="192">
        <v>44422</v>
      </c>
      <c r="B112" s="193">
        <v>110</v>
      </c>
      <c r="C112" s="194">
        <v>4915</v>
      </c>
      <c r="D112" s="184" t="str">
        <f t="shared" si="9"/>
        <v>49</v>
      </c>
      <c r="E112" s="177"/>
    </row>
    <row r="113" spans="1:5" ht="14.25">
      <c r="A113" s="192">
        <v>44423</v>
      </c>
      <c r="B113" s="193">
        <v>111</v>
      </c>
      <c r="C113" s="194">
        <v>3975</v>
      </c>
      <c r="D113" s="184" t="str">
        <f t="shared" si="9"/>
        <v>39</v>
      </c>
      <c r="E113" s="177"/>
    </row>
    <row r="114" spans="1:5" ht="14.25">
      <c r="A114" s="192">
        <v>44424</v>
      </c>
      <c r="B114" s="193">
        <v>112</v>
      </c>
      <c r="C114" s="194">
        <v>2855</v>
      </c>
      <c r="D114" s="184" t="str">
        <f t="shared" si="9"/>
        <v>28</v>
      </c>
      <c r="E114" s="177"/>
    </row>
    <row r="115" spans="1:5" ht="14.25">
      <c r="A115" s="192">
        <v>44425</v>
      </c>
      <c r="B115" s="193">
        <v>113</v>
      </c>
      <c r="C115" s="194">
        <v>3740</v>
      </c>
      <c r="D115" s="184" t="str">
        <f t="shared" si="9"/>
        <v>37</v>
      </c>
      <c r="E115" s="177"/>
    </row>
    <row r="116" spans="1:5" ht="14.25">
      <c r="A116" s="192">
        <v>44426</v>
      </c>
      <c r="B116" s="193">
        <v>114</v>
      </c>
      <c r="C116" s="194">
        <v>3873</v>
      </c>
      <c r="D116" s="184" t="str">
        <f t="shared" si="9"/>
        <v>38</v>
      </c>
      <c r="E116" s="177"/>
    </row>
    <row r="117" spans="1:5" ht="14.25">
      <c r="A117" s="192">
        <v>44427</v>
      </c>
      <c r="B117" s="193">
        <v>115</v>
      </c>
      <c r="C117" s="194">
        <v>4307</v>
      </c>
      <c r="D117" s="184" t="str">
        <f t="shared" si="9"/>
        <v>43</v>
      </c>
      <c r="E117" s="177"/>
    </row>
    <row r="118" spans="1:5" ht="14.25">
      <c r="A118" s="192">
        <v>44428</v>
      </c>
      <c r="B118" s="193">
        <v>116</v>
      </c>
      <c r="C118" s="194">
        <v>3504</v>
      </c>
      <c r="D118" s="184" t="str">
        <f t="shared" si="9"/>
        <v>35</v>
      </c>
      <c r="E118" s="177"/>
    </row>
    <row r="119" spans="1:5" ht="14.25">
      <c r="A119" s="192">
        <v>44429</v>
      </c>
      <c r="B119" s="193">
        <v>117</v>
      </c>
      <c r="C119" s="194">
        <v>4084</v>
      </c>
      <c r="D119" s="184" t="str">
        <f t="shared" si="9"/>
        <v>40</v>
      </c>
      <c r="E119" s="177"/>
    </row>
    <row r="120" spans="1:5" ht="14.25">
      <c r="A120" s="192">
        <v>44430</v>
      </c>
      <c r="B120" s="193">
        <v>118</v>
      </c>
      <c r="C120" s="194">
        <v>4193</v>
      </c>
      <c r="D120" s="184" t="str">
        <f t="shared" si="9"/>
        <v>41</v>
      </c>
      <c r="E120" s="177"/>
    </row>
    <row r="121" spans="1:5" ht="14.25">
      <c r="A121" s="192">
        <v>44431</v>
      </c>
      <c r="B121" s="193">
        <v>119</v>
      </c>
      <c r="C121" s="194">
        <v>4251</v>
      </c>
      <c r="D121" s="184" t="str">
        <f t="shared" si="9"/>
        <v>42</v>
      </c>
      <c r="E121" s="177"/>
    </row>
    <row r="122" spans="1:5" ht="14.25">
      <c r="A122" s="192">
        <v>44432</v>
      </c>
      <c r="B122" s="193">
        <v>120</v>
      </c>
      <c r="C122" s="194">
        <v>4634</v>
      </c>
      <c r="D122" s="184" t="str">
        <f t="shared" si="9"/>
        <v>46</v>
      </c>
      <c r="E122" s="177"/>
    </row>
    <row r="123" spans="1:5" ht="14.25">
      <c r="A123" s="192">
        <v>44433</v>
      </c>
      <c r="B123" s="193">
        <v>121</v>
      </c>
      <c r="C123" s="194">
        <v>5294</v>
      </c>
      <c r="D123" s="184" t="str">
        <f t="shared" si="9"/>
        <v>52</v>
      </c>
      <c r="E123" s="177"/>
    </row>
    <row r="124" spans="1:5" ht="14.25">
      <c r="A124" s="192">
        <v>44434</v>
      </c>
      <c r="B124" s="193">
        <v>122</v>
      </c>
      <c r="C124" s="194">
        <v>3934</v>
      </c>
      <c r="D124" s="184" t="str">
        <f t="shared" si="9"/>
        <v>39</v>
      </c>
      <c r="E124" s="177"/>
    </row>
    <row r="125" spans="1:5" ht="14.25">
      <c r="A125" s="192">
        <v>44435</v>
      </c>
      <c r="B125" s="193">
        <v>123</v>
      </c>
      <c r="C125" s="194">
        <v>5383</v>
      </c>
      <c r="D125" s="184" t="str">
        <f t="shared" si="9"/>
        <v>53</v>
      </c>
      <c r="E125" s="177"/>
    </row>
    <row r="126" spans="1:5" ht="14.25">
      <c r="A126" s="192">
        <v>44436</v>
      </c>
      <c r="B126" s="193">
        <v>124</v>
      </c>
      <c r="C126" s="194">
        <v>5481</v>
      </c>
      <c r="D126" s="184" t="str">
        <f t="shared" si="9"/>
        <v>54</v>
      </c>
      <c r="E126" s="177"/>
    </row>
    <row r="127" spans="1:5" ht="14.25">
      <c r="A127" s="192">
        <v>44437</v>
      </c>
      <c r="B127" s="193">
        <v>125</v>
      </c>
      <c r="C127" s="194">
        <v>4957</v>
      </c>
      <c r="D127" s="184" t="str">
        <f t="shared" si="9"/>
        <v>49</v>
      </c>
      <c r="E127" s="177"/>
    </row>
    <row r="128" spans="1:5" ht="14.25">
      <c r="A128" s="192">
        <v>44438</v>
      </c>
      <c r="B128" s="193">
        <v>126</v>
      </c>
      <c r="C128" s="194">
        <v>5889</v>
      </c>
      <c r="D128" s="184" t="str">
        <f t="shared" si="9"/>
        <v>58</v>
      </c>
      <c r="E128" s="177"/>
    </row>
    <row r="129" spans="1:5" ht="14.25">
      <c r="A129" s="192">
        <v>44439</v>
      </c>
      <c r="B129" s="193">
        <v>127</v>
      </c>
      <c r="C129" s="194">
        <v>5444</v>
      </c>
      <c r="D129" s="184" t="str">
        <f t="shared" si="9"/>
        <v>54</v>
      </c>
      <c r="E129" s="177"/>
    </row>
    <row r="130" spans="1:5" ht="14.25">
      <c r="A130" s="192">
        <v>44440</v>
      </c>
      <c r="B130" s="193">
        <v>128</v>
      </c>
      <c r="C130" s="194">
        <v>5368</v>
      </c>
      <c r="D130" s="184" t="str">
        <f t="shared" si="9"/>
        <v>53</v>
      </c>
      <c r="E130" s="177"/>
    </row>
    <row r="131" spans="1:5" ht="14.25">
      <c r="A131" s="192">
        <v>44441</v>
      </c>
      <c r="B131" s="193">
        <v>129</v>
      </c>
      <c r="C131" s="194">
        <v>5964</v>
      </c>
      <c r="D131" s="184" t="str">
        <f t="shared" ref="D131:D194" si="10">LEFT(C131,2)</f>
        <v>59</v>
      </c>
      <c r="E131" s="177"/>
    </row>
    <row r="132" spans="1:5" ht="14.25">
      <c r="A132" s="192">
        <v>44442</v>
      </c>
      <c r="B132" s="193">
        <v>130</v>
      </c>
      <c r="C132" s="194">
        <v>8510</v>
      </c>
      <c r="D132" s="184" t="str">
        <f t="shared" si="10"/>
        <v>85</v>
      </c>
      <c r="E132" s="177"/>
    </row>
    <row r="133" spans="1:5" ht="14.25">
      <c r="A133" s="192">
        <v>44443</v>
      </c>
      <c r="B133" s="193">
        <v>131</v>
      </c>
      <c r="C133" s="194">
        <v>4104</v>
      </c>
      <c r="D133" s="184" t="str">
        <f t="shared" si="10"/>
        <v>41</v>
      </c>
      <c r="E133" s="177"/>
    </row>
    <row r="134" spans="1:5" ht="14.25">
      <c r="A134" s="192">
        <v>44444</v>
      </c>
      <c r="B134" s="193">
        <v>132</v>
      </c>
      <c r="C134" s="194">
        <v>6226</v>
      </c>
      <c r="D134" s="184" t="str">
        <f t="shared" si="10"/>
        <v>62</v>
      </c>
      <c r="E134" s="177"/>
    </row>
    <row r="135" spans="1:5" ht="14.25">
      <c r="A135" s="192">
        <v>44445</v>
      </c>
      <c r="B135" s="193">
        <v>133</v>
      </c>
      <c r="C135" s="194">
        <v>7122</v>
      </c>
      <c r="D135" s="184" t="str">
        <f t="shared" si="10"/>
        <v>71</v>
      </c>
      <c r="E135" s="177"/>
    </row>
    <row r="136" spans="1:5" ht="14.25">
      <c r="A136" s="192">
        <v>44446</v>
      </c>
      <c r="B136" s="193">
        <v>134</v>
      </c>
      <c r="C136" s="194">
        <v>7310</v>
      </c>
      <c r="D136" s="184" t="str">
        <f t="shared" si="10"/>
        <v>73</v>
      </c>
      <c r="E136" s="177"/>
    </row>
    <row r="137" spans="1:5" ht="14.25">
      <c r="A137" s="192">
        <v>44447</v>
      </c>
      <c r="B137" s="193">
        <v>135</v>
      </c>
      <c r="C137" s="194">
        <v>7308</v>
      </c>
      <c r="D137" s="184" t="str">
        <f t="shared" si="10"/>
        <v>73</v>
      </c>
      <c r="E137" s="177"/>
    </row>
    <row r="138" spans="1:5" ht="14.25">
      <c r="A138" s="192">
        <v>44448</v>
      </c>
      <c r="B138" s="193">
        <v>136</v>
      </c>
      <c r="C138" s="194">
        <v>5549</v>
      </c>
      <c r="D138" s="184" t="str">
        <f t="shared" si="10"/>
        <v>55</v>
      </c>
      <c r="E138" s="177"/>
    </row>
    <row r="139" spans="1:5" ht="14.25">
      <c r="A139" s="192">
        <v>44449</v>
      </c>
      <c r="B139" s="193">
        <v>137</v>
      </c>
      <c r="C139" s="194">
        <v>7539</v>
      </c>
      <c r="D139" s="184" t="str">
        <f t="shared" si="10"/>
        <v>75</v>
      </c>
      <c r="E139" s="177"/>
    </row>
    <row r="140" spans="1:5" ht="14.25">
      <c r="A140" s="192">
        <v>44450</v>
      </c>
      <c r="B140" s="193">
        <v>138</v>
      </c>
      <c r="C140" s="194">
        <v>5629</v>
      </c>
      <c r="D140" s="184" t="str">
        <f t="shared" si="10"/>
        <v>56</v>
      </c>
      <c r="E140" s="177"/>
    </row>
    <row r="141" spans="1:5" ht="14.25">
      <c r="A141" s="192">
        <v>44451</v>
      </c>
      <c r="B141" s="193">
        <v>139</v>
      </c>
      <c r="C141" s="194">
        <v>6158</v>
      </c>
      <c r="D141" s="184" t="str">
        <f t="shared" si="10"/>
        <v>61</v>
      </c>
      <c r="E141" s="177"/>
    </row>
    <row r="142" spans="1:5" ht="14.25">
      <c r="A142" s="192">
        <v>44452</v>
      </c>
      <c r="B142" s="193">
        <v>140</v>
      </c>
      <c r="C142" s="194">
        <v>5446</v>
      </c>
      <c r="D142" s="184" t="str">
        <f t="shared" si="10"/>
        <v>54</v>
      </c>
      <c r="E142" s="177"/>
    </row>
    <row r="143" spans="1:5" ht="14.25">
      <c r="A143" s="192">
        <v>44453</v>
      </c>
      <c r="B143" s="193">
        <v>141</v>
      </c>
      <c r="C143" s="194">
        <v>6315</v>
      </c>
      <c r="D143" s="184" t="str">
        <f t="shared" si="10"/>
        <v>63</v>
      </c>
      <c r="E143" s="177"/>
    </row>
    <row r="144" spans="1:5" ht="14.25">
      <c r="A144" s="192">
        <v>44454</v>
      </c>
      <c r="B144" s="193">
        <v>142</v>
      </c>
      <c r="C144" s="194">
        <v>5301</v>
      </c>
      <c r="D144" s="184" t="str">
        <f t="shared" si="10"/>
        <v>53</v>
      </c>
      <c r="E144" s="177"/>
    </row>
    <row r="145" spans="1:5" ht="14.25">
      <c r="A145" s="192">
        <v>44455</v>
      </c>
      <c r="B145" s="193">
        <v>143</v>
      </c>
      <c r="C145" s="194">
        <v>5735</v>
      </c>
      <c r="D145" s="184" t="str">
        <f t="shared" si="10"/>
        <v>57</v>
      </c>
      <c r="E145" s="177"/>
    </row>
    <row r="146" spans="1:5" ht="14.25">
      <c r="A146" s="192">
        <v>44456</v>
      </c>
      <c r="B146" s="193">
        <v>144</v>
      </c>
      <c r="C146" s="194">
        <v>5972</v>
      </c>
      <c r="D146" s="184" t="str">
        <f t="shared" si="10"/>
        <v>59</v>
      </c>
      <c r="E146" s="177"/>
    </row>
    <row r="147" spans="1:5" ht="14.25">
      <c r="A147" s="192">
        <v>44457</v>
      </c>
      <c r="B147" s="193">
        <v>145</v>
      </c>
      <c r="C147" s="194">
        <v>4273</v>
      </c>
      <c r="D147" s="184" t="str">
        <f t="shared" si="10"/>
        <v>42</v>
      </c>
      <c r="E147" s="177"/>
    </row>
    <row r="148" spans="1:5" ht="14.25">
      <c r="A148" s="192">
        <v>44458</v>
      </c>
      <c r="B148" s="193">
        <v>146</v>
      </c>
      <c r="C148" s="194">
        <v>5496</v>
      </c>
      <c r="D148" s="184" t="str">
        <f t="shared" si="10"/>
        <v>54</v>
      </c>
      <c r="E148" s="177"/>
    </row>
    <row r="149" spans="1:5" ht="14.25">
      <c r="A149" s="192">
        <v>44459</v>
      </c>
      <c r="B149" s="193">
        <v>147</v>
      </c>
      <c r="C149" s="194">
        <v>5172</v>
      </c>
      <c r="D149" s="184" t="str">
        <f t="shared" si="10"/>
        <v>51</v>
      </c>
      <c r="E149" s="177"/>
    </row>
    <row r="150" spans="1:5" ht="14.25">
      <c r="A150" s="192">
        <v>44460</v>
      </c>
      <c r="B150" s="193">
        <v>148</v>
      </c>
      <c r="C150" s="194">
        <v>6521</v>
      </c>
      <c r="D150" s="184" t="str">
        <f t="shared" si="10"/>
        <v>65</v>
      </c>
      <c r="E150" s="177"/>
    </row>
    <row r="151" spans="1:5" ht="14.25">
      <c r="A151" s="192">
        <v>44461</v>
      </c>
      <c r="B151" s="193">
        <v>149</v>
      </c>
      <c r="C151" s="194">
        <v>5435</v>
      </c>
      <c r="D151" s="184" t="str">
        <f t="shared" si="10"/>
        <v>54</v>
      </c>
      <c r="E151" s="177"/>
    </row>
    <row r="152" spans="1:5" ht="14.25">
      <c r="A152" s="192">
        <v>44462</v>
      </c>
      <c r="B152" s="193">
        <v>150</v>
      </c>
      <c r="C152" s="194">
        <v>5052</v>
      </c>
      <c r="D152" s="184" t="str">
        <f t="shared" si="10"/>
        <v>50</v>
      </c>
      <c r="E152" s="177"/>
    </row>
    <row r="153" spans="1:5" ht="14.25">
      <c r="A153" s="192">
        <v>44463</v>
      </c>
      <c r="B153" s="193">
        <v>151</v>
      </c>
      <c r="C153" s="194">
        <v>3786</v>
      </c>
      <c r="D153" s="184" t="str">
        <f t="shared" si="10"/>
        <v>37</v>
      </c>
      <c r="E153" s="177"/>
    </row>
    <row r="154" spans="1:5" ht="14.25">
      <c r="A154" s="192">
        <v>44464</v>
      </c>
      <c r="B154" s="193">
        <v>152</v>
      </c>
      <c r="C154" s="194">
        <v>4050</v>
      </c>
      <c r="D154" s="184" t="str">
        <f t="shared" si="10"/>
        <v>40</v>
      </c>
      <c r="E154" s="177"/>
    </row>
    <row r="155" spans="1:5" ht="14.25">
      <c r="A155" s="192">
        <v>44465</v>
      </c>
      <c r="B155" s="193">
        <v>153</v>
      </c>
      <c r="C155" s="194">
        <v>5121</v>
      </c>
      <c r="D155" s="184" t="str">
        <f t="shared" si="10"/>
        <v>51</v>
      </c>
      <c r="E155" s="177"/>
    </row>
    <row r="156" spans="1:5" ht="14.25">
      <c r="A156" s="192">
        <v>44466</v>
      </c>
      <c r="B156" s="193">
        <v>154</v>
      </c>
      <c r="C156" s="231">
        <v>4134</v>
      </c>
      <c r="D156" s="184" t="str">
        <f t="shared" si="10"/>
        <v>41</v>
      </c>
      <c r="E156" s="177"/>
    </row>
    <row r="157" spans="1:5" ht="14.25">
      <c r="A157" s="192">
        <v>44467</v>
      </c>
      <c r="B157" s="193">
        <v>155</v>
      </c>
      <c r="C157" s="232">
        <v>3749</v>
      </c>
      <c r="D157" s="184" t="str">
        <f t="shared" si="10"/>
        <v>37</v>
      </c>
      <c r="E157" s="177"/>
    </row>
    <row r="158" spans="1:5" ht="14.25">
      <c r="A158" s="192">
        <v>44468</v>
      </c>
      <c r="B158" s="193">
        <v>156</v>
      </c>
      <c r="C158" s="233">
        <v>4699</v>
      </c>
      <c r="D158" s="184" t="str">
        <f t="shared" si="10"/>
        <v>46</v>
      </c>
      <c r="E158" s="177"/>
    </row>
    <row r="159" spans="1:5" ht="14.25">
      <c r="A159" s="192">
        <v>44469</v>
      </c>
      <c r="B159" s="193">
        <v>157</v>
      </c>
      <c r="C159" s="233">
        <v>4372</v>
      </c>
      <c r="D159" s="184" t="str">
        <f t="shared" si="10"/>
        <v>43</v>
      </c>
      <c r="E159" s="177"/>
    </row>
    <row r="160" spans="1:5" ht="14.25">
      <c r="A160" s="192">
        <v>44470</v>
      </c>
      <c r="B160" s="193">
        <v>158</v>
      </c>
      <c r="C160" s="233">
        <v>3670</v>
      </c>
      <c r="D160" s="184" t="str">
        <f t="shared" si="10"/>
        <v>36</v>
      </c>
      <c r="E160" s="177"/>
    </row>
    <row r="161" spans="1:5" ht="14.25">
      <c r="A161" s="192">
        <v>44471</v>
      </c>
      <c r="B161" s="193">
        <v>159</v>
      </c>
      <c r="C161" s="233">
        <v>2723</v>
      </c>
      <c r="D161" s="184" t="str">
        <f t="shared" si="10"/>
        <v>27</v>
      </c>
      <c r="E161" s="177"/>
    </row>
    <row r="162" spans="1:5" ht="14.25">
      <c r="A162" s="192">
        <v>44472</v>
      </c>
      <c r="B162" s="193">
        <v>160</v>
      </c>
      <c r="C162" s="233">
        <v>2461</v>
      </c>
      <c r="D162" s="184" t="str">
        <f t="shared" si="10"/>
        <v>24</v>
      </c>
      <c r="E162" s="177"/>
    </row>
    <row r="163" spans="1:5" ht="14.25">
      <c r="A163" s="192">
        <v>44473</v>
      </c>
      <c r="B163" s="193">
        <v>161</v>
      </c>
      <c r="C163" s="233">
        <v>2490</v>
      </c>
      <c r="D163" s="184" t="str">
        <f t="shared" si="10"/>
        <v>24</v>
      </c>
      <c r="E163" s="177"/>
    </row>
    <row r="164" spans="1:5" ht="14.25">
      <c r="A164" s="192">
        <v>44474</v>
      </c>
      <c r="B164" s="193">
        <v>162</v>
      </c>
      <c r="C164" s="233">
        <v>1491</v>
      </c>
      <c r="D164" s="184" t="str">
        <f t="shared" si="10"/>
        <v>14</v>
      </c>
      <c r="E164" s="177"/>
    </row>
    <row r="165" spans="1:5" ht="14.25">
      <c r="A165" s="192">
        <v>44475</v>
      </c>
      <c r="B165" s="193">
        <v>163</v>
      </c>
      <c r="C165" s="233">
        <v>1960</v>
      </c>
      <c r="D165" s="184" t="str">
        <f t="shared" si="10"/>
        <v>19</v>
      </c>
      <c r="E165" s="177"/>
    </row>
    <row r="166" spans="1:5" ht="14.25">
      <c r="A166" s="192">
        <v>44476</v>
      </c>
      <c r="B166" s="193">
        <v>164</v>
      </c>
      <c r="C166" s="233">
        <v>1730</v>
      </c>
      <c r="D166" s="184" t="str">
        <f t="shared" si="10"/>
        <v>17</v>
      </c>
      <c r="E166" s="177"/>
    </row>
    <row r="167" spans="1:5" ht="14.25">
      <c r="A167" s="192">
        <v>44477</v>
      </c>
      <c r="B167" s="193">
        <v>165</v>
      </c>
      <c r="C167" s="234">
        <v>2215</v>
      </c>
      <c r="D167" s="184" t="str">
        <f t="shared" si="10"/>
        <v>22</v>
      </c>
      <c r="E167" s="177"/>
    </row>
    <row r="168" spans="1:5" ht="14.25">
      <c r="A168" s="192">
        <v>44478</v>
      </c>
      <c r="B168" s="193">
        <v>166</v>
      </c>
      <c r="C168" s="233">
        <v>1662</v>
      </c>
      <c r="D168" s="184" t="str">
        <f t="shared" si="10"/>
        <v>16</v>
      </c>
      <c r="E168" s="177"/>
    </row>
    <row r="169" spans="1:5" ht="14.25">
      <c r="A169" s="192">
        <v>44479</v>
      </c>
      <c r="B169" s="193">
        <v>167</v>
      </c>
      <c r="C169" s="235">
        <v>1067</v>
      </c>
      <c r="D169" s="184" t="str">
        <f t="shared" si="10"/>
        <v>10</v>
      </c>
      <c r="E169" s="177"/>
    </row>
    <row r="170" spans="1:5" ht="14.25">
      <c r="A170" s="192">
        <v>44480</v>
      </c>
      <c r="B170" s="193">
        <v>168</v>
      </c>
      <c r="C170" s="231">
        <v>1527</v>
      </c>
      <c r="D170" s="184" t="str">
        <f t="shared" si="10"/>
        <v>15</v>
      </c>
      <c r="E170" s="177"/>
    </row>
    <row r="171" spans="1:5" ht="14.25">
      <c r="A171" s="192">
        <v>44481</v>
      </c>
      <c r="B171" s="193">
        <v>169</v>
      </c>
      <c r="C171" s="234">
        <v>1018</v>
      </c>
      <c r="D171" s="184" t="str">
        <f t="shared" si="10"/>
        <v>10</v>
      </c>
      <c r="E171" s="177"/>
    </row>
    <row r="172" spans="1:5" ht="14.25">
      <c r="A172" s="192">
        <v>44482</v>
      </c>
      <c r="B172" s="193">
        <v>170</v>
      </c>
      <c r="C172" s="231">
        <v>1162</v>
      </c>
      <c r="D172" s="184" t="str">
        <f t="shared" si="10"/>
        <v>11</v>
      </c>
      <c r="E172" s="177"/>
    </row>
    <row r="173" spans="1:5" ht="14.25">
      <c r="A173" s="192">
        <v>44483</v>
      </c>
      <c r="B173" s="193">
        <v>171</v>
      </c>
      <c r="C173" s="234">
        <v>909</v>
      </c>
      <c r="D173" s="184" t="str">
        <f t="shared" si="10"/>
        <v>90</v>
      </c>
      <c r="E173" s="177"/>
    </row>
    <row r="174" spans="1:5" ht="14.25">
      <c r="A174" s="192">
        <v>44484</v>
      </c>
      <c r="B174" s="193">
        <v>172</v>
      </c>
      <c r="C174" s="231">
        <v>1131</v>
      </c>
      <c r="D174" s="184" t="str">
        <f t="shared" si="10"/>
        <v>11</v>
      </c>
      <c r="E174" s="177"/>
    </row>
    <row r="175" spans="1:5" ht="14.25">
      <c r="A175" s="192">
        <v>44485</v>
      </c>
      <c r="B175" s="193">
        <v>173</v>
      </c>
      <c r="C175" s="234">
        <v>790</v>
      </c>
      <c r="D175" s="184" t="str">
        <f t="shared" si="10"/>
        <v>79</v>
      </c>
      <c r="E175" s="177"/>
    </row>
    <row r="176" spans="1:5" ht="14.25">
      <c r="A176" s="192">
        <v>44486</v>
      </c>
      <c r="B176" s="193">
        <v>174</v>
      </c>
      <c r="C176" s="231">
        <v>1059</v>
      </c>
      <c r="D176" s="184" t="str">
        <f t="shared" si="10"/>
        <v>10</v>
      </c>
      <c r="E176" s="177"/>
    </row>
    <row r="177" spans="1:5" ht="14.25">
      <c r="A177" s="192">
        <v>44487</v>
      </c>
      <c r="B177" s="193">
        <v>175</v>
      </c>
      <c r="C177" s="232">
        <v>968</v>
      </c>
      <c r="D177" s="184" t="str">
        <f t="shared" si="10"/>
        <v>96</v>
      </c>
      <c r="E177" s="177"/>
    </row>
    <row r="178" spans="1:5" ht="14.25">
      <c r="A178" s="192">
        <v>44488</v>
      </c>
      <c r="B178" s="193">
        <v>176</v>
      </c>
      <c r="C178" s="233">
        <v>907</v>
      </c>
      <c r="D178" s="184" t="str">
        <f t="shared" si="10"/>
        <v>90</v>
      </c>
      <c r="E178" s="177"/>
    </row>
    <row r="179" spans="1:5" ht="14.25">
      <c r="A179" s="192">
        <v>44489</v>
      </c>
      <c r="B179" s="193">
        <v>177</v>
      </c>
      <c r="C179" s="233">
        <v>1347</v>
      </c>
      <c r="D179" s="184" t="str">
        <f t="shared" si="10"/>
        <v>13</v>
      </c>
      <c r="E179" s="177"/>
    </row>
    <row r="180" spans="1:5" ht="14.25">
      <c r="A180" s="192">
        <v>44490</v>
      </c>
      <c r="B180" s="193">
        <v>178</v>
      </c>
      <c r="C180" s="233">
        <v>1255</v>
      </c>
      <c r="D180" s="184" t="str">
        <f t="shared" si="10"/>
        <v>12</v>
      </c>
      <c r="E180" s="177"/>
    </row>
    <row r="181" spans="1:5" ht="14.25">
      <c r="A181" s="192">
        <v>44491</v>
      </c>
      <c r="B181" s="193">
        <v>179</v>
      </c>
      <c r="C181" s="233">
        <v>1205</v>
      </c>
      <c r="D181" s="184" t="str">
        <f t="shared" si="10"/>
        <v>12</v>
      </c>
      <c r="E181" s="177"/>
    </row>
    <row r="182" spans="1:5" ht="14.25">
      <c r="A182" s="192">
        <v>44492</v>
      </c>
      <c r="B182" s="193">
        <v>180</v>
      </c>
      <c r="C182" s="233">
        <v>749</v>
      </c>
      <c r="D182" s="184" t="str">
        <f t="shared" si="10"/>
        <v>74</v>
      </c>
      <c r="E182" s="177"/>
    </row>
    <row r="183" spans="1:5" ht="14.25">
      <c r="A183" s="192">
        <v>44493</v>
      </c>
      <c r="B183" s="193">
        <v>181</v>
      </c>
      <c r="C183" s="233">
        <v>966</v>
      </c>
      <c r="D183" s="184" t="str">
        <f t="shared" si="10"/>
        <v>96</v>
      </c>
      <c r="E183" s="177"/>
    </row>
    <row r="184" spans="1:5" ht="14.25">
      <c r="A184" s="192">
        <v>44494</v>
      </c>
      <c r="B184" s="193">
        <v>182</v>
      </c>
      <c r="C184" s="233">
        <v>969</v>
      </c>
      <c r="D184" s="184" t="str">
        <f t="shared" si="10"/>
        <v>96</v>
      </c>
      <c r="E184" s="177"/>
    </row>
    <row r="185" spans="1:5" ht="14.25">
      <c r="A185" s="192">
        <v>44495</v>
      </c>
      <c r="B185" s="193">
        <v>183</v>
      </c>
      <c r="C185" s="233">
        <v>783</v>
      </c>
      <c r="D185" s="184" t="str">
        <f t="shared" si="10"/>
        <v>78</v>
      </c>
      <c r="E185" s="177"/>
    </row>
    <row r="186" spans="1:5" ht="14.25">
      <c r="A186" s="192">
        <v>44496</v>
      </c>
      <c r="B186" s="193">
        <v>184</v>
      </c>
      <c r="C186" s="233">
        <v>1140</v>
      </c>
      <c r="D186" s="184" t="str">
        <f t="shared" si="10"/>
        <v>11</v>
      </c>
      <c r="E186" s="177"/>
    </row>
    <row r="187" spans="1:5" ht="14.25">
      <c r="A187" s="192">
        <v>44497</v>
      </c>
      <c r="B187" s="193">
        <v>185</v>
      </c>
      <c r="C187" s="233">
        <v>1069</v>
      </c>
      <c r="D187" s="184" t="str">
        <f t="shared" si="10"/>
        <v>10</v>
      </c>
      <c r="E187" s="177"/>
    </row>
    <row r="188" spans="1:5" ht="14.25">
      <c r="A188" s="192">
        <v>44498</v>
      </c>
      <c r="B188" s="193">
        <v>186</v>
      </c>
      <c r="C188" s="233">
        <v>977</v>
      </c>
      <c r="D188" s="184" t="str">
        <f t="shared" si="10"/>
        <v>97</v>
      </c>
      <c r="E188" s="177"/>
    </row>
    <row r="189" spans="1:5" ht="14.25">
      <c r="A189" s="192">
        <v>44499</v>
      </c>
      <c r="B189" s="193">
        <v>187</v>
      </c>
      <c r="C189" s="233">
        <v>1042</v>
      </c>
      <c r="D189" s="184" t="str">
        <f t="shared" si="10"/>
        <v>10</v>
      </c>
      <c r="E189" s="177"/>
    </row>
    <row r="190" spans="1:5" ht="14.25">
      <c r="A190" s="192">
        <v>44500</v>
      </c>
      <c r="B190" s="193">
        <v>188</v>
      </c>
      <c r="C190" s="233">
        <v>1041</v>
      </c>
      <c r="D190" s="184" t="str">
        <f t="shared" si="10"/>
        <v>10</v>
      </c>
      <c r="E190" s="177"/>
    </row>
    <row r="191" spans="1:5" ht="14.25">
      <c r="A191" s="192">
        <v>44501</v>
      </c>
      <c r="B191" s="193">
        <v>189</v>
      </c>
      <c r="C191" s="233">
        <v>927</v>
      </c>
      <c r="D191" s="184" t="str">
        <f t="shared" si="10"/>
        <v>92</v>
      </c>
      <c r="E191" s="177"/>
    </row>
    <row r="192" spans="1:5" ht="14.25">
      <c r="A192" s="192">
        <v>44502</v>
      </c>
      <c r="B192" s="193">
        <v>190</v>
      </c>
      <c r="C192" s="233">
        <v>682</v>
      </c>
      <c r="D192" s="184" t="str">
        <f t="shared" si="10"/>
        <v>68</v>
      </c>
      <c r="E192" s="177"/>
    </row>
    <row r="193" spans="1:5" ht="14.25">
      <c r="A193" s="192">
        <v>44503</v>
      </c>
      <c r="B193" s="193">
        <v>191</v>
      </c>
      <c r="C193" s="233">
        <v>985</v>
      </c>
      <c r="D193" s="184" t="str">
        <f t="shared" si="10"/>
        <v>98</v>
      </c>
      <c r="E193" s="177"/>
    </row>
    <row r="194" spans="1:5" ht="14.25">
      <c r="A194" s="192">
        <v>44504</v>
      </c>
      <c r="B194" s="193">
        <v>192</v>
      </c>
      <c r="C194" s="233">
        <v>981</v>
      </c>
      <c r="D194" s="184" t="str">
        <f t="shared" si="10"/>
        <v>98</v>
      </c>
      <c r="E194" s="177"/>
    </row>
    <row r="195" spans="1:5" ht="14.25">
      <c r="A195" s="192">
        <v>44505</v>
      </c>
      <c r="B195" s="193">
        <v>193</v>
      </c>
      <c r="C195" s="233">
        <v>912</v>
      </c>
      <c r="D195" s="184" t="str">
        <f t="shared" ref="D195:D216" si="11">LEFT(C195,2)</f>
        <v>91</v>
      </c>
      <c r="E195" s="177"/>
    </row>
    <row r="196" spans="1:5" ht="14.25">
      <c r="A196" s="192">
        <v>44506</v>
      </c>
      <c r="B196" s="193">
        <v>194</v>
      </c>
      <c r="C196" s="233">
        <v>986</v>
      </c>
      <c r="D196" s="184" t="str">
        <f t="shared" si="11"/>
        <v>98</v>
      </c>
      <c r="E196" s="177"/>
    </row>
    <row r="197" spans="1:5" ht="14.25">
      <c r="A197" s="192">
        <v>44507</v>
      </c>
      <c r="B197" s="193">
        <v>195</v>
      </c>
      <c r="C197" s="233">
        <v>1009</v>
      </c>
      <c r="D197" s="184" t="str">
        <f t="shared" si="11"/>
        <v>10</v>
      </c>
      <c r="E197" s="177"/>
    </row>
    <row r="198" spans="1:5" ht="14.25">
      <c r="A198" s="192">
        <v>44508</v>
      </c>
      <c r="B198" s="193">
        <v>196</v>
      </c>
      <c r="C198" s="233">
        <v>1316</v>
      </c>
      <c r="D198" s="184" t="str">
        <f t="shared" si="11"/>
        <v>13</v>
      </c>
      <c r="E198" s="177"/>
    </row>
    <row r="199" spans="1:5" ht="14.25">
      <c r="A199" s="192">
        <v>44509</v>
      </c>
      <c r="B199" s="193">
        <v>197</v>
      </c>
      <c r="C199" s="233">
        <v>1276</v>
      </c>
      <c r="D199" s="184" t="str">
        <f t="shared" si="11"/>
        <v>12</v>
      </c>
      <c r="E199" s="177"/>
    </row>
    <row r="200" spans="1:5" ht="14.25">
      <c r="A200" s="192">
        <v>44510</v>
      </c>
      <c r="B200" s="193">
        <v>198</v>
      </c>
      <c r="C200" s="233">
        <v>1414</v>
      </c>
      <c r="D200" s="184" t="str">
        <f t="shared" si="11"/>
        <v>14</v>
      </c>
      <c r="E200" s="177"/>
    </row>
    <row r="201" spans="1:5" ht="14.25">
      <c r="A201" s="192">
        <v>44511</v>
      </c>
      <c r="B201" s="193">
        <v>199</v>
      </c>
      <c r="C201" s="233">
        <v>1185</v>
      </c>
      <c r="D201" s="184" t="str">
        <f t="shared" si="11"/>
        <v>11</v>
      </c>
      <c r="E201" s="177"/>
    </row>
    <row r="202" spans="1:5" ht="14.25">
      <c r="A202" s="192">
        <v>44512</v>
      </c>
      <c r="B202" s="193">
        <v>200</v>
      </c>
      <c r="C202" s="233">
        <v>1388</v>
      </c>
      <c r="D202" s="184" t="str">
        <f t="shared" si="11"/>
        <v>13</v>
      </c>
      <c r="E202" s="177"/>
    </row>
    <row r="203" spans="1:5" ht="14.25">
      <c r="A203" s="192">
        <v>44513</v>
      </c>
      <c r="B203" s="193">
        <v>201</v>
      </c>
      <c r="C203" s="233">
        <v>1240</v>
      </c>
      <c r="D203" s="184" t="str">
        <f t="shared" si="11"/>
        <v>12</v>
      </c>
      <c r="E203" s="177"/>
    </row>
    <row r="204" spans="1:5" ht="14.25">
      <c r="A204" s="192">
        <v>44514</v>
      </c>
      <c r="B204" s="193">
        <v>202</v>
      </c>
      <c r="C204" s="233">
        <v>985</v>
      </c>
      <c r="D204" s="184" t="str">
        <f t="shared" si="11"/>
        <v>98</v>
      </c>
      <c r="E204" s="177"/>
    </row>
    <row r="205" spans="1:5" ht="14.25">
      <c r="A205" s="192">
        <v>44515</v>
      </c>
      <c r="B205" s="193">
        <v>203</v>
      </c>
      <c r="C205" s="233">
        <v>1165</v>
      </c>
      <c r="D205" s="184" t="str">
        <f t="shared" si="11"/>
        <v>11</v>
      </c>
      <c r="E205" s="177"/>
    </row>
    <row r="206" spans="1:5" ht="14.25">
      <c r="A206" s="192">
        <v>44516</v>
      </c>
      <c r="B206" s="193">
        <v>204</v>
      </c>
      <c r="C206" s="233">
        <v>1183</v>
      </c>
      <c r="D206" s="184" t="str">
        <f t="shared" si="11"/>
        <v>11</v>
      </c>
      <c r="E206" s="177"/>
    </row>
    <row r="207" spans="1:5" ht="14.25">
      <c r="A207" s="192">
        <v>44517</v>
      </c>
      <c r="B207" s="193">
        <v>205</v>
      </c>
      <c r="C207" s="233">
        <v>1337</v>
      </c>
      <c r="D207" s="184" t="str">
        <f t="shared" si="11"/>
        <v>13</v>
      </c>
      <c r="E207" s="177"/>
    </row>
    <row r="208" spans="1:5" ht="14.25">
      <c r="A208" s="192">
        <v>44518</v>
      </c>
      <c r="B208" s="193">
        <v>206</v>
      </c>
      <c r="C208" s="233">
        <v>1609</v>
      </c>
      <c r="D208" s="184" t="str">
        <f t="shared" si="11"/>
        <v>16</v>
      </c>
      <c r="E208" s="177"/>
    </row>
    <row r="209" spans="1:5" ht="14.25">
      <c r="A209" s="192">
        <v>44519</v>
      </c>
      <c r="B209" s="193">
        <v>207</v>
      </c>
      <c r="C209" s="233">
        <v>1339</v>
      </c>
      <c r="D209" s="184" t="str">
        <f t="shared" si="11"/>
        <v>13</v>
      </c>
      <c r="E209" s="177"/>
    </row>
    <row r="210" spans="1:5" ht="14.25">
      <c r="A210" s="192">
        <v>44520</v>
      </c>
      <c r="B210" s="193">
        <v>208</v>
      </c>
      <c r="C210" s="194"/>
      <c r="D210" s="184" t="str">
        <f t="shared" si="11"/>
        <v/>
      </c>
      <c r="E210" s="177"/>
    </row>
    <row r="211" spans="1:5" ht="14.25">
      <c r="A211" s="192">
        <v>44521</v>
      </c>
      <c r="B211" s="193">
        <v>209</v>
      </c>
      <c r="C211" s="194"/>
      <c r="D211" s="184" t="str">
        <f t="shared" si="11"/>
        <v/>
      </c>
      <c r="E211" s="177"/>
    </row>
    <row r="212" spans="1:5" ht="14.25">
      <c r="A212" s="192">
        <v>44522</v>
      </c>
      <c r="B212" s="193">
        <v>210</v>
      </c>
      <c r="C212" s="194"/>
      <c r="D212" s="184" t="str">
        <f t="shared" si="11"/>
        <v/>
      </c>
      <c r="E212" s="177"/>
    </row>
    <row r="213" spans="1:5" ht="14.25">
      <c r="A213" s="192">
        <v>44523</v>
      </c>
      <c r="B213" s="193">
        <v>211</v>
      </c>
      <c r="C213" s="194"/>
      <c r="D213" s="184" t="str">
        <f t="shared" si="11"/>
        <v/>
      </c>
      <c r="E213" s="177"/>
    </row>
    <row r="214" spans="1:5" ht="14.25">
      <c r="A214" s="192">
        <v>44524</v>
      </c>
      <c r="B214" s="193">
        <v>212</v>
      </c>
      <c r="C214" s="194"/>
      <c r="D214" s="184" t="str">
        <f t="shared" si="11"/>
        <v/>
      </c>
      <c r="E214" s="177"/>
    </row>
    <row r="215" spans="1:5" ht="14.25">
      <c r="A215" s="192">
        <v>44525</v>
      </c>
      <c r="B215" s="193">
        <v>213</v>
      </c>
      <c r="C215" s="194"/>
      <c r="D215" s="184" t="str">
        <f t="shared" si="11"/>
        <v/>
      </c>
      <c r="E215" s="177"/>
    </row>
    <row r="216" spans="1:5" ht="14.25">
      <c r="A216" s="192">
        <v>44526</v>
      </c>
      <c r="B216" s="193">
        <v>214</v>
      </c>
      <c r="C216" s="194"/>
      <c r="D216" s="184" t="str">
        <f t="shared" si="11"/>
        <v/>
      </c>
      <c r="E216" s="177"/>
    </row>
    <row r="217" spans="1:5">
      <c r="A217" s="236"/>
      <c r="B217" s="237"/>
      <c r="C217" s="238"/>
    </row>
    <row r="218" spans="1:5">
      <c r="A218" s="236"/>
      <c r="B218" s="237"/>
      <c r="C218" s="238"/>
    </row>
    <row r="219" spans="1:5">
      <c r="A219" s="236"/>
      <c r="B219" s="237"/>
      <c r="C219" s="238"/>
    </row>
    <row r="220" spans="1:5">
      <c r="A220" s="236"/>
      <c r="B220" s="237"/>
      <c r="C220" s="238"/>
    </row>
    <row r="221" spans="1:5">
      <c r="A221" s="236"/>
      <c r="B221" s="237"/>
      <c r="C221" s="238"/>
    </row>
    <row r="222" spans="1:5">
      <c r="A222" s="236"/>
      <c r="B222" s="237"/>
      <c r="C222" s="238"/>
    </row>
    <row r="223" spans="1:5">
      <c r="A223" s="236"/>
      <c r="B223" s="237"/>
      <c r="C223" s="238"/>
    </row>
    <row r="224" spans="1:5">
      <c r="A224" s="236"/>
      <c r="B224" s="237"/>
      <c r="C224" s="238"/>
    </row>
    <row r="225" spans="1:3">
      <c r="A225" s="236"/>
      <c r="B225" s="237"/>
      <c r="C225" s="238"/>
    </row>
    <row r="226" spans="1:3">
      <c r="A226" s="236"/>
      <c r="B226" s="237"/>
      <c r="C226" s="238"/>
    </row>
    <row r="227" spans="1:3">
      <c r="A227" s="236"/>
      <c r="B227" s="237"/>
      <c r="C227" s="238"/>
    </row>
    <row r="228" spans="1:3">
      <c r="A228" s="236"/>
      <c r="B228" s="237"/>
      <c r="C228" s="238"/>
    </row>
    <row r="229" spans="1:3">
      <c r="A229" s="236"/>
      <c r="B229" s="237"/>
      <c r="C229" s="238"/>
    </row>
    <row r="230" spans="1:3">
      <c r="A230" s="236"/>
      <c r="B230" s="237"/>
      <c r="C230" s="238"/>
    </row>
    <row r="231" spans="1:3">
      <c r="A231" s="236"/>
      <c r="B231" s="237"/>
      <c r="C231" s="238"/>
    </row>
    <row r="232" spans="1:3">
      <c r="A232" s="236"/>
      <c r="B232" s="237"/>
      <c r="C232" s="238"/>
    </row>
    <row r="233" spans="1:3">
      <c r="A233" s="236"/>
      <c r="B233" s="237"/>
      <c r="C233" s="238"/>
    </row>
    <row r="234" spans="1:3">
      <c r="A234" s="236"/>
      <c r="B234" s="237"/>
      <c r="C234" s="238"/>
    </row>
    <row r="235" spans="1:3">
      <c r="A235" s="236"/>
      <c r="B235" s="237"/>
      <c r="C235" s="238"/>
    </row>
    <row r="236" spans="1:3">
      <c r="A236" s="236"/>
      <c r="B236" s="237"/>
      <c r="C236" s="238"/>
    </row>
    <row r="237" spans="1:3">
      <c r="A237" s="236"/>
      <c r="B237" s="237"/>
      <c r="C237" s="238"/>
    </row>
    <row r="238" spans="1:3">
      <c r="A238" s="236"/>
      <c r="B238" s="237"/>
      <c r="C238" s="238"/>
    </row>
    <row r="239" spans="1:3">
      <c r="A239" s="236"/>
      <c r="B239" s="237"/>
      <c r="C239" s="238"/>
    </row>
    <row r="240" spans="1:3">
      <c r="A240" s="236"/>
      <c r="B240" s="237"/>
      <c r="C240" s="238"/>
    </row>
    <row r="241" spans="1:3">
      <c r="A241" s="236"/>
      <c r="B241" s="237"/>
      <c r="C241" s="238"/>
    </row>
    <row r="242" spans="1:3">
      <c r="A242" s="236"/>
      <c r="B242" s="237"/>
      <c r="C242" s="238"/>
    </row>
    <row r="243" spans="1:3">
      <c r="A243" s="236"/>
      <c r="B243" s="237"/>
      <c r="C243" s="238"/>
    </row>
    <row r="244" spans="1:3">
      <c r="A244" s="236"/>
      <c r="B244" s="237"/>
      <c r="C244" s="238"/>
    </row>
    <row r="245" spans="1:3">
      <c r="A245" s="236"/>
      <c r="B245" s="237"/>
      <c r="C245" s="238"/>
    </row>
    <row r="246" spans="1:3">
      <c r="A246" s="236"/>
      <c r="B246" s="237"/>
      <c r="C246" s="238"/>
    </row>
    <row r="247" spans="1:3">
      <c r="A247" s="236"/>
      <c r="B247" s="237"/>
      <c r="C247" s="238"/>
    </row>
    <row r="248" spans="1:3">
      <c r="A248" s="236"/>
      <c r="B248" s="237"/>
      <c r="C248" s="238"/>
    </row>
    <row r="249" spans="1:3">
      <c r="A249" s="236"/>
      <c r="B249" s="237"/>
      <c r="C249" s="238"/>
    </row>
    <row r="250" spans="1:3">
      <c r="A250" s="236"/>
      <c r="B250" s="237"/>
      <c r="C250" s="238"/>
    </row>
    <row r="251" spans="1:3">
      <c r="A251" s="236"/>
      <c r="B251" s="237"/>
      <c r="C251" s="238"/>
    </row>
    <row r="252" spans="1:3">
      <c r="A252" s="236"/>
      <c r="B252" s="237"/>
      <c r="C252" s="238"/>
    </row>
    <row r="253" spans="1:3">
      <c r="A253" s="236"/>
      <c r="B253" s="237"/>
      <c r="C253" s="238"/>
    </row>
    <row r="254" spans="1:3">
      <c r="A254" s="236"/>
      <c r="B254" s="237"/>
      <c r="C254" s="238"/>
    </row>
    <row r="255" spans="1:3">
      <c r="A255" s="236"/>
      <c r="B255" s="237"/>
      <c r="C255" s="238"/>
    </row>
    <row r="256" spans="1:3">
      <c r="A256" s="236"/>
      <c r="B256" s="237"/>
      <c r="C256" s="238"/>
    </row>
    <row r="257" spans="1:3">
      <c r="A257" s="236"/>
      <c r="B257" s="237"/>
      <c r="C257" s="238"/>
    </row>
    <row r="258" spans="1:3">
      <c r="A258" s="236"/>
      <c r="B258" s="237"/>
      <c r="C258" s="238"/>
    </row>
    <row r="259" spans="1:3">
      <c r="A259" s="236"/>
      <c r="B259" s="237"/>
      <c r="C259" s="238"/>
    </row>
    <row r="260" spans="1:3">
      <c r="A260" s="236"/>
      <c r="B260" s="237"/>
      <c r="C260" s="238"/>
    </row>
    <row r="261" spans="1:3">
      <c r="A261" s="236"/>
      <c r="B261" s="237"/>
      <c r="C261" s="238"/>
    </row>
    <row r="262" spans="1:3">
      <c r="A262" s="236"/>
      <c r="B262" s="237"/>
      <c r="C262" s="238"/>
    </row>
    <row r="263" spans="1:3">
      <c r="A263" s="236"/>
      <c r="B263" s="237"/>
      <c r="C263" s="238"/>
    </row>
    <row r="264" spans="1:3">
      <c r="A264" s="236"/>
      <c r="B264" s="237"/>
      <c r="C264" s="238"/>
    </row>
    <row r="265" spans="1:3">
      <c r="A265" s="236"/>
      <c r="B265" s="237"/>
      <c r="C265" s="238"/>
    </row>
    <row r="266" spans="1:3">
      <c r="A266" s="236"/>
      <c r="B266" s="237"/>
      <c r="C266" s="238"/>
    </row>
    <row r="267" spans="1:3">
      <c r="A267" s="236"/>
      <c r="B267" s="237"/>
      <c r="C267" s="238"/>
    </row>
    <row r="268" spans="1:3">
      <c r="A268" s="236"/>
      <c r="B268" s="237"/>
      <c r="C268" s="238"/>
    </row>
    <row r="269" spans="1:3">
      <c r="A269" s="236"/>
      <c r="B269" s="237"/>
      <c r="C269" s="238"/>
    </row>
    <row r="270" spans="1:3">
      <c r="A270" s="236"/>
      <c r="B270" s="237"/>
      <c r="C270" s="238"/>
    </row>
    <row r="271" spans="1:3">
      <c r="A271" s="236"/>
      <c r="B271" s="237"/>
      <c r="C271" s="238"/>
    </row>
    <row r="272" spans="1:3">
      <c r="A272" s="236"/>
      <c r="B272" s="237"/>
      <c r="C272" s="238"/>
    </row>
    <row r="273" spans="1:3">
      <c r="A273" s="236"/>
      <c r="B273" s="237"/>
      <c r="C273" s="238"/>
    </row>
    <row r="274" spans="1:3">
      <c r="A274" s="236"/>
      <c r="B274" s="237"/>
      <c r="C274" s="238"/>
    </row>
    <row r="275" spans="1:3">
      <c r="A275" s="236"/>
      <c r="B275" s="237"/>
      <c r="C275" s="238"/>
    </row>
    <row r="276" spans="1:3">
      <c r="A276" s="236"/>
      <c r="B276" s="237"/>
      <c r="C276" s="238"/>
    </row>
    <row r="277" spans="1:3">
      <c r="A277" s="236"/>
      <c r="B277" s="237"/>
      <c r="C277" s="238"/>
    </row>
    <row r="278" spans="1:3">
      <c r="A278" s="236"/>
      <c r="B278" s="237"/>
      <c r="C278" s="238"/>
    </row>
    <row r="279" spans="1:3">
      <c r="A279" s="236"/>
      <c r="B279" s="237"/>
      <c r="C279" s="238"/>
    </row>
    <row r="280" spans="1:3">
      <c r="A280" s="236"/>
      <c r="B280" s="237"/>
      <c r="C280" s="238"/>
    </row>
    <row r="281" spans="1:3">
      <c r="A281" s="236"/>
      <c r="B281" s="237"/>
      <c r="C281" s="238"/>
    </row>
    <row r="282" spans="1:3">
      <c r="A282" s="236"/>
      <c r="B282" s="237"/>
      <c r="C282" s="238"/>
    </row>
    <row r="283" spans="1:3">
      <c r="A283" s="236"/>
      <c r="B283" s="237"/>
      <c r="C283" s="238"/>
    </row>
    <row r="284" spans="1:3">
      <c r="A284" s="236"/>
      <c r="B284" s="237"/>
      <c r="C284" s="238"/>
    </row>
    <row r="285" spans="1:3">
      <c r="A285" s="236"/>
      <c r="B285" s="237"/>
      <c r="C285" s="238"/>
    </row>
    <row r="286" spans="1:3">
      <c r="A286" s="236"/>
      <c r="B286" s="237"/>
      <c r="C286" s="238"/>
    </row>
    <row r="287" spans="1:3">
      <c r="A287" s="236"/>
      <c r="B287" s="237"/>
      <c r="C287" s="238"/>
    </row>
    <row r="288" spans="1:3">
      <c r="A288" s="236"/>
      <c r="B288" s="237"/>
      <c r="C288" s="238"/>
    </row>
    <row r="289" spans="1:3">
      <c r="A289" s="236"/>
      <c r="B289" s="237"/>
      <c r="C289" s="238"/>
    </row>
    <row r="290" spans="1:3">
      <c r="A290" s="236"/>
      <c r="B290" s="237"/>
      <c r="C290" s="238"/>
    </row>
    <row r="291" spans="1:3">
      <c r="A291" s="236"/>
      <c r="B291" s="237"/>
      <c r="C291" s="238"/>
    </row>
    <row r="292" spans="1:3">
      <c r="A292" s="236"/>
      <c r="B292" s="237"/>
      <c r="C292" s="238"/>
    </row>
    <row r="293" spans="1:3">
      <c r="A293" s="236"/>
      <c r="B293" s="237"/>
      <c r="C293" s="238"/>
    </row>
    <row r="294" spans="1:3">
      <c r="A294" s="236"/>
      <c r="B294" s="237"/>
      <c r="C294" s="238"/>
    </row>
    <row r="295" spans="1:3">
      <c r="A295" s="236"/>
      <c r="B295" s="237"/>
      <c r="C295" s="238"/>
    </row>
    <row r="296" spans="1:3">
      <c r="A296" s="236"/>
      <c r="B296" s="237"/>
      <c r="C296" s="238"/>
    </row>
    <row r="297" spans="1:3">
      <c r="A297" s="236"/>
      <c r="B297" s="237"/>
      <c r="C297" s="238"/>
    </row>
    <row r="298" spans="1:3">
      <c r="A298" s="236"/>
      <c r="B298" s="237"/>
      <c r="C298" s="238"/>
    </row>
    <row r="299" spans="1:3">
      <c r="A299" s="236"/>
      <c r="B299" s="237"/>
      <c r="C299" s="238"/>
    </row>
    <row r="300" spans="1:3">
      <c r="A300" s="236"/>
      <c r="B300" s="237"/>
      <c r="C300" s="238"/>
    </row>
    <row r="301" spans="1:3">
      <c r="A301" s="236"/>
      <c r="B301" s="237"/>
      <c r="C301" s="238"/>
    </row>
    <row r="302" spans="1:3">
      <c r="A302" s="236"/>
      <c r="B302" s="237"/>
      <c r="C302" s="238"/>
    </row>
    <row r="303" spans="1:3">
      <c r="A303" s="236"/>
      <c r="B303" s="237"/>
      <c r="C303" s="238"/>
    </row>
    <row r="304" spans="1:3">
      <c r="A304" s="236"/>
      <c r="B304" s="237"/>
      <c r="C304" s="238"/>
    </row>
    <row r="305" spans="1:3">
      <c r="A305" s="236"/>
      <c r="B305" s="237"/>
      <c r="C305" s="238"/>
    </row>
    <row r="306" spans="1:3">
      <c r="A306" s="236"/>
      <c r="B306" s="237"/>
      <c r="C306" s="238"/>
    </row>
    <row r="307" spans="1:3">
      <c r="A307" s="236"/>
      <c r="B307" s="237"/>
      <c r="C307" s="238"/>
    </row>
    <row r="308" spans="1:3">
      <c r="A308" s="236"/>
      <c r="B308" s="237"/>
      <c r="C308" s="238"/>
    </row>
    <row r="309" spans="1:3">
      <c r="A309" s="236"/>
      <c r="B309" s="237"/>
      <c r="C309" s="238"/>
    </row>
    <row r="310" spans="1:3">
      <c r="A310" s="236"/>
      <c r="B310" s="237"/>
      <c r="C310" s="238"/>
    </row>
    <row r="311" spans="1:3">
      <c r="A311" s="236"/>
      <c r="B311" s="237"/>
      <c r="C311" s="238"/>
    </row>
    <row r="312" spans="1:3">
      <c r="A312" s="236"/>
      <c r="B312" s="237"/>
      <c r="C312" s="238"/>
    </row>
    <row r="313" spans="1:3">
      <c r="A313" s="236"/>
      <c r="B313" s="237"/>
      <c r="C313" s="238"/>
    </row>
    <row r="314" spans="1:3">
      <c r="A314" s="236"/>
      <c r="B314" s="237"/>
      <c r="C314" s="238"/>
    </row>
    <row r="315" spans="1:3">
      <c r="A315" s="236"/>
      <c r="B315" s="237"/>
      <c r="C315" s="238"/>
    </row>
    <row r="316" spans="1:3">
      <c r="A316" s="236"/>
      <c r="B316" s="237"/>
      <c r="C316" s="238"/>
    </row>
    <row r="317" spans="1:3">
      <c r="A317" s="236"/>
      <c r="B317" s="237"/>
      <c r="C317" s="238"/>
    </row>
    <row r="318" spans="1:3">
      <c r="A318" s="236"/>
      <c r="B318" s="237"/>
      <c r="C318" s="238"/>
    </row>
    <row r="319" spans="1:3">
      <c r="A319" s="236"/>
      <c r="B319" s="237"/>
      <c r="C319" s="238"/>
    </row>
    <row r="320" spans="1:3">
      <c r="A320" s="236"/>
      <c r="B320" s="237"/>
      <c r="C320" s="238"/>
    </row>
    <row r="321" spans="1:3">
      <c r="A321" s="236"/>
      <c r="B321" s="237"/>
      <c r="C321" s="238"/>
    </row>
    <row r="322" spans="1:3">
      <c r="A322" s="236"/>
      <c r="B322" s="237"/>
      <c r="C322" s="238"/>
    </row>
    <row r="323" spans="1:3">
      <c r="A323" s="236"/>
      <c r="B323" s="237"/>
      <c r="C323" s="238"/>
    </row>
    <row r="324" spans="1:3">
      <c r="A324" s="236"/>
      <c r="B324" s="237"/>
      <c r="C324" s="238"/>
    </row>
    <row r="325" spans="1:3">
      <c r="A325" s="236"/>
      <c r="B325" s="237"/>
      <c r="C325" s="238"/>
    </row>
    <row r="326" spans="1:3">
      <c r="A326" s="236"/>
      <c r="B326" s="237"/>
      <c r="C326" s="238"/>
    </row>
    <row r="327" spans="1:3">
      <c r="A327" s="236"/>
      <c r="B327" s="237"/>
      <c r="C327" s="238"/>
    </row>
    <row r="328" spans="1:3">
      <c r="A328" s="236"/>
      <c r="B328" s="237"/>
      <c r="C328" s="238"/>
    </row>
    <row r="329" spans="1:3">
      <c r="A329" s="236"/>
      <c r="B329" s="237"/>
      <c r="C329" s="238"/>
    </row>
    <row r="330" spans="1:3">
      <c r="A330" s="236"/>
      <c r="B330" s="237"/>
      <c r="C330" s="238"/>
    </row>
    <row r="331" spans="1:3">
      <c r="A331" s="236"/>
      <c r="B331" s="237"/>
      <c r="C331" s="238"/>
    </row>
    <row r="332" spans="1:3">
      <c r="A332" s="236"/>
      <c r="B332" s="237"/>
      <c r="C332" s="238"/>
    </row>
    <row r="333" spans="1:3">
      <c r="A333" s="236"/>
      <c r="B333" s="237"/>
      <c r="C333" s="238"/>
    </row>
    <row r="334" spans="1:3">
      <c r="A334" s="236"/>
      <c r="B334" s="237"/>
      <c r="C334" s="238"/>
    </row>
    <row r="335" spans="1:3">
      <c r="A335" s="236"/>
      <c r="B335" s="237"/>
      <c r="C335" s="238"/>
    </row>
    <row r="336" spans="1:3">
      <c r="A336" s="236"/>
      <c r="B336" s="237"/>
      <c r="C336" s="238"/>
    </row>
    <row r="337" spans="1:3">
      <c r="A337" s="236"/>
      <c r="B337" s="237"/>
      <c r="C337" s="238"/>
    </row>
    <row r="338" spans="1:3">
      <c r="A338" s="236"/>
      <c r="B338" s="237"/>
      <c r="C338" s="238"/>
    </row>
    <row r="339" spans="1:3">
      <c r="A339" s="236"/>
      <c r="B339" s="237"/>
      <c r="C339" s="238"/>
    </row>
    <row r="340" spans="1:3">
      <c r="A340" s="236"/>
      <c r="B340" s="237"/>
      <c r="C340" s="238"/>
    </row>
    <row r="341" spans="1:3">
      <c r="A341" s="236"/>
      <c r="B341" s="237"/>
      <c r="C341" s="238"/>
    </row>
    <row r="342" spans="1:3">
      <c r="A342" s="236"/>
      <c r="B342" s="237"/>
      <c r="C342" s="238"/>
    </row>
    <row r="343" spans="1:3">
      <c r="A343" s="236"/>
      <c r="B343" s="237"/>
      <c r="C343" s="238"/>
    </row>
    <row r="344" spans="1:3">
      <c r="A344" s="236"/>
      <c r="B344" s="237"/>
      <c r="C344" s="238"/>
    </row>
    <row r="345" spans="1:3">
      <c r="A345" s="236"/>
      <c r="B345" s="237"/>
      <c r="C345" s="238"/>
    </row>
    <row r="346" spans="1:3">
      <c r="A346" s="236"/>
      <c r="B346" s="237"/>
      <c r="C346" s="238"/>
    </row>
    <row r="347" spans="1:3">
      <c r="A347" s="236"/>
      <c r="B347" s="237"/>
      <c r="C347" s="238"/>
    </row>
    <row r="348" spans="1:3">
      <c r="A348" s="236"/>
      <c r="B348" s="237"/>
      <c r="C348" s="238"/>
    </row>
    <row r="349" spans="1:3">
      <c r="A349" s="236"/>
      <c r="B349" s="237"/>
      <c r="C349" s="238"/>
    </row>
    <row r="350" spans="1:3">
      <c r="A350" s="236"/>
      <c r="B350" s="237"/>
      <c r="C350" s="238"/>
    </row>
    <row r="351" spans="1:3">
      <c r="A351" s="236"/>
      <c r="B351" s="237"/>
      <c r="C351" s="238"/>
    </row>
    <row r="352" spans="1:3">
      <c r="A352" s="236"/>
      <c r="B352" s="237"/>
      <c r="C352" s="238"/>
    </row>
    <row r="353" spans="1:3">
      <c r="A353" s="236"/>
      <c r="B353" s="237"/>
      <c r="C353" s="238"/>
    </row>
    <row r="354" spans="1:3">
      <c r="A354" s="236"/>
      <c r="B354" s="237"/>
      <c r="C354" s="238"/>
    </row>
    <row r="355" spans="1:3">
      <c r="A355" s="236"/>
      <c r="B355" s="237"/>
      <c r="C355" s="238"/>
    </row>
    <row r="356" spans="1:3">
      <c r="A356" s="236"/>
      <c r="B356" s="237"/>
      <c r="C356" s="238"/>
    </row>
    <row r="357" spans="1:3">
      <c r="A357" s="236"/>
      <c r="B357" s="237"/>
      <c r="C357" s="238"/>
    </row>
    <row r="358" spans="1:3">
      <c r="A358" s="236"/>
      <c r="B358" s="237"/>
      <c r="C358" s="238"/>
    </row>
    <row r="359" spans="1:3">
      <c r="A359" s="236"/>
      <c r="B359" s="237"/>
      <c r="C359" s="238"/>
    </row>
    <row r="360" spans="1:3">
      <c r="A360" s="236"/>
      <c r="B360" s="237"/>
      <c r="C360" s="238"/>
    </row>
    <row r="361" spans="1:3">
      <c r="A361" s="236"/>
      <c r="B361" s="237"/>
      <c r="C361" s="238"/>
    </row>
    <row r="362" spans="1:3">
      <c r="A362" s="236"/>
      <c r="B362" s="237"/>
      <c r="C362" s="238"/>
    </row>
    <row r="363" spans="1:3">
      <c r="A363" s="236"/>
      <c r="B363" s="237"/>
      <c r="C363" s="238"/>
    </row>
    <row r="364" spans="1:3">
      <c r="A364" s="236"/>
      <c r="B364" s="237"/>
      <c r="C364" s="238"/>
    </row>
    <row r="365" spans="1:3">
      <c r="A365" s="236"/>
      <c r="B365" s="237"/>
      <c r="C365" s="238"/>
    </row>
    <row r="366" spans="1:3">
      <c r="A366" s="236"/>
      <c r="B366" s="237"/>
      <c r="C366" s="238"/>
    </row>
    <row r="367" spans="1:3">
      <c r="A367" s="236"/>
      <c r="B367" s="237"/>
      <c r="C367" s="238"/>
    </row>
    <row r="368" spans="1:3">
      <c r="A368" s="236"/>
      <c r="B368" s="237"/>
      <c r="C368" s="238"/>
    </row>
    <row r="369" spans="1:3">
      <c r="A369" s="236"/>
      <c r="B369" s="237"/>
      <c r="C369" s="238"/>
    </row>
    <row r="370" spans="1:3">
      <c r="A370" s="236"/>
      <c r="B370" s="237"/>
      <c r="C370" s="238"/>
    </row>
    <row r="371" spans="1:3">
      <c r="A371" s="236"/>
      <c r="B371" s="237"/>
      <c r="C371" s="238"/>
    </row>
    <row r="372" spans="1:3">
      <c r="A372" s="236"/>
      <c r="B372" s="237"/>
      <c r="C372" s="238"/>
    </row>
    <row r="373" spans="1:3">
      <c r="A373" s="236"/>
      <c r="B373" s="237"/>
      <c r="C373" s="238"/>
    </row>
    <row r="374" spans="1:3">
      <c r="A374" s="236"/>
      <c r="B374" s="237"/>
      <c r="C374" s="238"/>
    </row>
    <row r="375" spans="1:3">
      <c r="A375" s="236"/>
      <c r="B375" s="237"/>
      <c r="C375" s="238"/>
    </row>
    <row r="376" spans="1:3">
      <c r="A376" s="236"/>
      <c r="B376" s="237"/>
      <c r="C376" s="238"/>
    </row>
    <row r="377" spans="1:3">
      <c r="A377" s="236"/>
      <c r="B377" s="237"/>
      <c r="C377" s="238"/>
    </row>
    <row r="378" spans="1:3">
      <c r="A378" s="236"/>
      <c r="B378" s="237"/>
      <c r="C378" s="238"/>
    </row>
    <row r="379" spans="1:3">
      <c r="A379" s="236"/>
      <c r="B379" s="237"/>
      <c r="C379" s="238"/>
    </row>
    <row r="380" spans="1:3">
      <c r="A380" s="236"/>
      <c r="B380" s="237"/>
      <c r="C380" s="238"/>
    </row>
    <row r="381" spans="1:3">
      <c r="A381" s="236"/>
      <c r="B381" s="237"/>
      <c r="C381" s="238"/>
    </row>
    <row r="382" spans="1:3">
      <c r="A382" s="236"/>
      <c r="B382" s="237"/>
      <c r="C382" s="238"/>
    </row>
    <row r="383" spans="1:3">
      <c r="A383" s="236"/>
      <c r="B383" s="237"/>
      <c r="C383" s="238"/>
    </row>
    <row r="384" spans="1:3">
      <c r="A384" s="236"/>
      <c r="B384" s="237"/>
      <c r="C384" s="238"/>
    </row>
    <row r="385" spans="1:3">
      <c r="A385" s="236"/>
      <c r="B385" s="237"/>
      <c r="C385" s="238"/>
    </row>
    <row r="386" spans="1:3">
      <c r="A386" s="236"/>
      <c r="B386" s="237"/>
      <c r="C386" s="238"/>
    </row>
    <row r="387" spans="1:3">
      <c r="A387" s="236"/>
      <c r="B387" s="237"/>
      <c r="C387" s="238"/>
    </row>
    <row r="388" spans="1:3">
      <c r="A388" s="236"/>
      <c r="B388" s="237"/>
      <c r="C388" s="238"/>
    </row>
    <row r="389" spans="1:3">
      <c r="A389" s="236"/>
      <c r="B389" s="237"/>
      <c r="C389" s="238"/>
    </row>
    <row r="390" spans="1:3">
      <c r="A390" s="236"/>
      <c r="B390" s="237"/>
      <c r="C390" s="238"/>
    </row>
    <row r="391" spans="1:3">
      <c r="A391" s="236"/>
      <c r="B391" s="237"/>
      <c r="C391" s="238"/>
    </row>
    <row r="392" spans="1:3">
      <c r="A392" s="236"/>
      <c r="B392" s="237"/>
      <c r="C392" s="238"/>
    </row>
    <row r="393" spans="1:3">
      <c r="A393" s="236"/>
      <c r="B393" s="237"/>
      <c r="C393" s="238"/>
    </row>
    <row r="394" spans="1:3">
      <c r="A394" s="236"/>
      <c r="B394" s="237"/>
      <c r="C394" s="238"/>
    </row>
    <row r="395" spans="1:3">
      <c r="A395" s="236"/>
      <c r="B395" s="237"/>
      <c r="C395" s="238"/>
    </row>
    <row r="396" spans="1:3">
      <c r="A396" s="236"/>
      <c r="B396" s="237"/>
      <c r="C396" s="238"/>
    </row>
    <row r="397" spans="1:3">
      <c r="A397" s="236"/>
      <c r="B397" s="237"/>
      <c r="C397" s="238"/>
    </row>
    <row r="398" spans="1:3">
      <c r="A398" s="236"/>
      <c r="B398" s="237"/>
      <c r="C398" s="238"/>
    </row>
    <row r="399" spans="1:3">
      <c r="A399" s="236"/>
      <c r="B399" s="237"/>
      <c r="C399" s="238"/>
    </row>
    <row r="400" spans="1:3">
      <c r="A400" s="236"/>
      <c r="B400" s="237"/>
      <c r="C400" s="238"/>
    </row>
    <row r="401" spans="1:3">
      <c r="A401" s="236"/>
      <c r="B401" s="237"/>
      <c r="C401" s="238"/>
    </row>
    <row r="402" spans="1:3">
      <c r="A402" s="236"/>
      <c r="B402" s="237"/>
      <c r="C402" s="238"/>
    </row>
    <row r="403" spans="1:3">
      <c r="A403" s="236"/>
      <c r="B403" s="237"/>
      <c r="C403" s="238"/>
    </row>
    <row r="404" spans="1:3">
      <c r="A404" s="236"/>
      <c r="B404" s="237"/>
      <c r="C404" s="238"/>
    </row>
    <row r="405" spans="1:3">
      <c r="A405" s="236"/>
      <c r="B405" s="237"/>
      <c r="C405" s="238"/>
    </row>
    <row r="406" spans="1:3">
      <c r="A406" s="236"/>
      <c r="B406" s="237"/>
      <c r="C406" s="238"/>
    </row>
    <row r="407" spans="1:3">
      <c r="A407" s="236"/>
      <c r="B407" s="237"/>
      <c r="C407" s="238"/>
    </row>
    <row r="408" spans="1:3">
      <c r="A408" s="236"/>
      <c r="B408" s="237"/>
      <c r="C408" s="238"/>
    </row>
    <row r="409" spans="1:3">
      <c r="A409" s="236"/>
      <c r="B409" s="237"/>
      <c r="C409" s="238"/>
    </row>
    <row r="410" spans="1:3">
      <c r="A410" s="236"/>
      <c r="B410" s="237"/>
      <c r="C410" s="238"/>
    </row>
    <row r="411" spans="1:3">
      <c r="A411" s="236"/>
      <c r="B411" s="237"/>
      <c r="C411" s="238"/>
    </row>
    <row r="412" spans="1:3">
      <c r="A412" s="236"/>
      <c r="B412" s="237"/>
      <c r="C412" s="238"/>
    </row>
    <row r="413" spans="1:3">
      <c r="A413" s="236"/>
      <c r="B413" s="237"/>
      <c r="C413" s="238"/>
    </row>
    <row r="414" spans="1:3">
      <c r="A414" s="236"/>
      <c r="B414" s="237"/>
      <c r="C414" s="238"/>
    </row>
    <row r="415" spans="1:3">
      <c r="A415" s="236"/>
      <c r="B415" s="237"/>
      <c r="C415" s="238"/>
    </row>
    <row r="416" spans="1:3">
      <c r="A416" s="236"/>
      <c r="B416" s="237"/>
      <c r="C416" s="238"/>
    </row>
    <row r="417" spans="1:3">
      <c r="A417" s="236"/>
      <c r="B417" s="237"/>
      <c r="C417" s="238"/>
    </row>
    <row r="418" spans="1:3">
      <c r="A418" s="236"/>
      <c r="B418" s="237"/>
      <c r="C418" s="238"/>
    </row>
    <row r="419" spans="1:3">
      <c r="A419" s="236"/>
      <c r="B419" s="237"/>
      <c r="C419" s="238"/>
    </row>
    <row r="420" spans="1:3">
      <c r="A420" s="236"/>
      <c r="B420" s="237"/>
      <c r="C420" s="238"/>
    </row>
    <row r="421" spans="1:3">
      <c r="A421" s="236"/>
      <c r="B421" s="237"/>
      <c r="C421" s="238"/>
    </row>
    <row r="422" spans="1:3">
      <c r="A422" s="236"/>
      <c r="B422" s="237"/>
      <c r="C422" s="238"/>
    </row>
    <row r="423" spans="1:3">
      <c r="A423" s="236"/>
      <c r="B423" s="237"/>
      <c r="C423" s="238"/>
    </row>
    <row r="424" spans="1:3">
      <c r="A424" s="236"/>
      <c r="B424" s="237"/>
      <c r="C424" s="238"/>
    </row>
    <row r="425" spans="1:3">
      <c r="A425" s="236"/>
      <c r="B425" s="237"/>
      <c r="C425" s="238"/>
    </row>
    <row r="426" spans="1:3">
      <c r="A426" s="236"/>
      <c r="B426" s="237"/>
      <c r="C426" s="238"/>
    </row>
    <row r="427" spans="1:3">
      <c r="A427" s="236"/>
      <c r="B427" s="237"/>
      <c r="C427" s="238"/>
    </row>
    <row r="428" spans="1:3">
      <c r="A428" s="236"/>
      <c r="B428" s="237"/>
      <c r="C428" s="238"/>
    </row>
    <row r="429" spans="1:3">
      <c r="A429" s="236"/>
      <c r="B429" s="237"/>
      <c r="C429" s="238"/>
    </row>
    <row r="430" spans="1:3">
      <c r="A430" s="236"/>
      <c r="B430" s="237"/>
      <c r="C430" s="238"/>
    </row>
    <row r="431" spans="1:3">
      <c r="A431" s="236"/>
      <c r="B431" s="237"/>
      <c r="C431" s="238"/>
    </row>
    <row r="432" spans="1:3">
      <c r="A432" s="236"/>
      <c r="B432" s="237"/>
      <c r="C432" s="238"/>
    </row>
    <row r="433" spans="1:3">
      <c r="A433" s="236"/>
      <c r="B433" s="237"/>
      <c r="C433" s="238"/>
    </row>
    <row r="434" spans="1:3">
      <c r="A434" s="236"/>
      <c r="B434" s="237"/>
      <c r="C434" s="238"/>
    </row>
    <row r="435" spans="1:3">
      <c r="A435" s="236"/>
      <c r="B435" s="237"/>
      <c r="C435" s="238"/>
    </row>
    <row r="436" spans="1:3">
      <c r="A436" s="236"/>
      <c r="B436" s="237"/>
      <c r="C436" s="238"/>
    </row>
    <row r="437" spans="1:3">
      <c r="A437" s="236"/>
      <c r="B437" s="237"/>
      <c r="C437" s="238"/>
    </row>
    <row r="438" spans="1:3">
      <c r="A438" s="236"/>
      <c r="B438" s="237"/>
      <c r="C438" s="238"/>
    </row>
    <row r="439" spans="1:3">
      <c r="A439" s="236"/>
      <c r="B439" s="237"/>
      <c r="C439" s="238"/>
    </row>
    <row r="440" spans="1:3">
      <c r="A440" s="236"/>
      <c r="B440" s="237"/>
      <c r="C440" s="238"/>
    </row>
    <row r="441" spans="1:3">
      <c r="A441" s="236"/>
      <c r="B441" s="237"/>
      <c r="C441" s="238"/>
    </row>
    <row r="442" spans="1:3">
      <c r="A442" s="236"/>
      <c r="B442" s="237"/>
      <c r="C442" s="238"/>
    </row>
    <row r="443" spans="1:3">
      <c r="A443" s="236"/>
      <c r="B443" s="237"/>
      <c r="C443" s="238"/>
    </row>
    <row r="444" spans="1:3">
      <c r="A444" s="236"/>
      <c r="B444" s="237"/>
      <c r="C444" s="238"/>
    </row>
    <row r="445" spans="1:3">
      <c r="A445" s="236"/>
      <c r="B445" s="237"/>
      <c r="C445" s="238"/>
    </row>
    <row r="446" spans="1:3">
      <c r="A446" s="236"/>
      <c r="B446" s="237"/>
      <c r="C446" s="238"/>
    </row>
    <row r="447" spans="1:3">
      <c r="A447" s="236"/>
      <c r="B447" s="237"/>
      <c r="C447" s="238"/>
    </row>
    <row r="448" spans="1:3">
      <c r="A448" s="236"/>
      <c r="B448" s="237"/>
      <c r="C448" s="238"/>
    </row>
    <row r="449" spans="1:3">
      <c r="A449" s="236"/>
      <c r="B449" s="237"/>
      <c r="C449" s="238"/>
    </row>
    <row r="450" spans="1:3">
      <c r="A450" s="236"/>
      <c r="B450" s="237"/>
      <c r="C450" s="238"/>
    </row>
    <row r="451" spans="1:3">
      <c r="A451" s="236"/>
      <c r="B451" s="237"/>
      <c r="C451" s="238"/>
    </row>
    <row r="452" spans="1:3">
      <c r="A452" s="236"/>
      <c r="B452" s="237"/>
      <c r="C452" s="238"/>
    </row>
    <row r="453" spans="1:3">
      <c r="A453" s="236"/>
      <c r="B453" s="237"/>
      <c r="C453" s="238"/>
    </row>
    <row r="454" spans="1:3">
      <c r="A454" s="236"/>
      <c r="B454" s="237"/>
      <c r="C454" s="238"/>
    </row>
    <row r="455" spans="1:3">
      <c r="A455" s="236"/>
      <c r="B455" s="237"/>
      <c r="C455" s="238"/>
    </row>
    <row r="456" spans="1:3">
      <c r="A456" s="236"/>
      <c r="B456" s="237"/>
      <c r="C456" s="238"/>
    </row>
    <row r="457" spans="1:3">
      <c r="A457" s="236"/>
      <c r="B457" s="237"/>
      <c r="C457" s="238"/>
    </row>
    <row r="458" spans="1:3">
      <c r="A458" s="236"/>
      <c r="B458" s="237"/>
      <c r="C458" s="238"/>
    </row>
    <row r="459" spans="1:3">
      <c r="A459" s="236"/>
      <c r="B459" s="237"/>
      <c r="C459" s="238"/>
    </row>
    <row r="460" spans="1:3">
      <c r="A460" s="236"/>
      <c r="B460" s="237"/>
      <c r="C460" s="238"/>
    </row>
    <row r="461" spans="1:3">
      <c r="A461" s="236"/>
      <c r="B461" s="237"/>
      <c r="C461" s="238"/>
    </row>
    <row r="462" spans="1:3">
      <c r="A462" s="236"/>
      <c r="B462" s="237"/>
      <c r="C462" s="238"/>
    </row>
    <row r="463" spans="1:3">
      <c r="A463" s="236"/>
      <c r="B463" s="237"/>
      <c r="C463" s="238"/>
    </row>
    <row r="464" spans="1:3">
      <c r="A464" s="236"/>
      <c r="B464" s="237"/>
      <c r="C464" s="238"/>
    </row>
    <row r="465" spans="1:3">
      <c r="A465" s="236"/>
      <c r="B465" s="237"/>
      <c r="C465" s="238"/>
    </row>
    <row r="466" spans="1:3">
      <c r="A466" s="236"/>
      <c r="B466" s="237"/>
      <c r="C466" s="238"/>
    </row>
    <row r="467" spans="1:3">
      <c r="A467" s="236"/>
      <c r="B467" s="237"/>
      <c r="C467" s="238"/>
    </row>
    <row r="468" spans="1:3">
      <c r="A468" s="236"/>
      <c r="B468" s="237"/>
      <c r="C468" s="238"/>
    </row>
    <row r="469" spans="1:3">
      <c r="A469" s="236"/>
      <c r="B469" s="237"/>
      <c r="C469" s="238"/>
    </row>
    <row r="470" spans="1:3">
      <c r="A470" s="236"/>
      <c r="B470" s="237"/>
      <c r="C470" s="238"/>
    </row>
    <row r="471" spans="1:3">
      <c r="A471" s="236"/>
      <c r="B471" s="237"/>
      <c r="C471" s="238"/>
    </row>
    <row r="472" spans="1:3">
      <c r="A472" s="236"/>
      <c r="B472" s="237"/>
      <c r="C472" s="238"/>
    </row>
    <row r="473" spans="1:3">
      <c r="A473" s="236"/>
      <c r="B473" s="237"/>
      <c r="C473" s="238"/>
    </row>
    <row r="474" spans="1:3">
      <c r="A474" s="236"/>
      <c r="B474" s="237"/>
      <c r="C474" s="238"/>
    </row>
    <row r="475" spans="1:3">
      <c r="A475" s="236"/>
      <c r="B475" s="237"/>
      <c r="C475" s="238"/>
    </row>
    <row r="476" spans="1:3">
      <c r="A476" s="236"/>
      <c r="B476" s="237"/>
      <c r="C476" s="238"/>
    </row>
    <row r="477" spans="1:3">
      <c r="A477" s="236"/>
      <c r="B477" s="237"/>
      <c r="C477" s="238"/>
    </row>
    <row r="478" spans="1:3">
      <c r="A478" s="236"/>
      <c r="B478" s="237"/>
      <c r="C478" s="238"/>
    </row>
    <row r="479" spans="1:3">
      <c r="A479" s="236"/>
      <c r="B479" s="237"/>
      <c r="C479" s="238"/>
    </row>
    <row r="480" spans="1:3">
      <c r="A480" s="236"/>
      <c r="B480" s="237"/>
      <c r="C480" s="238"/>
    </row>
    <row r="481" spans="1:3">
      <c r="A481" s="236"/>
      <c r="B481" s="237"/>
      <c r="C481" s="238"/>
    </row>
    <row r="482" spans="1:3">
      <c r="A482" s="236"/>
      <c r="B482" s="237"/>
      <c r="C482" s="238"/>
    </row>
    <row r="483" spans="1:3">
      <c r="A483" s="236"/>
      <c r="B483" s="237"/>
      <c r="C483" s="238"/>
    </row>
    <row r="484" spans="1:3">
      <c r="A484" s="236"/>
      <c r="B484" s="237"/>
      <c r="C484" s="238"/>
    </row>
    <row r="485" spans="1:3">
      <c r="A485" s="236"/>
      <c r="B485" s="237"/>
      <c r="C485" s="238"/>
    </row>
    <row r="486" spans="1:3">
      <c r="A486" s="236"/>
      <c r="B486" s="237"/>
      <c r="C486" s="238"/>
    </row>
    <row r="487" spans="1:3">
      <c r="A487" s="236"/>
      <c r="B487" s="237"/>
      <c r="C487" s="238"/>
    </row>
    <row r="488" spans="1:3">
      <c r="A488" s="236"/>
      <c r="B488" s="237"/>
      <c r="C488" s="238"/>
    </row>
    <row r="489" spans="1:3">
      <c r="A489" s="236"/>
      <c r="B489" s="237"/>
      <c r="C489" s="238"/>
    </row>
    <row r="490" spans="1:3">
      <c r="A490" s="236"/>
      <c r="B490" s="237"/>
      <c r="C490" s="238"/>
    </row>
    <row r="491" spans="1:3">
      <c r="A491" s="236"/>
      <c r="B491" s="237"/>
      <c r="C491" s="238"/>
    </row>
    <row r="492" spans="1:3">
      <c r="A492" s="236"/>
      <c r="B492" s="237"/>
      <c r="C492" s="238"/>
    </row>
    <row r="493" spans="1:3">
      <c r="A493" s="236"/>
      <c r="B493" s="237"/>
      <c r="C493" s="238"/>
    </row>
    <row r="494" spans="1:3">
      <c r="A494" s="236"/>
      <c r="B494" s="237"/>
      <c r="C494" s="238"/>
    </row>
    <row r="495" spans="1:3">
      <c r="A495" s="236"/>
      <c r="B495" s="237"/>
      <c r="C495" s="238"/>
    </row>
    <row r="496" spans="1:3">
      <c r="A496" s="236"/>
      <c r="B496" s="237"/>
      <c r="C496" s="238"/>
    </row>
    <row r="497" spans="1:3">
      <c r="A497" s="236"/>
      <c r="B497" s="237"/>
      <c r="C497" s="238"/>
    </row>
    <row r="498" spans="1:3">
      <c r="A498" s="236"/>
      <c r="B498" s="237"/>
      <c r="C498" s="238"/>
    </row>
    <row r="499" spans="1:3">
      <c r="A499" s="236"/>
      <c r="B499" s="237"/>
      <c r="C499" s="238"/>
    </row>
    <row r="500" spans="1:3">
      <c r="A500" s="236"/>
      <c r="B500" s="237"/>
      <c r="C500" s="238"/>
    </row>
    <row r="501" spans="1:3">
      <c r="A501" s="236"/>
      <c r="B501" s="237"/>
      <c r="C501" s="238"/>
    </row>
    <row r="502" spans="1:3">
      <c r="A502" s="236"/>
      <c r="B502" s="237"/>
      <c r="C502" s="238"/>
    </row>
    <row r="503" spans="1:3">
      <c r="A503" s="236"/>
      <c r="B503" s="237"/>
      <c r="C503" s="238"/>
    </row>
    <row r="504" spans="1:3">
      <c r="A504" s="236"/>
      <c r="B504" s="237"/>
      <c r="C504" s="238"/>
    </row>
    <row r="505" spans="1:3">
      <c r="A505" s="236"/>
      <c r="B505" s="237"/>
      <c r="C505" s="238"/>
    </row>
    <row r="506" spans="1:3">
      <c r="A506" s="236"/>
      <c r="B506" s="237"/>
      <c r="C506" s="238"/>
    </row>
    <row r="507" spans="1:3">
      <c r="A507" s="236"/>
      <c r="B507" s="237"/>
      <c r="C507" s="238"/>
    </row>
    <row r="508" spans="1:3">
      <c r="A508" s="236"/>
      <c r="B508" s="237"/>
      <c r="C508" s="238"/>
    </row>
    <row r="509" spans="1:3">
      <c r="A509" s="236"/>
      <c r="B509" s="237"/>
      <c r="C509" s="238"/>
    </row>
    <row r="510" spans="1:3">
      <c r="A510" s="236"/>
      <c r="B510" s="237"/>
      <c r="C510" s="238"/>
    </row>
    <row r="511" spans="1:3">
      <c r="A511" s="236"/>
      <c r="B511" s="237"/>
      <c r="C511" s="238"/>
    </row>
    <row r="512" spans="1:3">
      <c r="A512" s="236"/>
      <c r="B512" s="237"/>
      <c r="C512" s="238"/>
    </row>
    <row r="513" spans="1:3">
      <c r="A513" s="236"/>
      <c r="B513" s="237"/>
      <c r="C513" s="238"/>
    </row>
    <row r="514" spans="1:3">
      <c r="A514" s="236"/>
      <c r="B514" s="237"/>
      <c r="C514" s="238"/>
    </row>
    <row r="515" spans="1:3">
      <c r="A515" s="236"/>
      <c r="B515" s="237"/>
      <c r="C515" s="238"/>
    </row>
    <row r="516" spans="1:3">
      <c r="A516" s="236"/>
      <c r="B516" s="237"/>
      <c r="C516" s="238"/>
    </row>
    <row r="517" spans="1:3">
      <c r="A517" s="236"/>
      <c r="B517" s="237"/>
      <c r="C517" s="238"/>
    </row>
    <row r="518" spans="1:3">
      <c r="A518" s="236"/>
      <c r="B518" s="237"/>
      <c r="C518" s="238"/>
    </row>
    <row r="519" spans="1:3">
      <c r="A519" s="236"/>
      <c r="B519" s="237"/>
      <c r="C519" s="238"/>
    </row>
    <row r="520" spans="1:3">
      <c r="A520" s="236"/>
      <c r="B520" s="237"/>
      <c r="C520" s="238"/>
    </row>
    <row r="521" spans="1:3">
      <c r="A521" s="236"/>
      <c r="B521" s="237"/>
      <c r="C521" s="238"/>
    </row>
    <row r="522" spans="1:3">
      <c r="A522" s="236"/>
      <c r="B522" s="237"/>
      <c r="C522" s="238"/>
    </row>
    <row r="523" spans="1:3">
      <c r="A523" s="236"/>
      <c r="B523" s="237"/>
      <c r="C523" s="238"/>
    </row>
    <row r="524" spans="1:3">
      <c r="A524" s="236"/>
      <c r="B524" s="237"/>
      <c r="C524" s="238"/>
    </row>
    <row r="525" spans="1:3">
      <c r="A525" s="236"/>
      <c r="B525" s="237"/>
      <c r="C525" s="238"/>
    </row>
    <row r="526" spans="1:3">
      <c r="A526" s="236"/>
      <c r="B526" s="237"/>
      <c r="C526" s="238"/>
    </row>
    <row r="527" spans="1:3">
      <c r="A527" s="236"/>
      <c r="B527" s="237"/>
      <c r="C527" s="238"/>
    </row>
    <row r="528" spans="1:3">
      <c r="A528" s="236"/>
      <c r="B528" s="237"/>
      <c r="C528" s="238"/>
    </row>
    <row r="529" spans="1:3">
      <c r="A529" s="236"/>
      <c r="B529" s="237"/>
      <c r="C529" s="238"/>
    </row>
    <row r="530" spans="1:3">
      <c r="A530" s="236"/>
      <c r="B530" s="237"/>
      <c r="C530" s="238"/>
    </row>
    <row r="531" spans="1:3">
      <c r="A531" s="236"/>
      <c r="B531" s="237"/>
      <c r="C531" s="238"/>
    </row>
    <row r="532" spans="1:3">
      <c r="A532" s="236"/>
      <c r="B532" s="237"/>
      <c r="C532" s="238"/>
    </row>
    <row r="533" spans="1:3">
      <c r="A533" s="236"/>
      <c r="B533" s="237"/>
      <c r="C533" s="238"/>
    </row>
    <row r="534" spans="1:3">
      <c r="A534" s="236"/>
      <c r="B534" s="237"/>
      <c r="C534" s="238"/>
    </row>
    <row r="535" spans="1:3">
      <c r="A535" s="236"/>
      <c r="B535" s="237"/>
      <c r="C535" s="238"/>
    </row>
    <row r="536" spans="1:3">
      <c r="A536" s="236"/>
      <c r="B536" s="237"/>
      <c r="C536" s="238"/>
    </row>
    <row r="537" spans="1:3">
      <c r="A537" s="236"/>
      <c r="B537" s="237"/>
      <c r="C537" s="238"/>
    </row>
    <row r="538" spans="1:3">
      <c r="A538" s="236"/>
      <c r="B538" s="237"/>
      <c r="C538" s="238"/>
    </row>
    <row r="539" spans="1:3">
      <c r="A539" s="236"/>
      <c r="B539" s="237"/>
      <c r="C539" s="238"/>
    </row>
    <row r="540" spans="1:3">
      <c r="A540" s="236"/>
      <c r="B540" s="237"/>
      <c r="C540" s="238"/>
    </row>
    <row r="541" spans="1:3">
      <c r="A541" s="236"/>
      <c r="B541" s="237"/>
      <c r="C541" s="238"/>
    </row>
    <row r="542" spans="1:3">
      <c r="A542" s="236"/>
      <c r="B542" s="237"/>
      <c r="C542" s="238"/>
    </row>
    <row r="543" spans="1:3">
      <c r="A543" s="236"/>
      <c r="B543" s="237"/>
      <c r="C543" s="238"/>
    </row>
    <row r="544" spans="1:3">
      <c r="A544" s="236"/>
      <c r="B544" s="237"/>
      <c r="C544" s="238"/>
    </row>
    <row r="545" spans="1:3">
      <c r="A545" s="236"/>
      <c r="B545" s="237"/>
      <c r="C545" s="238"/>
    </row>
    <row r="546" spans="1:3">
      <c r="A546" s="236"/>
      <c r="B546" s="237"/>
      <c r="C546" s="238"/>
    </row>
    <row r="547" spans="1:3">
      <c r="A547" s="236"/>
      <c r="B547" s="237"/>
      <c r="C547" s="238"/>
    </row>
    <row r="548" spans="1:3">
      <c r="A548" s="236"/>
      <c r="B548" s="237"/>
      <c r="C548" s="238"/>
    </row>
    <row r="549" spans="1:3">
      <c r="A549" s="236"/>
      <c r="B549" s="237"/>
      <c r="C549" s="238"/>
    </row>
    <row r="550" spans="1:3">
      <c r="A550" s="236"/>
      <c r="B550" s="237"/>
      <c r="C550" s="238"/>
    </row>
    <row r="551" spans="1:3">
      <c r="A551" s="236"/>
      <c r="B551" s="237"/>
      <c r="C551" s="238"/>
    </row>
    <row r="552" spans="1:3">
      <c r="A552" s="236"/>
      <c r="B552" s="237"/>
      <c r="C552" s="238"/>
    </row>
    <row r="553" spans="1:3">
      <c r="A553" s="236"/>
      <c r="B553" s="237"/>
      <c r="C553" s="238"/>
    </row>
    <row r="554" spans="1:3">
      <c r="A554" s="236"/>
      <c r="B554" s="237"/>
      <c r="C554" s="238"/>
    </row>
    <row r="555" spans="1:3">
      <c r="A555" s="236"/>
      <c r="B555" s="237"/>
      <c r="C555" s="238"/>
    </row>
    <row r="556" spans="1:3">
      <c r="A556" s="236"/>
      <c r="B556" s="237"/>
      <c r="C556" s="238"/>
    </row>
    <row r="557" spans="1:3">
      <c r="A557" s="236"/>
      <c r="B557" s="237"/>
      <c r="C557" s="238"/>
    </row>
    <row r="558" spans="1:3">
      <c r="A558" s="236"/>
      <c r="B558" s="237"/>
      <c r="C558" s="238"/>
    </row>
    <row r="559" spans="1:3">
      <c r="A559" s="236"/>
      <c r="B559" s="237"/>
      <c r="C559" s="238"/>
    </row>
    <row r="560" spans="1:3">
      <c r="A560" s="236"/>
      <c r="B560" s="237"/>
      <c r="C560" s="238"/>
    </row>
    <row r="561" spans="1:3">
      <c r="A561" s="236"/>
      <c r="B561" s="237"/>
      <c r="C561" s="238"/>
    </row>
    <row r="562" spans="1:3">
      <c r="A562" s="236"/>
      <c r="B562" s="237"/>
      <c r="C562" s="238"/>
    </row>
    <row r="563" spans="1:3">
      <c r="A563" s="236"/>
      <c r="B563" s="237"/>
      <c r="C563" s="238"/>
    </row>
    <row r="564" spans="1:3">
      <c r="A564" s="236"/>
      <c r="B564" s="237"/>
      <c r="C564" s="238"/>
    </row>
    <row r="565" spans="1:3">
      <c r="A565" s="236"/>
      <c r="B565" s="237"/>
      <c r="C565" s="238"/>
    </row>
    <row r="566" spans="1:3">
      <c r="A566" s="236"/>
      <c r="B566" s="237"/>
      <c r="C566" s="238"/>
    </row>
    <row r="567" spans="1:3">
      <c r="A567" s="236"/>
      <c r="B567" s="237"/>
      <c r="C567" s="238"/>
    </row>
    <row r="568" spans="1:3">
      <c r="A568" s="236"/>
      <c r="B568" s="237"/>
      <c r="C568" s="238"/>
    </row>
    <row r="569" spans="1:3">
      <c r="A569" s="236"/>
      <c r="B569" s="237"/>
      <c r="C569" s="238"/>
    </row>
    <row r="570" spans="1:3">
      <c r="A570" s="236"/>
      <c r="B570" s="237"/>
      <c r="C570" s="238"/>
    </row>
    <row r="571" spans="1:3">
      <c r="A571" s="236"/>
      <c r="B571" s="237"/>
      <c r="C571" s="238"/>
    </row>
    <row r="572" spans="1:3">
      <c r="A572" s="236"/>
      <c r="B572" s="237"/>
      <c r="C572" s="238"/>
    </row>
    <row r="573" spans="1:3">
      <c r="A573" s="236"/>
      <c r="B573" s="237"/>
      <c r="C573" s="238"/>
    </row>
    <row r="574" spans="1:3">
      <c r="A574" s="236"/>
      <c r="B574" s="237"/>
      <c r="C574" s="238"/>
    </row>
    <row r="575" spans="1:3">
      <c r="A575" s="236"/>
      <c r="B575" s="237"/>
      <c r="C575" s="238"/>
    </row>
    <row r="576" spans="1:3">
      <c r="A576" s="236"/>
      <c r="B576" s="237"/>
      <c r="C576" s="238"/>
    </row>
    <row r="577" spans="1:3">
      <c r="A577" s="236"/>
      <c r="B577" s="237"/>
      <c r="C577" s="238"/>
    </row>
    <row r="578" spans="1:3">
      <c r="A578" s="236"/>
      <c r="B578" s="237"/>
      <c r="C578" s="238"/>
    </row>
    <row r="579" spans="1:3">
      <c r="A579" s="236"/>
      <c r="B579" s="237"/>
      <c r="C579" s="238"/>
    </row>
    <row r="580" spans="1:3">
      <c r="A580" s="236"/>
      <c r="B580" s="237"/>
      <c r="C580" s="238"/>
    </row>
    <row r="581" spans="1:3">
      <c r="A581" s="236"/>
      <c r="B581" s="237"/>
      <c r="C581" s="238"/>
    </row>
    <row r="582" spans="1:3">
      <c r="A582" s="236"/>
      <c r="B582" s="237"/>
      <c r="C582" s="238"/>
    </row>
    <row r="583" spans="1:3">
      <c r="A583" s="236"/>
      <c r="B583" s="237"/>
      <c r="C583" s="238"/>
    </row>
    <row r="584" spans="1:3">
      <c r="A584" s="236"/>
      <c r="B584" s="237"/>
      <c r="C584" s="238"/>
    </row>
    <row r="585" spans="1:3">
      <c r="A585" s="236"/>
      <c r="B585" s="237"/>
      <c r="C585" s="238"/>
    </row>
    <row r="586" spans="1:3">
      <c r="A586" s="236"/>
      <c r="B586" s="237"/>
      <c r="C586" s="238"/>
    </row>
    <row r="587" spans="1:3">
      <c r="A587" s="236"/>
      <c r="B587" s="237"/>
      <c r="C587" s="238"/>
    </row>
    <row r="588" spans="1:3">
      <c r="A588" s="236"/>
      <c r="B588" s="237"/>
      <c r="C588" s="238"/>
    </row>
    <row r="589" spans="1:3">
      <c r="A589" s="236"/>
      <c r="B589" s="237"/>
      <c r="C589" s="238"/>
    </row>
    <row r="590" spans="1:3">
      <c r="A590" s="236"/>
      <c r="B590" s="237"/>
      <c r="C590" s="238"/>
    </row>
    <row r="591" spans="1:3">
      <c r="A591" s="236"/>
      <c r="B591" s="237"/>
      <c r="C591" s="238"/>
    </row>
    <row r="592" spans="1:3">
      <c r="A592" s="236"/>
      <c r="B592" s="237"/>
      <c r="C592" s="238"/>
    </row>
    <row r="593" spans="1:3">
      <c r="A593" s="236"/>
      <c r="B593" s="237"/>
      <c r="C593" s="238"/>
    </row>
    <row r="594" spans="1:3">
      <c r="A594" s="236"/>
      <c r="B594" s="237"/>
      <c r="C594" s="238"/>
    </row>
    <row r="595" spans="1:3">
      <c r="A595" s="236"/>
      <c r="B595" s="237"/>
      <c r="C595" s="238"/>
    </row>
    <row r="596" spans="1:3">
      <c r="A596" s="236"/>
      <c r="B596" s="237"/>
      <c r="C596" s="238"/>
    </row>
    <row r="597" spans="1:3">
      <c r="A597" s="236"/>
      <c r="B597" s="237"/>
      <c r="C597" s="238"/>
    </row>
    <row r="598" spans="1:3">
      <c r="A598" s="236"/>
      <c r="B598" s="237"/>
      <c r="C598" s="238"/>
    </row>
    <row r="599" spans="1:3">
      <c r="A599" s="236"/>
      <c r="B599" s="237"/>
      <c r="C599" s="238"/>
    </row>
    <row r="600" spans="1:3">
      <c r="A600" s="236"/>
      <c r="B600" s="237"/>
      <c r="C600" s="238"/>
    </row>
    <row r="601" spans="1:3">
      <c r="A601" s="236"/>
      <c r="B601" s="237"/>
      <c r="C601" s="238"/>
    </row>
    <row r="602" spans="1:3">
      <c r="A602" s="236"/>
      <c r="B602" s="237"/>
      <c r="C602" s="238"/>
    </row>
    <row r="603" spans="1:3">
      <c r="A603" s="236"/>
      <c r="B603" s="237"/>
      <c r="C603" s="238"/>
    </row>
    <row r="604" spans="1:3">
      <c r="A604" s="236"/>
      <c r="B604" s="237"/>
      <c r="C604" s="238"/>
    </row>
    <row r="605" spans="1:3">
      <c r="A605" s="236"/>
      <c r="B605" s="237"/>
      <c r="C605" s="238"/>
    </row>
    <row r="606" spans="1:3">
      <c r="A606" s="236"/>
      <c r="B606" s="237"/>
      <c r="C606" s="238"/>
    </row>
    <row r="607" spans="1:3">
      <c r="A607" s="236"/>
      <c r="B607" s="237"/>
      <c r="C607" s="238"/>
    </row>
    <row r="608" spans="1:3">
      <c r="A608" s="236"/>
      <c r="B608" s="237"/>
      <c r="C608" s="238"/>
    </row>
    <row r="609" spans="1:3">
      <c r="A609" s="236"/>
      <c r="B609" s="237"/>
      <c r="C609" s="238"/>
    </row>
    <row r="610" spans="1:3">
      <c r="A610" s="236"/>
      <c r="B610" s="237"/>
      <c r="C610" s="238"/>
    </row>
    <row r="611" spans="1:3">
      <c r="A611" s="236"/>
      <c r="B611" s="237"/>
      <c r="C611" s="238"/>
    </row>
    <row r="612" spans="1:3">
      <c r="A612" s="236"/>
      <c r="B612" s="237"/>
      <c r="C612" s="238"/>
    </row>
    <row r="613" spans="1:3">
      <c r="A613" s="236"/>
      <c r="B613" s="237"/>
      <c r="C613" s="238"/>
    </row>
    <row r="614" spans="1:3">
      <c r="A614" s="236"/>
      <c r="B614" s="237"/>
      <c r="C614" s="238"/>
    </row>
    <row r="615" spans="1:3">
      <c r="A615" s="236"/>
      <c r="B615" s="237"/>
      <c r="C615" s="238"/>
    </row>
    <row r="616" spans="1:3">
      <c r="A616" s="236"/>
      <c r="B616" s="237"/>
      <c r="C616" s="238"/>
    </row>
    <row r="617" spans="1:3">
      <c r="A617" s="236"/>
      <c r="B617" s="237"/>
      <c r="C617" s="238"/>
    </row>
    <row r="618" spans="1:3">
      <c r="A618" s="236"/>
      <c r="B618" s="237"/>
      <c r="C618" s="238"/>
    </row>
    <row r="619" spans="1:3">
      <c r="A619" s="236"/>
      <c r="B619" s="237"/>
      <c r="C619" s="238"/>
    </row>
    <row r="620" spans="1:3">
      <c r="A620" s="236"/>
      <c r="B620" s="237"/>
      <c r="C620" s="238"/>
    </row>
    <row r="621" spans="1:3">
      <c r="A621" s="236"/>
      <c r="B621" s="237"/>
      <c r="C621" s="238"/>
    </row>
    <row r="622" spans="1:3">
      <c r="A622" s="236"/>
      <c r="B622" s="237"/>
      <c r="C622" s="238"/>
    </row>
    <row r="623" spans="1:3">
      <c r="A623" s="236"/>
      <c r="B623" s="237"/>
      <c r="C623" s="238"/>
    </row>
    <row r="624" spans="1:3">
      <c r="A624" s="236"/>
      <c r="B624" s="237"/>
      <c r="C624" s="238"/>
    </row>
    <row r="625" spans="1:3">
      <c r="A625" s="236"/>
      <c r="B625" s="237"/>
      <c r="C625" s="238"/>
    </row>
    <row r="626" spans="1:3">
      <c r="A626" s="236"/>
      <c r="B626" s="237"/>
      <c r="C626" s="238"/>
    </row>
    <row r="627" spans="1:3">
      <c r="A627" s="236"/>
      <c r="B627" s="237"/>
      <c r="C627" s="238"/>
    </row>
    <row r="628" spans="1:3">
      <c r="A628" s="236"/>
      <c r="B628" s="237"/>
      <c r="C628" s="238"/>
    </row>
    <row r="629" spans="1:3">
      <c r="A629" s="236"/>
      <c r="B629" s="237"/>
      <c r="C629" s="238"/>
    </row>
    <row r="630" spans="1:3">
      <c r="A630" s="236"/>
      <c r="B630" s="237"/>
      <c r="C630" s="238"/>
    </row>
    <row r="631" spans="1:3">
      <c r="A631" s="236"/>
      <c r="B631" s="237"/>
      <c r="C631" s="238"/>
    </row>
    <row r="632" spans="1:3">
      <c r="A632" s="236"/>
      <c r="B632" s="237"/>
      <c r="C632" s="238"/>
    </row>
    <row r="633" spans="1:3">
      <c r="A633" s="236"/>
      <c r="B633" s="237"/>
      <c r="C633" s="238"/>
    </row>
    <row r="634" spans="1:3">
      <c r="A634" s="236"/>
      <c r="B634" s="237"/>
      <c r="C634" s="238"/>
    </row>
    <row r="635" spans="1:3">
      <c r="A635" s="236"/>
      <c r="B635" s="237"/>
      <c r="C635" s="238"/>
    </row>
    <row r="636" spans="1:3">
      <c r="A636" s="236"/>
      <c r="B636" s="237"/>
      <c r="C636" s="238"/>
    </row>
    <row r="637" spans="1:3">
      <c r="A637" s="236"/>
      <c r="B637" s="237"/>
      <c r="C637" s="238"/>
    </row>
    <row r="638" spans="1:3">
      <c r="A638" s="236"/>
      <c r="B638" s="237"/>
      <c r="C638" s="238"/>
    </row>
    <row r="639" spans="1:3">
      <c r="A639" s="236"/>
      <c r="B639" s="237"/>
      <c r="C639" s="238"/>
    </row>
    <row r="640" spans="1:3">
      <c r="A640" s="236"/>
      <c r="B640" s="237"/>
      <c r="C640" s="238"/>
    </row>
    <row r="641" spans="1:3">
      <c r="A641" s="236"/>
      <c r="B641" s="237"/>
      <c r="C641" s="238"/>
    </row>
    <row r="642" spans="1:3">
      <c r="A642" s="236"/>
      <c r="B642" s="237"/>
      <c r="C642" s="238"/>
    </row>
    <row r="643" spans="1:3">
      <c r="A643" s="236"/>
      <c r="B643" s="237"/>
      <c r="C643" s="238"/>
    </row>
    <row r="644" spans="1:3">
      <c r="A644" s="236"/>
      <c r="B644" s="237"/>
      <c r="C644" s="238"/>
    </row>
    <row r="645" spans="1:3">
      <c r="A645" s="236"/>
      <c r="B645" s="237"/>
      <c r="C645" s="238"/>
    </row>
    <row r="646" spans="1:3">
      <c r="A646" s="236"/>
      <c r="B646" s="237"/>
      <c r="C646" s="238"/>
    </row>
    <row r="647" spans="1:3">
      <c r="A647" s="236"/>
      <c r="B647" s="237"/>
      <c r="C647" s="238"/>
    </row>
    <row r="648" spans="1:3">
      <c r="A648" s="236"/>
      <c r="B648" s="237"/>
      <c r="C648" s="238"/>
    </row>
    <row r="649" spans="1:3">
      <c r="A649" s="236"/>
      <c r="B649" s="237"/>
      <c r="C649" s="238"/>
    </row>
    <row r="650" spans="1:3">
      <c r="A650" s="236"/>
      <c r="B650" s="237"/>
      <c r="C650" s="238"/>
    </row>
    <row r="651" spans="1:3">
      <c r="A651" s="236"/>
      <c r="B651" s="237"/>
      <c r="C651" s="238"/>
    </row>
    <row r="652" spans="1:3">
      <c r="A652" s="236"/>
      <c r="B652" s="237"/>
      <c r="C652" s="238"/>
    </row>
    <row r="653" spans="1:3">
      <c r="A653" s="236"/>
      <c r="B653" s="237"/>
      <c r="C653" s="238"/>
    </row>
    <row r="654" spans="1:3">
      <c r="A654" s="236"/>
      <c r="B654" s="237"/>
      <c r="C654" s="238"/>
    </row>
    <row r="655" spans="1:3">
      <c r="A655" s="236"/>
      <c r="B655" s="237"/>
      <c r="C655" s="238"/>
    </row>
    <row r="656" spans="1:3">
      <c r="A656" s="236"/>
      <c r="B656" s="237"/>
      <c r="C656" s="238"/>
    </row>
    <row r="657" spans="1:3">
      <c r="A657" s="236"/>
      <c r="B657" s="237"/>
      <c r="C657" s="238"/>
    </row>
    <row r="658" spans="1:3">
      <c r="A658" s="236"/>
      <c r="B658" s="237"/>
      <c r="C658" s="238"/>
    </row>
    <row r="659" spans="1:3">
      <c r="A659" s="236"/>
      <c r="B659" s="237"/>
      <c r="C659" s="238"/>
    </row>
    <row r="660" spans="1:3">
      <c r="A660" s="236"/>
      <c r="B660" s="237"/>
      <c r="C660" s="238"/>
    </row>
    <row r="661" spans="1:3">
      <c r="A661" s="236"/>
      <c r="B661" s="237"/>
      <c r="C661" s="238"/>
    </row>
    <row r="662" spans="1:3">
      <c r="A662" s="236"/>
      <c r="B662" s="237"/>
      <c r="C662" s="238"/>
    </row>
    <row r="663" spans="1:3">
      <c r="A663" s="236"/>
      <c r="B663" s="237"/>
      <c r="C663" s="238"/>
    </row>
    <row r="664" spans="1:3">
      <c r="A664" s="236"/>
      <c r="B664" s="237"/>
      <c r="C664" s="238"/>
    </row>
    <row r="665" spans="1:3">
      <c r="A665" s="236"/>
      <c r="B665" s="237"/>
      <c r="C665" s="238"/>
    </row>
    <row r="666" spans="1:3">
      <c r="A666" s="236"/>
      <c r="B666" s="237"/>
      <c r="C666" s="238"/>
    </row>
    <row r="667" spans="1:3">
      <c r="A667" s="236"/>
      <c r="B667" s="237"/>
      <c r="C667" s="238"/>
    </row>
    <row r="668" spans="1:3">
      <c r="A668" s="236"/>
      <c r="B668" s="237"/>
      <c r="C668" s="238"/>
    </row>
    <row r="669" spans="1:3">
      <c r="A669" s="236"/>
      <c r="B669" s="237"/>
      <c r="C669" s="238"/>
    </row>
    <row r="670" spans="1:3">
      <c r="A670" s="236"/>
      <c r="B670" s="237"/>
      <c r="C670" s="238"/>
    </row>
    <row r="671" spans="1:3">
      <c r="A671" s="236"/>
      <c r="B671" s="237"/>
      <c r="C671" s="238"/>
    </row>
    <row r="672" spans="1:3">
      <c r="A672" s="236"/>
      <c r="B672" s="237"/>
      <c r="C672" s="238"/>
    </row>
    <row r="673" spans="1:3">
      <c r="A673" s="236"/>
      <c r="B673" s="237"/>
      <c r="C673" s="238"/>
    </row>
    <row r="674" spans="1:3">
      <c r="A674" s="236"/>
      <c r="B674" s="237"/>
      <c r="C674" s="238"/>
    </row>
    <row r="675" spans="1:3">
      <c r="A675" s="236"/>
      <c r="B675" s="237"/>
      <c r="C675" s="238"/>
    </row>
    <row r="676" spans="1:3">
      <c r="A676" s="236"/>
      <c r="B676" s="237"/>
      <c r="C676" s="238"/>
    </row>
    <row r="677" spans="1:3">
      <c r="A677" s="236"/>
      <c r="B677" s="237"/>
      <c r="C677" s="238"/>
    </row>
    <row r="678" spans="1:3">
      <c r="A678" s="236"/>
      <c r="B678" s="237"/>
      <c r="C678" s="238"/>
    </row>
    <row r="679" spans="1:3">
      <c r="A679" s="236"/>
      <c r="B679" s="237"/>
      <c r="C679" s="238"/>
    </row>
    <row r="680" spans="1:3">
      <c r="A680" s="236"/>
      <c r="B680" s="237"/>
      <c r="C680" s="238"/>
    </row>
    <row r="681" spans="1:3">
      <c r="A681" s="236"/>
      <c r="B681" s="237"/>
      <c r="C681" s="238"/>
    </row>
    <row r="682" spans="1:3">
      <c r="A682" s="236"/>
      <c r="B682" s="237"/>
      <c r="C682" s="238"/>
    </row>
    <row r="683" spans="1:3">
      <c r="A683" s="236"/>
      <c r="B683" s="237"/>
      <c r="C683" s="238"/>
    </row>
    <row r="684" spans="1:3">
      <c r="A684" s="236"/>
      <c r="B684" s="237"/>
      <c r="C684" s="238"/>
    </row>
    <row r="685" spans="1:3">
      <c r="A685" s="236"/>
      <c r="B685" s="237"/>
      <c r="C685" s="238"/>
    </row>
    <row r="686" spans="1:3">
      <c r="A686" s="236"/>
      <c r="B686" s="237"/>
      <c r="C686" s="238"/>
    </row>
    <row r="687" spans="1:3">
      <c r="A687" s="236"/>
      <c r="B687" s="237"/>
      <c r="C687" s="238"/>
    </row>
    <row r="688" spans="1:3">
      <c r="A688" s="236"/>
      <c r="B688" s="237"/>
      <c r="C688" s="238"/>
    </row>
    <row r="689" spans="1:3">
      <c r="A689" s="236"/>
      <c r="B689" s="237"/>
      <c r="C689" s="238"/>
    </row>
    <row r="690" spans="1:3">
      <c r="A690" s="236"/>
      <c r="B690" s="237"/>
      <c r="C690" s="238"/>
    </row>
    <row r="691" spans="1:3">
      <c r="A691" s="236"/>
      <c r="B691" s="237"/>
      <c r="C691" s="238"/>
    </row>
    <row r="692" spans="1:3">
      <c r="A692" s="236"/>
      <c r="B692" s="237"/>
      <c r="C692" s="238"/>
    </row>
    <row r="693" spans="1:3">
      <c r="A693" s="236"/>
      <c r="B693" s="237"/>
      <c r="C693" s="238"/>
    </row>
    <row r="694" spans="1:3">
      <c r="A694" s="236"/>
      <c r="B694" s="237"/>
      <c r="C694" s="238"/>
    </row>
    <row r="695" spans="1:3">
      <c r="A695" s="236"/>
      <c r="B695" s="237"/>
      <c r="C695" s="238"/>
    </row>
    <row r="696" spans="1:3">
      <c r="A696" s="236"/>
      <c r="B696" s="237"/>
      <c r="C696" s="238"/>
    </row>
    <row r="697" spans="1:3">
      <c r="A697" s="236"/>
      <c r="B697" s="237"/>
      <c r="C697" s="238"/>
    </row>
    <row r="698" spans="1:3">
      <c r="A698" s="236"/>
      <c r="B698" s="237"/>
      <c r="C698" s="238"/>
    </row>
    <row r="699" spans="1:3">
      <c r="A699" s="236"/>
      <c r="B699" s="237"/>
      <c r="C699" s="238"/>
    </row>
    <row r="700" spans="1:3">
      <c r="A700" s="236"/>
      <c r="B700" s="237"/>
      <c r="C700" s="238"/>
    </row>
    <row r="701" spans="1:3">
      <c r="A701" s="236"/>
      <c r="B701" s="237"/>
      <c r="C701" s="238"/>
    </row>
    <row r="702" spans="1:3">
      <c r="A702" s="236"/>
      <c r="B702" s="237"/>
      <c r="C702" s="238"/>
    </row>
    <row r="703" spans="1:3">
      <c r="A703" s="236"/>
      <c r="B703" s="237"/>
      <c r="C703" s="238"/>
    </row>
    <row r="704" spans="1:3">
      <c r="A704" s="236"/>
      <c r="B704" s="237"/>
      <c r="C704" s="238"/>
    </row>
    <row r="705" spans="1:3">
      <c r="A705" s="236"/>
      <c r="B705" s="237"/>
      <c r="C705" s="238"/>
    </row>
    <row r="706" spans="1:3">
      <c r="A706" s="236"/>
      <c r="B706" s="237"/>
      <c r="C706" s="238"/>
    </row>
    <row r="707" spans="1:3">
      <c r="A707" s="236"/>
      <c r="B707" s="237"/>
      <c r="C707" s="238"/>
    </row>
    <row r="708" spans="1:3">
      <c r="A708" s="236"/>
      <c r="B708" s="237"/>
      <c r="C708" s="238"/>
    </row>
    <row r="709" spans="1:3">
      <c r="A709" s="236"/>
      <c r="B709" s="237"/>
      <c r="C709" s="238"/>
    </row>
    <row r="710" spans="1:3">
      <c r="A710" s="236"/>
      <c r="B710" s="237"/>
      <c r="C710" s="238"/>
    </row>
    <row r="711" spans="1:3">
      <c r="A711" s="236"/>
      <c r="B711" s="237"/>
      <c r="C711" s="238"/>
    </row>
    <row r="712" spans="1:3">
      <c r="A712" s="236"/>
      <c r="B712" s="237"/>
      <c r="C712" s="238"/>
    </row>
    <row r="713" spans="1:3">
      <c r="A713" s="236"/>
      <c r="B713" s="237"/>
      <c r="C713" s="238"/>
    </row>
    <row r="714" spans="1:3">
      <c r="A714" s="236"/>
      <c r="B714" s="237"/>
      <c r="C714" s="238"/>
    </row>
    <row r="715" spans="1:3">
      <c r="A715" s="236"/>
      <c r="B715" s="237"/>
      <c r="C715" s="238"/>
    </row>
    <row r="716" spans="1:3">
      <c r="A716" s="236"/>
      <c r="B716" s="237"/>
      <c r="C716" s="238"/>
    </row>
    <row r="717" spans="1:3">
      <c r="A717" s="236"/>
      <c r="B717" s="237"/>
      <c r="C717" s="238"/>
    </row>
    <row r="718" spans="1:3">
      <c r="A718" s="236"/>
      <c r="B718" s="237"/>
      <c r="C718" s="238"/>
    </row>
    <row r="719" spans="1:3">
      <c r="A719" s="236"/>
      <c r="B719" s="237"/>
      <c r="C719" s="238"/>
    </row>
    <row r="720" spans="1:3">
      <c r="A720" s="236"/>
      <c r="B720" s="237"/>
      <c r="C720" s="238"/>
    </row>
    <row r="721" spans="1:3">
      <c r="A721" s="236"/>
      <c r="B721" s="237"/>
      <c r="C721" s="238"/>
    </row>
    <row r="722" spans="1:3">
      <c r="A722" s="236"/>
      <c r="B722" s="237"/>
      <c r="C722" s="238"/>
    </row>
    <row r="723" spans="1:3">
      <c r="A723" s="236"/>
      <c r="B723" s="237"/>
      <c r="C723" s="238"/>
    </row>
    <row r="724" spans="1:3">
      <c r="A724" s="236"/>
      <c r="B724" s="237"/>
      <c r="C724" s="238"/>
    </row>
    <row r="725" spans="1:3">
      <c r="A725" s="236"/>
      <c r="B725" s="237"/>
      <c r="C725" s="238"/>
    </row>
    <row r="726" spans="1:3">
      <c r="A726" s="236"/>
      <c r="B726" s="237"/>
      <c r="C726" s="238"/>
    </row>
    <row r="727" spans="1:3">
      <c r="A727" s="236"/>
      <c r="B727" s="237"/>
      <c r="C727" s="238"/>
    </row>
    <row r="728" spans="1:3">
      <c r="A728" s="236"/>
      <c r="B728" s="237"/>
      <c r="C728" s="238"/>
    </row>
    <row r="729" spans="1:3">
      <c r="A729" s="236"/>
      <c r="B729" s="237"/>
      <c r="C729" s="238"/>
    </row>
    <row r="730" spans="1:3">
      <c r="A730" s="236"/>
      <c r="B730" s="237"/>
      <c r="C730" s="238"/>
    </row>
    <row r="731" spans="1:3">
      <c r="A731" s="236"/>
      <c r="B731" s="237"/>
      <c r="C731" s="238"/>
    </row>
    <row r="732" spans="1:3">
      <c r="A732" s="236"/>
      <c r="B732" s="237"/>
      <c r="C732" s="238"/>
    </row>
    <row r="733" spans="1:3">
      <c r="A733" s="236"/>
      <c r="B733" s="237"/>
      <c r="C733" s="238"/>
    </row>
    <row r="734" spans="1:3">
      <c r="A734" s="236"/>
      <c r="B734" s="237"/>
      <c r="C734" s="238"/>
    </row>
    <row r="735" spans="1:3">
      <c r="A735" s="236"/>
      <c r="B735" s="237"/>
      <c r="C735" s="238"/>
    </row>
    <row r="736" spans="1:3">
      <c r="A736" s="236"/>
      <c r="B736" s="237"/>
      <c r="C736" s="238"/>
    </row>
    <row r="737" spans="1:3">
      <c r="A737" s="236"/>
      <c r="B737" s="237"/>
      <c r="C737" s="238"/>
    </row>
    <row r="738" spans="1:3">
      <c r="A738" s="236"/>
      <c r="B738" s="237"/>
      <c r="C738" s="238"/>
    </row>
    <row r="739" spans="1:3">
      <c r="A739" s="236"/>
      <c r="B739" s="237"/>
      <c r="C739" s="238"/>
    </row>
    <row r="740" spans="1:3">
      <c r="A740" s="236"/>
      <c r="B740" s="237"/>
      <c r="C740" s="238"/>
    </row>
    <row r="741" spans="1:3">
      <c r="A741" s="236"/>
      <c r="B741" s="237"/>
      <c r="C741" s="238"/>
    </row>
    <row r="742" spans="1:3">
      <c r="A742" s="236"/>
      <c r="B742" s="237"/>
      <c r="C742" s="238"/>
    </row>
    <row r="743" spans="1:3">
      <c r="A743" s="236"/>
      <c r="B743" s="237"/>
      <c r="C743" s="238"/>
    </row>
    <row r="744" spans="1:3">
      <c r="A744" s="236"/>
      <c r="B744" s="237"/>
      <c r="C744" s="238"/>
    </row>
    <row r="745" spans="1:3">
      <c r="A745" s="236"/>
      <c r="B745" s="237"/>
      <c r="C745" s="238"/>
    </row>
    <row r="746" spans="1:3">
      <c r="A746" s="236"/>
      <c r="B746" s="237"/>
      <c r="C746" s="238"/>
    </row>
    <row r="747" spans="1:3">
      <c r="A747" s="236"/>
      <c r="B747" s="237"/>
      <c r="C747" s="238"/>
    </row>
    <row r="748" spans="1:3">
      <c r="A748" s="236"/>
      <c r="B748" s="237"/>
      <c r="C748" s="238"/>
    </row>
    <row r="749" spans="1:3">
      <c r="A749" s="236"/>
      <c r="B749" s="237"/>
      <c r="C749" s="238"/>
    </row>
    <row r="750" spans="1:3">
      <c r="A750" s="236"/>
      <c r="B750" s="237"/>
      <c r="C750" s="238"/>
    </row>
    <row r="751" spans="1:3">
      <c r="A751" s="236"/>
      <c r="B751" s="237"/>
      <c r="C751" s="238"/>
    </row>
    <row r="752" spans="1:3">
      <c r="A752" s="236"/>
      <c r="B752" s="237"/>
      <c r="C752" s="238"/>
    </row>
    <row r="753" spans="1:3">
      <c r="A753" s="236"/>
      <c r="B753" s="237"/>
      <c r="C753" s="238"/>
    </row>
    <row r="754" spans="1:3">
      <c r="A754" s="236"/>
      <c r="B754" s="237"/>
      <c r="C754" s="238"/>
    </row>
    <row r="755" spans="1:3">
      <c r="A755" s="236"/>
      <c r="B755" s="237"/>
      <c r="C755" s="238"/>
    </row>
    <row r="756" spans="1:3">
      <c r="A756" s="236"/>
      <c r="B756" s="237"/>
      <c r="C756" s="238"/>
    </row>
    <row r="757" spans="1:3">
      <c r="A757" s="236"/>
      <c r="B757" s="237"/>
      <c r="C757" s="238"/>
    </row>
    <row r="758" spans="1:3">
      <c r="A758" s="236"/>
      <c r="B758" s="237"/>
      <c r="C758" s="238"/>
    </row>
    <row r="759" spans="1:3">
      <c r="A759" s="236"/>
      <c r="B759" s="237"/>
      <c r="C759" s="238"/>
    </row>
    <row r="760" spans="1:3">
      <c r="A760" s="236"/>
      <c r="B760" s="237"/>
      <c r="C760" s="238"/>
    </row>
    <row r="761" spans="1:3">
      <c r="A761" s="236"/>
      <c r="B761" s="237"/>
      <c r="C761" s="238"/>
    </row>
    <row r="762" spans="1:3">
      <c r="A762" s="236"/>
      <c r="B762" s="237"/>
      <c r="C762" s="238"/>
    </row>
    <row r="763" spans="1:3">
      <c r="A763" s="236"/>
      <c r="B763" s="237"/>
      <c r="C763" s="238"/>
    </row>
    <row r="764" spans="1:3">
      <c r="A764" s="236"/>
      <c r="B764" s="237"/>
      <c r="C764" s="238"/>
    </row>
    <row r="765" spans="1:3">
      <c r="A765" s="236"/>
      <c r="B765" s="237"/>
      <c r="C765" s="238"/>
    </row>
    <row r="766" spans="1:3">
      <c r="A766" s="236"/>
      <c r="B766" s="237"/>
      <c r="C766" s="238"/>
    </row>
    <row r="767" spans="1:3">
      <c r="A767" s="236"/>
      <c r="B767" s="237"/>
      <c r="C767" s="238"/>
    </row>
    <row r="768" spans="1:3">
      <c r="A768" s="236"/>
      <c r="B768" s="237"/>
      <c r="C768" s="238"/>
    </row>
    <row r="769" spans="1:3">
      <c r="A769" s="236"/>
      <c r="B769" s="237"/>
      <c r="C769" s="238"/>
    </row>
    <row r="770" spans="1:3">
      <c r="A770" s="236"/>
      <c r="B770" s="237"/>
      <c r="C770" s="238"/>
    </row>
    <row r="771" spans="1:3">
      <c r="A771" s="236"/>
      <c r="B771" s="237"/>
      <c r="C771" s="238"/>
    </row>
    <row r="772" spans="1:3">
      <c r="A772" s="236"/>
      <c r="B772" s="237"/>
      <c r="C772" s="238"/>
    </row>
    <row r="773" spans="1:3">
      <c r="A773" s="236"/>
      <c r="B773" s="237"/>
      <c r="C773" s="238"/>
    </row>
    <row r="774" spans="1:3">
      <c r="A774" s="236"/>
      <c r="B774" s="237"/>
      <c r="C774" s="238"/>
    </row>
    <row r="775" spans="1:3">
      <c r="A775" s="236"/>
      <c r="B775" s="237"/>
      <c r="C775" s="238"/>
    </row>
    <row r="776" spans="1:3">
      <c r="A776" s="236"/>
      <c r="B776" s="237"/>
      <c r="C776" s="238"/>
    </row>
    <row r="777" spans="1:3">
      <c r="A777" s="236"/>
      <c r="B777" s="237"/>
      <c r="C777" s="238"/>
    </row>
    <row r="778" spans="1:3">
      <c r="A778" s="236"/>
      <c r="B778" s="237"/>
      <c r="C778" s="238"/>
    </row>
    <row r="779" spans="1:3">
      <c r="A779" s="236"/>
      <c r="B779" s="237"/>
      <c r="C779" s="238"/>
    </row>
    <row r="780" spans="1:3">
      <c r="A780" s="236"/>
      <c r="B780" s="237"/>
      <c r="C780" s="238"/>
    </row>
    <row r="781" spans="1:3">
      <c r="A781" s="236"/>
      <c r="B781" s="237"/>
      <c r="C781" s="238"/>
    </row>
    <row r="782" spans="1:3">
      <c r="A782" s="236"/>
      <c r="B782" s="237"/>
      <c r="C782" s="238"/>
    </row>
    <row r="783" spans="1:3">
      <c r="A783" s="236"/>
      <c r="B783" s="237"/>
      <c r="C783" s="238"/>
    </row>
    <row r="784" spans="1:3">
      <c r="A784" s="236"/>
      <c r="B784" s="237"/>
      <c r="C784" s="238"/>
    </row>
    <row r="785" spans="1:3">
      <c r="A785" s="236"/>
      <c r="B785" s="237"/>
      <c r="C785" s="238"/>
    </row>
    <row r="786" spans="1:3">
      <c r="A786" s="236"/>
      <c r="B786" s="237"/>
      <c r="C786" s="238"/>
    </row>
    <row r="787" spans="1:3">
      <c r="A787" s="236"/>
      <c r="B787" s="237"/>
      <c r="C787" s="238"/>
    </row>
    <row r="788" spans="1:3">
      <c r="A788" s="236"/>
      <c r="B788" s="237"/>
      <c r="C788" s="238"/>
    </row>
    <row r="789" spans="1:3">
      <c r="A789" s="236"/>
      <c r="B789" s="237"/>
      <c r="C789" s="238"/>
    </row>
    <row r="790" spans="1:3">
      <c r="A790" s="236"/>
      <c r="B790" s="237"/>
      <c r="C790" s="238"/>
    </row>
    <row r="791" spans="1:3">
      <c r="A791" s="236"/>
      <c r="B791" s="237"/>
      <c r="C791" s="238"/>
    </row>
    <row r="792" spans="1:3">
      <c r="A792" s="236"/>
      <c r="B792" s="237"/>
      <c r="C792" s="238"/>
    </row>
    <row r="793" spans="1:3">
      <c r="A793" s="236"/>
      <c r="B793" s="237"/>
      <c r="C793" s="238"/>
    </row>
    <row r="794" spans="1:3">
      <c r="A794" s="236"/>
      <c r="B794" s="237"/>
      <c r="C794" s="238"/>
    </row>
    <row r="795" spans="1:3">
      <c r="A795" s="236"/>
      <c r="B795" s="237"/>
      <c r="C795" s="238"/>
    </row>
    <row r="796" spans="1:3">
      <c r="A796" s="236"/>
      <c r="B796" s="237"/>
      <c r="C796" s="238"/>
    </row>
    <row r="797" spans="1:3">
      <c r="A797" s="236"/>
      <c r="B797" s="237"/>
      <c r="C797" s="238"/>
    </row>
    <row r="798" spans="1:3">
      <c r="A798" s="236"/>
      <c r="B798" s="237"/>
      <c r="C798" s="238"/>
    </row>
    <row r="799" spans="1:3">
      <c r="A799" s="236"/>
      <c r="B799" s="237"/>
      <c r="C799" s="238"/>
    </row>
    <row r="800" spans="1:3">
      <c r="A800" s="236"/>
      <c r="B800" s="237"/>
      <c r="C800" s="238"/>
    </row>
    <row r="801" spans="1:3">
      <c r="A801" s="236"/>
      <c r="B801" s="237"/>
      <c r="C801" s="238"/>
    </row>
    <row r="802" spans="1:3">
      <c r="A802" s="236"/>
      <c r="B802" s="237"/>
      <c r="C802" s="238"/>
    </row>
    <row r="803" spans="1:3">
      <c r="A803" s="236"/>
      <c r="B803" s="237"/>
      <c r="C803" s="238"/>
    </row>
    <row r="804" spans="1:3">
      <c r="A804" s="236"/>
      <c r="B804" s="237"/>
      <c r="C804" s="238"/>
    </row>
    <row r="805" spans="1:3">
      <c r="A805" s="236"/>
      <c r="B805" s="237"/>
      <c r="C805" s="238"/>
    </row>
    <row r="806" spans="1:3">
      <c r="A806" s="236"/>
      <c r="B806" s="237"/>
      <c r="C806" s="238"/>
    </row>
    <row r="807" spans="1:3">
      <c r="A807" s="236"/>
      <c r="B807" s="237"/>
      <c r="C807" s="238"/>
    </row>
    <row r="808" spans="1:3">
      <c r="A808" s="236"/>
      <c r="B808" s="237"/>
      <c r="C808" s="238"/>
    </row>
    <row r="809" spans="1:3">
      <c r="A809" s="236"/>
      <c r="B809" s="237"/>
      <c r="C809" s="238"/>
    </row>
    <row r="810" spans="1:3">
      <c r="A810" s="236"/>
      <c r="B810" s="237"/>
      <c r="C810" s="238"/>
    </row>
    <row r="811" spans="1:3">
      <c r="A811" s="236"/>
      <c r="B811" s="237"/>
      <c r="C811" s="238"/>
    </row>
    <row r="812" spans="1:3">
      <c r="A812" s="236"/>
      <c r="B812" s="237"/>
      <c r="C812" s="238"/>
    </row>
    <row r="813" spans="1:3">
      <c r="A813" s="236"/>
      <c r="B813" s="237"/>
      <c r="C813" s="238"/>
    </row>
    <row r="814" spans="1:3">
      <c r="A814" s="236"/>
      <c r="B814" s="237"/>
      <c r="C814" s="238"/>
    </row>
    <row r="815" spans="1:3">
      <c r="A815" s="236"/>
      <c r="B815" s="237"/>
      <c r="C815" s="238"/>
    </row>
    <row r="816" spans="1:3">
      <c r="A816" s="236"/>
      <c r="B816" s="237"/>
      <c r="C816" s="238"/>
    </row>
    <row r="817" spans="1:3">
      <c r="A817" s="236"/>
      <c r="B817" s="237"/>
      <c r="C817" s="238"/>
    </row>
    <row r="818" spans="1:3">
      <c r="A818" s="236"/>
      <c r="B818" s="237"/>
      <c r="C818" s="238"/>
    </row>
    <row r="819" spans="1:3">
      <c r="A819" s="236"/>
      <c r="B819" s="237"/>
      <c r="C819" s="238"/>
    </row>
    <row r="820" spans="1:3">
      <c r="A820" s="236"/>
      <c r="B820" s="237"/>
      <c r="C820" s="238"/>
    </row>
    <row r="821" spans="1:3">
      <c r="A821" s="236"/>
      <c r="B821" s="237"/>
      <c r="C821" s="238"/>
    </row>
    <row r="822" spans="1:3">
      <c r="A822" s="236"/>
      <c r="B822" s="237"/>
      <c r="C822" s="238"/>
    </row>
    <row r="823" spans="1:3">
      <c r="A823" s="236"/>
      <c r="B823" s="237"/>
      <c r="C823" s="238"/>
    </row>
    <row r="824" spans="1:3">
      <c r="A824" s="236"/>
      <c r="B824" s="237"/>
      <c r="C824" s="238"/>
    </row>
    <row r="825" spans="1:3">
      <c r="A825" s="236"/>
      <c r="B825" s="237"/>
      <c r="C825" s="238"/>
    </row>
    <row r="826" spans="1:3">
      <c r="A826" s="236"/>
      <c r="B826" s="237"/>
      <c r="C826" s="238"/>
    </row>
    <row r="827" spans="1:3">
      <c r="A827" s="236"/>
      <c r="B827" s="237"/>
      <c r="C827" s="238"/>
    </row>
    <row r="828" spans="1:3">
      <c r="A828" s="236"/>
      <c r="B828" s="237"/>
      <c r="C828" s="238"/>
    </row>
    <row r="829" spans="1:3">
      <c r="A829" s="236"/>
      <c r="B829" s="237"/>
      <c r="C829" s="238"/>
    </row>
    <row r="830" spans="1:3">
      <c r="A830" s="236"/>
      <c r="B830" s="237"/>
      <c r="C830" s="238"/>
    </row>
    <row r="831" spans="1:3">
      <c r="A831" s="236"/>
      <c r="B831" s="237"/>
      <c r="C831" s="238"/>
    </row>
    <row r="832" spans="1:3">
      <c r="A832" s="236"/>
      <c r="B832" s="237"/>
      <c r="C832" s="238"/>
    </row>
    <row r="833" spans="1:3">
      <c r="A833" s="236"/>
      <c r="B833" s="237"/>
      <c r="C833" s="238"/>
    </row>
    <row r="834" spans="1:3">
      <c r="A834" s="236"/>
      <c r="B834" s="237"/>
      <c r="C834" s="238"/>
    </row>
    <row r="835" spans="1:3">
      <c r="A835" s="236"/>
      <c r="B835" s="237"/>
      <c r="C835" s="238"/>
    </row>
    <row r="836" spans="1:3">
      <c r="A836" s="236"/>
      <c r="B836" s="237"/>
      <c r="C836" s="238"/>
    </row>
    <row r="837" spans="1:3">
      <c r="A837" s="236"/>
      <c r="B837" s="237"/>
      <c r="C837" s="238"/>
    </row>
    <row r="838" spans="1:3">
      <c r="A838" s="236"/>
      <c r="B838" s="237"/>
      <c r="C838" s="238"/>
    </row>
    <row r="839" spans="1:3">
      <c r="A839" s="236"/>
      <c r="B839" s="237"/>
      <c r="C839" s="238"/>
    </row>
    <row r="840" spans="1:3">
      <c r="A840" s="236"/>
      <c r="B840" s="237"/>
      <c r="C840" s="238"/>
    </row>
    <row r="841" spans="1:3">
      <c r="A841" s="236"/>
      <c r="B841" s="237"/>
      <c r="C841" s="238"/>
    </row>
    <row r="842" spans="1:3">
      <c r="A842" s="236"/>
      <c r="B842" s="237"/>
      <c r="C842" s="238"/>
    </row>
    <row r="843" spans="1:3">
      <c r="A843" s="236"/>
      <c r="B843" s="237"/>
      <c r="C843" s="238"/>
    </row>
    <row r="844" spans="1:3">
      <c r="A844" s="236"/>
      <c r="B844" s="237"/>
      <c r="C844" s="238"/>
    </row>
    <row r="845" spans="1:3">
      <c r="A845" s="236"/>
      <c r="B845" s="237"/>
      <c r="C845" s="238"/>
    </row>
    <row r="846" spans="1:3">
      <c r="A846" s="236"/>
      <c r="B846" s="237"/>
      <c r="C846" s="238"/>
    </row>
    <row r="847" spans="1:3">
      <c r="A847" s="236"/>
      <c r="B847" s="237"/>
      <c r="C847" s="238"/>
    </row>
    <row r="848" spans="1:3">
      <c r="A848" s="236"/>
      <c r="B848" s="237"/>
      <c r="C848" s="238"/>
    </row>
    <row r="849" spans="1:3">
      <c r="A849" s="236"/>
      <c r="B849" s="237"/>
      <c r="C849" s="238"/>
    </row>
    <row r="850" spans="1:3">
      <c r="A850" s="236"/>
      <c r="B850" s="237"/>
      <c r="C850" s="238"/>
    </row>
    <row r="851" spans="1:3">
      <c r="A851" s="236"/>
      <c r="B851" s="237"/>
      <c r="C851" s="238"/>
    </row>
    <row r="852" spans="1:3">
      <c r="A852" s="236"/>
      <c r="B852" s="237"/>
      <c r="C852" s="238"/>
    </row>
    <row r="853" spans="1:3">
      <c r="A853" s="236"/>
      <c r="B853" s="237"/>
      <c r="C853" s="238"/>
    </row>
    <row r="854" spans="1:3">
      <c r="A854" s="236"/>
      <c r="B854" s="237"/>
      <c r="C854" s="238"/>
    </row>
    <row r="855" spans="1:3">
      <c r="A855" s="236"/>
      <c r="B855" s="237"/>
      <c r="C855" s="238"/>
    </row>
    <row r="856" spans="1:3">
      <c r="A856" s="236"/>
      <c r="B856" s="237"/>
      <c r="C856" s="238"/>
    </row>
    <row r="857" spans="1:3">
      <c r="A857" s="236"/>
      <c r="B857" s="237"/>
      <c r="C857" s="238"/>
    </row>
    <row r="858" spans="1:3">
      <c r="A858" s="236"/>
      <c r="B858" s="237"/>
      <c r="C858" s="238"/>
    </row>
    <row r="859" spans="1:3">
      <c r="A859" s="236"/>
      <c r="B859" s="237"/>
      <c r="C859" s="238"/>
    </row>
    <row r="860" spans="1:3">
      <c r="A860" s="236"/>
      <c r="B860" s="237"/>
      <c r="C860" s="238"/>
    </row>
    <row r="861" spans="1:3">
      <c r="A861" s="236"/>
      <c r="B861" s="237"/>
      <c r="C861" s="238"/>
    </row>
    <row r="862" spans="1:3">
      <c r="A862" s="236"/>
      <c r="B862" s="237"/>
      <c r="C862" s="238"/>
    </row>
    <row r="863" spans="1:3">
      <c r="A863" s="236"/>
      <c r="B863" s="237"/>
      <c r="C863" s="238"/>
    </row>
    <row r="864" spans="1:3">
      <c r="A864" s="236"/>
      <c r="B864" s="237"/>
      <c r="C864" s="238"/>
    </row>
    <row r="865" spans="1:3">
      <c r="A865" s="236"/>
      <c r="B865" s="237"/>
      <c r="C865" s="238"/>
    </row>
    <row r="866" spans="1:3">
      <c r="A866" s="236"/>
      <c r="B866" s="237"/>
      <c r="C866" s="238"/>
    </row>
    <row r="867" spans="1:3">
      <c r="A867" s="236"/>
      <c r="B867" s="237"/>
      <c r="C867" s="238"/>
    </row>
    <row r="868" spans="1:3">
      <c r="A868" s="236"/>
      <c r="B868" s="237"/>
      <c r="C868" s="238"/>
    </row>
    <row r="869" spans="1:3">
      <c r="A869" s="236"/>
      <c r="B869" s="237"/>
      <c r="C869" s="238"/>
    </row>
    <row r="870" spans="1:3">
      <c r="A870" s="236"/>
      <c r="B870" s="237"/>
      <c r="C870" s="238"/>
    </row>
    <row r="871" spans="1:3">
      <c r="A871" s="236"/>
      <c r="B871" s="237"/>
      <c r="C871" s="238"/>
    </row>
    <row r="872" spans="1:3">
      <c r="A872" s="236"/>
      <c r="B872" s="237"/>
      <c r="C872" s="238"/>
    </row>
    <row r="873" spans="1:3">
      <c r="A873" s="236"/>
      <c r="B873" s="237"/>
      <c r="C873" s="238"/>
    </row>
    <row r="874" spans="1:3">
      <c r="A874" s="236"/>
      <c r="B874" s="237"/>
      <c r="C874" s="238"/>
    </row>
    <row r="875" spans="1:3">
      <c r="A875" s="236"/>
      <c r="B875" s="237"/>
      <c r="C875" s="238"/>
    </row>
    <row r="876" spans="1:3">
      <c r="A876" s="236"/>
      <c r="B876" s="237"/>
      <c r="C876" s="238"/>
    </row>
    <row r="877" spans="1:3">
      <c r="A877" s="236"/>
      <c r="B877" s="237"/>
      <c r="C877" s="238"/>
    </row>
    <row r="878" spans="1:3">
      <c r="A878" s="236"/>
      <c r="B878" s="237"/>
      <c r="C878" s="238"/>
    </row>
    <row r="879" spans="1:3">
      <c r="A879" s="236"/>
      <c r="B879" s="237"/>
      <c r="C879" s="238"/>
    </row>
    <row r="880" spans="1:3">
      <c r="A880" s="236"/>
      <c r="B880" s="237"/>
      <c r="C880" s="238"/>
    </row>
    <row r="881" spans="1:3">
      <c r="A881" s="236"/>
      <c r="B881" s="237"/>
      <c r="C881" s="238"/>
    </row>
    <row r="882" spans="1:3">
      <c r="A882" s="236"/>
      <c r="B882" s="237"/>
      <c r="C882" s="238"/>
    </row>
    <row r="883" spans="1:3">
      <c r="A883" s="236"/>
      <c r="B883" s="237"/>
      <c r="C883" s="238"/>
    </row>
    <row r="884" spans="1:3">
      <c r="A884" s="236"/>
      <c r="B884" s="237"/>
      <c r="C884" s="238"/>
    </row>
    <row r="885" spans="1:3">
      <c r="A885" s="236"/>
      <c r="B885" s="237"/>
      <c r="C885" s="238"/>
    </row>
    <row r="886" spans="1:3">
      <c r="A886" s="236"/>
      <c r="B886" s="237"/>
      <c r="C886" s="238"/>
    </row>
    <row r="887" spans="1:3">
      <c r="A887" s="236"/>
      <c r="B887" s="237"/>
      <c r="C887" s="238"/>
    </row>
    <row r="888" spans="1:3">
      <c r="A888" s="236"/>
      <c r="B888" s="237"/>
      <c r="C888" s="238"/>
    </row>
    <row r="889" spans="1:3">
      <c r="A889" s="236"/>
      <c r="B889" s="237"/>
      <c r="C889" s="238"/>
    </row>
    <row r="890" spans="1:3">
      <c r="A890" s="236"/>
      <c r="B890" s="237"/>
      <c r="C890" s="238"/>
    </row>
    <row r="891" spans="1:3">
      <c r="A891" s="236"/>
      <c r="B891" s="237"/>
      <c r="C891" s="238"/>
    </row>
    <row r="892" spans="1:3">
      <c r="A892" s="236"/>
      <c r="B892" s="237"/>
      <c r="C892" s="238"/>
    </row>
    <row r="893" spans="1:3">
      <c r="A893" s="236"/>
      <c r="B893" s="237"/>
      <c r="C893" s="238"/>
    </row>
    <row r="894" spans="1:3">
      <c r="A894" s="236"/>
      <c r="B894" s="237"/>
      <c r="C894" s="238"/>
    </row>
    <row r="895" spans="1:3">
      <c r="A895" s="236"/>
      <c r="B895" s="237"/>
      <c r="C895" s="238"/>
    </row>
    <row r="896" spans="1:3">
      <c r="A896" s="236"/>
      <c r="B896" s="237"/>
      <c r="C896" s="238"/>
    </row>
    <row r="897" spans="1:3">
      <c r="A897" s="236"/>
      <c r="B897" s="237"/>
      <c r="C897" s="238"/>
    </row>
    <row r="898" spans="1:3">
      <c r="A898" s="236"/>
      <c r="B898" s="237"/>
      <c r="C898" s="238"/>
    </row>
    <row r="899" spans="1:3">
      <c r="A899" s="236"/>
      <c r="B899" s="237"/>
      <c r="C899" s="238"/>
    </row>
    <row r="900" spans="1:3">
      <c r="A900" s="236"/>
      <c r="B900" s="237"/>
      <c r="C900" s="238"/>
    </row>
    <row r="901" spans="1:3">
      <c r="A901" s="236"/>
      <c r="B901" s="237"/>
      <c r="C901" s="238"/>
    </row>
    <row r="902" spans="1:3">
      <c r="A902" s="236"/>
      <c r="B902" s="237"/>
      <c r="C902" s="238"/>
    </row>
    <row r="903" spans="1:3">
      <c r="A903" s="236"/>
      <c r="B903" s="237"/>
      <c r="C903" s="238"/>
    </row>
    <row r="904" spans="1:3">
      <c r="A904" s="236"/>
      <c r="B904" s="237"/>
      <c r="C904" s="238"/>
    </row>
    <row r="905" spans="1:3">
      <c r="A905" s="236"/>
      <c r="B905" s="237"/>
      <c r="C905" s="238"/>
    </row>
    <row r="906" spans="1:3">
      <c r="A906" s="236"/>
      <c r="B906" s="237"/>
      <c r="C906" s="238"/>
    </row>
    <row r="907" spans="1:3">
      <c r="A907" s="236"/>
      <c r="B907" s="237"/>
      <c r="C907" s="238"/>
    </row>
    <row r="908" spans="1:3">
      <c r="A908" s="236"/>
      <c r="B908" s="237"/>
      <c r="C908" s="238"/>
    </row>
    <row r="909" spans="1:3">
      <c r="A909" s="236"/>
      <c r="B909" s="237"/>
      <c r="C909" s="238"/>
    </row>
    <row r="910" spans="1:3">
      <c r="A910" s="236"/>
      <c r="B910" s="237"/>
      <c r="C910" s="238"/>
    </row>
    <row r="911" spans="1:3">
      <c r="A911" s="236"/>
      <c r="B911" s="237"/>
      <c r="C911" s="238"/>
    </row>
    <row r="912" spans="1:3">
      <c r="A912" s="236"/>
      <c r="B912" s="237"/>
      <c r="C912" s="238"/>
    </row>
    <row r="913" spans="1:3">
      <c r="A913" s="236"/>
      <c r="B913" s="237"/>
      <c r="C913" s="238"/>
    </row>
    <row r="914" spans="1:3">
      <c r="A914" s="236"/>
      <c r="B914" s="237"/>
      <c r="C914" s="238"/>
    </row>
    <row r="915" spans="1:3">
      <c r="A915" s="236"/>
      <c r="B915" s="237"/>
      <c r="C915" s="238"/>
    </row>
    <row r="916" spans="1:3">
      <c r="A916" s="236"/>
      <c r="B916" s="237"/>
      <c r="C916" s="238"/>
    </row>
    <row r="917" spans="1:3">
      <c r="A917" s="236"/>
      <c r="B917" s="237"/>
      <c r="C917" s="238"/>
    </row>
    <row r="918" spans="1:3">
      <c r="A918" s="236"/>
      <c r="B918" s="237"/>
      <c r="C918" s="238"/>
    </row>
    <row r="919" spans="1:3">
      <c r="A919" s="236"/>
      <c r="B919" s="237"/>
      <c r="C919" s="238"/>
    </row>
    <row r="920" spans="1:3">
      <c r="A920" s="236"/>
      <c r="B920" s="237"/>
      <c r="C920" s="238"/>
    </row>
    <row r="921" spans="1:3">
      <c r="A921" s="236"/>
      <c r="B921" s="237"/>
      <c r="C921" s="238"/>
    </row>
    <row r="922" spans="1:3">
      <c r="A922" s="236"/>
      <c r="B922" s="237"/>
      <c r="C922" s="238"/>
    </row>
    <row r="923" spans="1:3">
      <c r="A923" s="236"/>
      <c r="B923" s="237"/>
      <c r="C923" s="238"/>
    </row>
    <row r="924" spans="1:3">
      <c r="A924" s="236"/>
      <c r="B924" s="237"/>
      <c r="C924" s="238"/>
    </row>
    <row r="925" spans="1:3">
      <c r="A925" s="236"/>
      <c r="B925" s="237"/>
      <c r="C925" s="238"/>
    </row>
    <row r="926" spans="1:3">
      <c r="A926" s="236"/>
      <c r="B926" s="237"/>
      <c r="C926" s="238"/>
    </row>
    <row r="927" spans="1:3">
      <c r="A927" s="236"/>
      <c r="B927" s="237"/>
      <c r="C927" s="238"/>
    </row>
    <row r="928" spans="1:3">
      <c r="A928" s="236"/>
      <c r="B928" s="237"/>
      <c r="C928" s="238"/>
    </row>
    <row r="929" spans="1:3">
      <c r="A929" s="236"/>
      <c r="B929" s="237"/>
      <c r="C929" s="238"/>
    </row>
    <row r="930" spans="1:3">
      <c r="A930" s="236"/>
      <c r="B930" s="237"/>
      <c r="C930" s="238"/>
    </row>
    <row r="931" spans="1:3">
      <c r="A931" s="236"/>
      <c r="B931" s="237"/>
      <c r="C931" s="238"/>
    </row>
    <row r="932" spans="1:3">
      <c r="A932" s="236"/>
      <c r="B932" s="237"/>
      <c r="C932" s="238"/>
    </row>
    <row r="933" spans="1:3">
      <c r="A933" s="236"/>
      <c r="B933" s="237"/>
      <c r="C933" s="238"/>
    </row>
    <row r="934" spans="1:3">
      <c r="A934" s="236"/>
      <c r="B934" s="237"/>
      <c r="C934" s="238"/>
    </row>
    <row r="935" spans="1:3">
      <c r="A935" s="236"/>
      <c r="B935" s="237"/>
      <c r="C935" s="238"/>
    </row>
    <row r="936" spans="1:3">
      <c r="A936" s="236"/>
      <c r="B936" s="237"/>
      <c r="C936" s="238"/>
    </row>
    <row r="937" spans="1:3">
      <c r="A937" s="236"/>
      <c r="B937" s="237"/>
      <c r="C937" s="238"/>
    </row>
    <row r="938" spans="1:3">
      <c r="A938" s="236"/>
      <c r="B938" s="237"/>
      <c r="C938" s="238"/>
    </row>
    <row r="939" spans="1:3">
      <c r="A939" s="236"/>
      <c r="B939" s="237"/>
      <c r="C939" s="238"/>
    </row>
    <row r="940" spans="1:3">
      <c r="A940" s="236"/>
      <c r="B940" s="237"/>
      <c r="C940" s="238"/>
    </row>
    <row r="941" spans="1:3">
      <c r="A941" s="236"/>
      <c r="B941" s="237"/>
      <c r="C941" s="238"/>
    </row>
    <row r="942" spans="1:3">
      <c r="A942" s="236"/>
      <c r="B942" s="237"/>
      <c r="C942" s="238"/>
    </row>
    <row r="943" spans="1:3">
      <c r="A943" s="236"/>
      <c r="B943" s="237"/>
      <c r="C943" s="238"/>
    </row>
    <row r="944" spans="1:3">
      <c r="A944" s="236"/>
      <c r="B944" s="237"/>
      <c r="C944" s="238"/>
    </row>
    <row r="945" spans="1:3">
      <c r="A945" s="236"/>
      <c r="B945" s="237"/>
      <c r="C945" s="238"/>
    </row>
    <row r="946" spans="1:3">
      <c r="A946" s="236"/>
      <c r="B946" s="237"/>
      <c r="C946" s="238"/>
    </row>
    <row r="947" spans="1:3">
      <c r="A947" s="236"/>
      <c r="B947" s="237"/>
      <c r="C947" s="238"/>
    </row>
    <row r="948" spans="1:3">
      <c r="A948" s="236"/>
      <c r="B948" s="237"/>
      <c r="C948" s="238"/>
    </row>
    <row r="949" spans="1:3">
      <c r="A949" s="236"/>
      <c r="B949" s="237"/>
      <c r="C949" s="238"/>
    </row>
    <row r="950" spans="1:3">
      <c r="A950" s="236"/>
      <c r="B950" s="237"/>
      <c r="C950" s="238"/>
    </row>
    <row r="951" spans="1:3">
      <c r="A951" s="236"/>
      <c r="B951" s="237"/>
      <c r="C951" s="238"/>
    </row>
    <row r="952" spans="1:3">
      <c r="A952" s="236"/>
      <c r="B952" s="237"/>
      <c r="C952" s="238"/>
    </row>
    <row r="953" spans="1:3">
      <c r="A953" s="236"/>
      <c r="B953" s="237"/>
      <c r="C953" s="238"/>
    </row>
    <row r="954" spans="1:3">
      <c r="A954" s="236"/>
      <c r="B954" s="237"/>
      <c r="C954" s="238"/>
    </row>
    <row r="955" spans="1:3">
      <c r="A955" s="236"/>
      <c r="B955" s="237"/>
      <c r="C955" s="238"/>
    </row>
    <row r="956" spans="1:3">
      <c r="A956" s="236"/>
      <c r="B956" s="237"/>
      <c r="C956" s="238"/>
    </row>
    <row r="957" spans="1:3">
      <c r="A957" s="236"/>
      <c r="B957" s="237"/>
      <c r="C957" s="238"/>
    </row>
    <row r="958" spans="1:3">
      <c r="A958" s="236"/>
      <c r="B958" s="237"/>
      <c r="C958" s="238"/>
    </row>
    <row r="959" spans="1:3">
      <c r="A959" s="236"/>
      <c r="B959" s="237"/>
      <c r="C959" s="238"/>
    </row>
    <row r="960" spans="1:3">
      <c r="A960" s="236"/>
      <c r="B960" s="237"/>
      <c r="C960" s="238"/>
    </row>
    <row r="961" spans="1:3">
      <c r="A961" s="236"/>
      <c r="B961" s="237"/>
      <c r="C961" s="238"/>
    </row>
    <row r="962" spans="1:3">
      <c r="A962" s="236"/>
      <c r="B962" s="237"/>
      <c r="C962" s="238"/>
    </row>
    <row r="963" spans="1:3">
      <c r="A963" s="236"/>
      <c r="B963" s="237"/>
      <c r="C963" s="238"/>
    </row>
    <row r="964" spans="1:3">
      <c r="A964" s="236"/>
      <c r="B964" s="237"/>
      <c r="C964" s="238"/>
    </row>
    <row r="965" spans="1:3">
      <c r="A965" s="236"/>
      <c r="B965" s="237"/>
      <c r="C965" s="238"/>
    </row>
    <row r="966" spans="1:3">
      <c r="A966" s="236"/>
      <c r="B966" s="237"/>
      <c r="C966" s="238"/>
    </row>
    <row r="967" spans="1:3">
      <c r="A967" s="236"/>
      <c r="B967" s="237"/>
      <c r="C967" s="238"/>
    </row>
    <row r="968" spans="1:3">
      <c r="A968" s="236"/>
      <c r="B968" s="237"/>
      <c r="C968" s="238"/>
    </row>
    <row r="969" spans="1:3">
      <c r="A969" s="236"/>
      <c r="B969" s="237"/>
      <c r="C969" s="238"/>
    </row>
    <row r="970" spans="1:3">
      <c r="A970" s="236"/>
      <c r="B970" s="237"/>
      <c r="C970" s="238"/>
    </row>
    <row r="971" spans="1:3">
      <c r="A971" s="236"/>
      <c r="B971" s="237"/>
      <c r="C971" s="238"/>
    </row>
    <row r="972" spans="1:3">
      <c r="A972" s="236"/>
      <c r="B972" s="237"/>
      <c r="C972" s="238"/>
    </row>
    <row r="973" spans="1:3">
      <c r="A973" s="236"/>
      <c r="B973" s="237"/>
      <c r="C973" s="238"/>
    </row>
    <row r="974" spans="1:3">
      <c r="A974" s="236"/>
      <c r="B974" s="237"/>
      <c r="C974" s="238"/>
    </row>
    <row r="975" spans="1:3">
      <c r="A975" s="236"/>
      <c r="B975" s="237"/>
      <c r="C975" s="238"/>
    </row>
    <row r="976" spans="1:3">
      <c r="A976" s="236"/>
      <c r="B976" s="237"/>
      <c r="C976" s="238"/>
    </row>
    <row r="977" spans="1:3">
      <c r="A977" s="236"/>
      <c r="B977" s="237"/>
      <c r="C977" s="238"/>
    </row>
    <row r="978" spans="1:3">
      <c r="A978" s="236"/>
      <c r="B978" s="237"/>
      <c r="C978" s="238"/>
    </row>
    <row r="979" spans="1:3">
      <c r="A979" s="236"/>
      <c r="B979" s="237"/>
      <c r="C979" s="238"/>
    </row>
    <row r="980" spans="1:3">
      <c r="A980" s="236"/>
      <c r="B980" s="237"/>
      <c r="C980" s="238"/>
    </row>
    <row r="981" spans="1:3">
      <c r="A981" s="236"/>
      <c r="B981" s="237"/>
      <c r="C981" s="238"/>
    </row>
    <row r="982" spans="1:3">
      <c r="A982" s="236"/>
      <c r="B982" s="237"/>
      <c r="C982" s="238"/>
    </row>
    <row r="983" spans="1:3">
      <c r="A983" s="236"/>
      <c r="B983" s="237"/>
      <c r="C983" s="238"/>
    </row>
    <row r="984" spans="1:3">
      <c r="A984" s="236"/>
      <c r="B984" s="237"/>
      <c r="C984" s="238"/>
    </row>
    <row r="985" spans="1:3">
      <c r="A985" s="236"/>
      <c r="B985" s="237"/>
      <c r="C985" s="238"/>
    </row>
    <row r="986" spans="1:3">
      <c r="A986" s="236"/>
      <c r="B986" s="237"/>
      <c r="C986" s="238"/>
    </row>
    <row r="987" spans="1:3">
      <c r="A987" s="236"/>
      <c r="B987" s="237"/>
      <c r="C987" s="238"/>
    </row>
    <row r="988" spans="1:3">
      <c r="A988" s="236"/>
      <c r="B988" s="237"/>
      <c r="C988" s="238"/>
    </row>
    <row r="989" spans="1:3">
      <c r="A989" s="236"/>
      <c r="B989" s="237"/>
      <c r="C989" s="238"/>
    </row>
    <row r="990" spans="1:3">
      <c r="A990" s="236"/>
      <c r="B990" s="237"/>
      <c r="C990" s="238"/>
    </row>
    <row r="991" spans="1:3">
      <c r="A991" s="236"/>
      <c r="B991" s="237"/>
      <c r="C991" s="238"/>
    </row>
    <row r="992" spans="1:3">
      <c r="A992" s="236"/>
      <c r="B992" s="237"/>
      <c r="C992" s="238"/>
    </row>
    <row r="993" spans="1:3">
      <c r="A993" s="236"/>
      <c r="B993" s="237"/>
      <c r="C993" s="238"/>
    </row>
    <row r="994" spans="1:3">
      <c r="A994" s="236"/>
      <c r="B994" s="237"/>
      <c r="C994" s="238"/>
    </row>
    <row r="995" spans="1:3">
      <c r="A995" s="236"/>
      <c r="B995" s="237"/>
      <c r="C995" s="238"/>
    </row>
    <row r="996" spans="1:3">
      <c r="A996" s="236"/>
      <c r="B996" s="237"/>
      <c r="C996" s="238"/>
    </row>
    <row r="997" spans="1:3">
      <c r="A997" s="236"/>
      <c r="B997" s="237"/>
      <c r="C997" s="238"/>
    </row>
    <row r="998" spans="1:3">
      <c r="A998" s="236"/>
      <c r="B998" s="237"/>
      <c r="C998" s="238"/>
    </row>
    <row r="999" spans="1:3">
      <c r="A999" s="236"/>
      <c r="B999" s="237"/>
      <c r="C999" s="238"/>
    </row>
  </sheetData>
  <mergeCells count="5">
    <mergeCell ref="G1:Q1"/>
    <mergeCell ref="F2:F12"/>
    <mergeCell ref="T2:AC2"/>
    <mergeCell ref="AG2:AJ2"/>
    <mergeCell ref="AL2:AO2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20F1-E970-4AE5-A5BC-2A06B8E83790}">
  <dimension ref="A1:T83"/>
  <sheetViews>
    <sheetView zoomScale="60" zoomScaleNormal="60" workbookViewId="0">
      <selection activeCell="F13" sqref="F13"/>
    </sheetView>
  </sheetViews>
  <sheetFormatPr defaultRowHeight="14.25"/>
  <cols>
    <col min="1" max="1" width="10.625" bestFit="1" customWidth="1"/>
    <col min="2" max="2" width="11.75" bestFit="1" customWidth="1"/>
    <col min="3" max="3" width="18.25" bestFit="1" customWidth="1"/>
    <col min="4" max="4" width="14" bestFit="1" customWidth="1"/>
    <col min="5" max="5" width="14" customWidth="1"/>
    <col min="6" max="7" width="16.5" bestFit="1" customWidth="1"/>
    <col min="8" max="8" width="18" bestFit="1" customWidth="1"/>
    <col min="9" max="9" width="19.5" customWidth="1"/>
    <col min="10" max="10" width="14" bestFit="1" customWidth="1"/>
    <col min="11" max="11" width="11.75" bestFit="1" customWidth="1"/>
    <col min="12" max="12" width="14" bestFit="1" customWidth="1"/>
    <col min="13" max="13" width="11.75" bestFit="1" customWidth="1"/>
    <col min="14" max="14" width="13.125" bestFit="1" customWidth="1"/>
    <col min="15" max="15" width="14.125" bestFit="1" customWidth="1"/>
    <col min="16" max="16" width="14.25" bestFit="1" customWidth="1"/>
    <col min="18" max="18" width="14.625" bestFit="1" customWidth="1"/>
    <col min="19" max="19" width="16" bestFit="1" customWidth="1"/>
    <col min="20" max="20" width="15.75" bestFit="1" customWidth="1"/>
  </cols>
  <sheetData>
    <row r="1" spans="1:20" ht="15">
      <c r="D1" s="239" t="s">
        <v>314</v>
      </c>
      <c r="E1" s="239"/>
      <c r="F1" s="239"/>
    </row>
    <row r="2" spans="1:20">
      <c r="A2" t="s">
        <v>315</v>
      </c>
      <c r="B2" t="s">
        <v>316</v>
      </c>
    </row>
    <row r="3" spans="1:20">
      <c r="A3" s="149" t="s">
        <v>317</v>
      </c>
      <c r="B3" s="149" t="s">
        <v>318</v>
      </c>
      <c r="C3" s="149" t="s">
        <v>319</v>
      </c>
      <c r="D3" s="240" t="s">
        <v>320</v>
      </c>
      <c r="E3" s="241"/>
      <c r="F3" s="241"/>
    </row>
    <row r="4" spans="1:20">
      <c r="A4" s="242">
        <f>0.301*172</f>
        <v>51.771999999999998</v>
      </c>
      <c r="B4" s="243">
        <v>48</v>
      </c>
      <c r="C4" s="244">
        <f t="shared" ref="C4:C12" si="0">((B4-$A4)^2)/$A4</f>
        <v>0.27482005717376168</v>
      </c>
      <c r="D4" s="241">
        <v>1</v>
      </c>
      <c r="E4" s="241"/>
      <c r="F4" s="241"/>
      <c r="G4" s="245"/>
      <c r="H4" s="245"/>
      <c r="K4" s="246"/>
      <c r="L4" s="246"/>
      <c r="N4" s="247"/>
      <c r="O4" s="247"/>
      <c r="P4" s="247"/>
      <c r="R4" s="248"/>
      <c r="S4" s="248"/>
      <c r="T4" s="248"/>
    </row>
    <row r="5" spans="1:20">
      <c r="A5" s="242">
        <f>0.1761*172</f>
        <v>30.289200000000001</v>
      </c>
      <c r="B5" s="243">
        <v>16</v>
      </c>
      <c r="C5" s="244">
        <f t="shared" si="0"/>
        <v>6.7410574277300173</v>
      </c>
      <c r="D5" s="241">
        <v>2</v>
      </c>
      <c r="E5" s="241"/>
      <c r="F5" s="241"/>
      <c r="G5" s="245"/>
      <c r="H5" s="245"/>
      <c r="K5" s="246"/>
      <c r="L5" s="246"/>
      <c r="N5" s="247"/>
      <c r="O5" s="247"/>
      <c r="P5" s="247"/>
      <c r="R5" s="248"/>
      <c r="S5" s="248"/>
      <c r="T5" s="248"/>
    </row>
    <row r="6" spans="1:20">
      <c r="A6" s="242">
        <f>0.1249*172</f>
        <v>21.482800000000001</v>
      </c>
      <c r="B6" s="243">
        <v>21</v>
      </c>
      <c r="C6" s="244">
        <f t="shared" si="0"/>
        <v>1.0850347254547869E-2</v>
      </c>
      <c r="D6" s="241">
        <v>3</v>
      </c>
      <c r="E6" s="241"/>
      <c r="F6" s="241"/>
      <c r="G6" s="245"/>
      <c r="H6" s="245"/>
      <c r="K6" s="246"/>
      <c r="L6" s="246"/>
      <c r="N6" s="247"/>
      <c r="O6" s="247"/>
      <c r="P6" s="247"/>
      <c r="R6" s="248"/>
      <c r="S6" s="248"/>
      <c r="T6" s="248"/>
    </row>
    <row r="7" spans="1:20">
      <c r="A7" s="242">
        <f>172*0.0969</f>
        <v>16.666799999999999</v>
      </c>
      <c r="B7" s="243">
        <v>24</v>
      </c>
      <c r="C7" s="244">
        <f t="shared" si="0"/>
        <v>3.2265235222118243</v>
      </c>
      <c r="D7" s="241">
        <v>4</v>
      </c>
      <c r="E7" s="241"/>
      <c r="F7" s="241"/>
      <c r="G7" s="245"/>
      <c r="H7" s="245"/>
      <c r="K7" s="246"/>
      <c r="L7" s="246"/>
      <c r="N7" s="247"/>
      <c r="O7" s="247"/>
      <c r="P7" s="247"/>
      <c r="R7" s="248"/>
      <c r="S7" s="248"/>
      <c r="T7" s="248"/>
    </row>
    <row r="8" spans="1:20">
      <c r="A8" s="242">
        <f>172*0.0792</f>
        <v>13.622400000000001</v>
      </c>
      <c r="B8" s="243">
        <v>23</v>
      </c>
      <c r="C8" s="244">
        <f t="shared" si="0"/>
        <v>6.4554984261216806</v>
      </c>
      <c r="D8" s="241">
        <v>5</v>
      </c>
      <c r="E8" s="241"/>
      <c r="F8" s="241"/>
      <c r="G8" s="245"/>
      <c r="H8" s="245"/>
      <c r="K8" s="246"/>
      <c r="L8" s="246"/>
      <c r="N8" s="247"/>
      <c r="O8" s="247"/>
      <c r="P8" s="247"/>
      <c r="R8" s="248"/>
      <c r="S8" s="248"/>
      <c r="T8" s="248"/>
    </row>
    <row r="9" spans="1:20">
      <c r="A9" s="242">
        <f>172*0.0669</f>
        <v>11.5068</v>
      </c>
      <c r="B9" s="243">
        <v>11</v>
      </c>
      <c r="C9" s="244">
        <f t="shared" si="0"/>
        <v>2.2321256995863327E-2</v>
      </c>
      <c r="D9" s="241">
        <v>6</v>
      </c>
      <c r="E9" s="241"/>
      <c r="F9" s="241"/>
      <c r="G9" s="245"/>
      <c r="H9" s="245"/>
      <c r="K9" s="246"/>
      <c r="L9" s="246"/>
      <c r="N9" s="247"/>
      <c r="O9" s="247"/>
      <c r="P9" s="247"/>
      <c r="R9" s="248"/>
      <c r="S9" s="248"/>
      <c r="T9" s="248"/>
    </row>
    <row r="10" spans="1:20">
      <c r="A10" s="242">
        <f>172*0.058</f>
        <v>9.9760000000000009</v>
      </c>
      <c r="B10" s="243">
        <v>10</v>
      </c>
      <c r="C10" s="244">
        <f t="shared" si="0"/>
        <v>5.7738572574173853E-5</v>
      </c>
      <c r="D10" s="241">
        <v>7</v>
      </c>
      <c r="E10" s="241"/>
      <c r="F10" s="241"/>
      <c r="G10" s="245"/>
      <c r="H10" s="245"/>
      <c r="K10" s="246"/>
      <c r="L10" s="246"/>
      <c r="N10" s="247"/>
      <c r="O10" s="247"/>
      <c r="P10" s="247"/>
      <c r="R10" s="248"/>
      <c r="S10" s="248"/>
      <c r="T10" s="248"/>
    </row>
    <row r="11" spans="1:20">
      <c r="A11" s="242">
        <f>172*0.0512</f>
        <v>8.8064</v>
      </c>
      <c r="B11" s="243">
        <v>3</v>
      </c>
      <c r="C11" s="244">
        <f t="shared" si="0"/>
        <v>3.8283840116279073</v>
      </c>
      <c r="D11" s="241">
        <v>8</v>
      </c>
      <c r="E11" s="241"/>
      <c r="F11" s="241"/>
      <c r="G11" s="245"/>
      <c r="H11" s="245"/>
      <c r="K11" s="246"/>
      <c r="L11" s="246"/>
      <c r="N11" s="247"/>
      <c r="O11" s="247"/>
      <c r="P11" s="247"/>
      <c r="R11" s="248"/>
      <c r="S11" s="248"/>
      <c r="T11" s="248"/>
    </row>
    <row r="12" spans="1:20">
      <c r="A12" s="242">
        <f>172*0.0458</f>
        <v>7.8776000000000002</v>
      </c>
      <c r="B12" s="243">
        <v>16</v>
      </c>
      <c r="C12" s="244">
        <f t="shared" si="0"/>
        <v>8.3748072712501251</v>
      </c>
      <c r="D12" s="241">
        <v>9</v>
      </c>
      <c r="E12" s="241"/>
      <c r="F12" s="241"/>
      <c r="G12" s="245"/>
      <c r="H12" s="245"/>
      <c r="K12" s="246"/>
      <c r="L12" s="246"/>
      <c r="N12" s="247"/>
      <c r="O12" s="247"/>
      <c r="P12" s="247"/>
      <c r="R12" s="248"/>
      <c r="S12" s="248"/>
      <c r="T12" s="248"/>
    </row>
    <row r="13" spans="1:20">
      <c r="D13" s="247"/>
      <c r="E13" s="247"/>
      <c r="F13" s="247"/>
      <c r="G13" s="247"/>
      <c r="H13" s="247"/>
      <c r="J13" s="246"/>
      <c r="K13" s="246"/>
      <c r="L13" s="246"/>
      <c r="N13" s="247"/>
      <c r="O13" s="247"/>
      <c r="P13" s="247"/>
    </row>
    <row r="14" spans="1:20" ht="15" thickBot="1">
      <c r="A14" t="s">
        <v>321</v>
      </c>
      <c r="H14" t="s">
        <v>322</v>
      </c>
    </row>
    <row r="15" spans="1:20" ht="15" thickBot="1">
      <c r="A15" t="s">
        <v>323</v>
      </c>
      <c r="C15" s="249" t="s">
        <v>324</v>
      </c>
      <c r="D15" s="250">
        <f>SUM(C4:C12)</f>
        <v>28.934320058938304</v>
      </c>
      <c r="E15" s="251"/>
      <c r="F15" s="251"/>
      <c r="H15" s="241" t="s">
        <v>323</v>
      </c>
      <c r="I15" s="251"/>
      <c r="J15" s="249" t="s">
        <v>324</v>
      </c>
      <c r="K15" s="250">
        <v>28.934320058938304</v>
      </c>
    </row>
    <row r="16" spans="1:20">
      <c r="A16" t="s">
        <v>325</v>
      </c>
      <c r="D16" t="s">
        <v>326</v>
      </c>
      <c r="H16" t="s">
        <v>327</v>
      </c>
      <c r="K16" t="s">
        <v>326</v>
      </c>
    </row>
    <row r="18" spans="1:13">
      <c r="A18" t="s">
        <v>328</v>
      </c>
    </row>
    <row r="19" spans="1:13">
      <c r="A19" t="s">
        <v>329</v>
      </c>
    </row>
    <row r="20" spans="1:13">
      <c r="A20" t="s">
        <v>330</v>
      </c>
    </row>
    <row r="21" spans="1:13" ht="15">
      <c r="H21" s="252" t="s">
        <v>277</v>
      </c>
    </row>
    <row r="22" spans="1:13">
      <c r="A22" s="40" t="s">
        <v>331</v>
      </c>
      <c r="B22" s="40" t="s">
        <v>332</v>
      </c>
      <c r="C22" s="149"/>
      <c r="D22" s="149"/>
      <c r="H22" s="241" t="s">
        <v>333</v>
      </c>
      <c r="I22" s="241" t="s">
        <v>334</v>
      </c>
    </row>
    <row r="23" spans="1:13">
      <c r="A23" s="253" t="s">
        <v>317</v>
      </c>
      <c r="B23" s="150" t="s">
        <v>318</v>
      </c>
      <c r="C23" s="149" t="s">
        <v>335</v>
      </c>
      <c r="D23" s="149" t="s">
        <v>336</v>
      </c>
      <c r="H23" t="s">
        <v>337</v>
      </c>
      <c r="I23" t="s">
        <v>338</v>
      </c>
      <c r="J23" t="s">
        <v>339</v>
      </c>
      <c r="K23" t="s">
        <v>340</v>
      </c>
      <c r="L23" t="s">
        <v>341</v>
      </c>
      <c r="M23" t="s">
        <v>342</v>
      </c>
    </row>
    <row r="24" spans="1:13">
      <c r="A24" s="254">
        <v>0.30099999999999999</v>
      </c>
      <c r="B24" s="255">
        <v>0.27906976744186052</v>
      </c>
      <c r="C24" s="256">
        <f t="shared" ref="C24:C32" si="1">(B24-A24)^2</f>
        <v>4.8093510005408057E-4</v>
      </c>
      <c r="D24" s="256">
        <f>ABS(B24-A24)</f>
        <v>2.1930232558139473E-2</v>
      </c>
      <c r="E24" s="257"/>
      <c r="F24" s="257"/>
      <c r="H24" s="251">
        <v>0.25120772946859898</v>
      </c>
      <c r="I24" s="251">
        <v>0.18881118881118886</v>
      </c>
      <c r="J24" s="246">
        <f t="shared" ref="J24:J32" si="2">(H24-A24)^2</f>
        <v>2.4792702046722249E-3</v>
      </c>
      <c r="K24" s="246">
        <f t="shared" ref="K24:K32" si="3">ABS(H24-A24)</f>
        <v>4.9792270531401006E-2</v>
      </c>
      <c r="L24" s="246">
        <f t="shared" ref="L24:L32" si="4">(I24-A24)^2</f>
        <v>1.2586329355958714E-2</v>
      </c>
      <c r="M24" s="246">
        <f t="shared" ref="M24:M32" si="5">ABS(I24-A24)</f>
        <v>0.11218881118881113</v>
      </c>
    </row>
    <row r="25" spans="1:13">
      <c r="A25" s="254">
        <v>0.17610000000000001</v>
      </c>
      <c r="B25" s="255">
        <v>9.3023255813953487E-2</v>
      </c>
      <c r="C25" s="256">
        <f t="shared" si="1"/>
        <v>6.9017454245538139E-3</v>
      </c>
      <c r="D25" s="256">
        <f t="shared" ref="D25:D32" si="6">ABS(B25-A25)</f>
        <v>8.3076744186046519E-2</v>
      </c>
      <c r="E25" s="257"/>
      <c r="F25" s="257"/>
      <c r="H25" s="251">
        <v>0.2657004830917874</v>
      </c>
      <c r="I25" s="251">
        <v>6.9930069930069935E-2</v>
      </c>
      <c r="J25" s="246">
        <f t="shared" si="2"/>
        <v>8.0282465702816788E-3</v>
      </c>
      <c r="K25" s="246">
        <f t="shared" si="3"/>
        <v>8.9600483091787392E-2</v>
      </c>
      <c r="L25" s="246">
        <f t="shared" si="4"/>
        <v>1.1272054051053842E-2</v>
      </c>
      <c r="M25" s="246">
        <f t="shared" si="5"/>
        <v>0.10616993006993007</v>
      </c>
    </row>
    <row r="26" spans="1:13">
      <c r="A26" s="254">
        <v>0.1249</v>
      </c>
      <c r="B26" s="255">
        <v>0.12209302325581395</v>
      </c>
      <c r="C26" s="256">
        <f t="shared" si="1"/>
        <v>7.8791184424013101E-6</v>
      </c>
      <c r="D26" s="256">
        <f t="shared" si="6"/>
        <v>2.8069767441860488E-3</v>
      </c>
      <c r="E26" s="257"/>
      <c r="F26" s="257"/>
      <c r="H26" s="251">
        <v>0.12560386473429952</v>
      </c>
      <c r="I26" s="251">
        <v>0.1888111888111888</v>
      </c>
      <c r="J26" s="246">
        <f t="shared" si="2"/>
        <v>4.9542556419053735E-7</v>
      </c>
      <c r="K26" s="246">
        <f t="shared" si="3"/>
        <v>7.0386473429952245E-4</v>
      </c>
      <c r="L26" s="246">
        <f t="shared" si="4"/>
        <v>4.0846400552594251E-3</v>
      </c>
      <c r="M26" s="246">
        <f t="shared" si="5"/>
        <v>6.3911188811188804E-2</v>
      </c>
    </row>
    <row r="27" spans="1:13">
      <c r="A27" s="254">
        <v>9.69E-2</v>
      </c>
      <c r="B27" s="255">
        <v>0.13953488372093023</v>
      </c>
      <c r="C27" s="256">
        <f t="shared" si="1"/>
        <v>1.8177333098972415E-3</v>
      </c>
      <c r="D27" s="256">
        <f t="shared" si="6"/>
        <v>4.2634883720930231E-2</v>
      </c>
      <c r="E27" s="257"/>
      <c r="F27" s="257"/>
      <c r="H27" s="251">
        <v>0.14975845410628019</v>
      </c>
      <c r="I27" s="251">
        <v>0.12587412587412589</v>
      </c>
      <c r="J27" s="246">
        <f t="shared" si="2"/>
        <v>2.7940161705057292E-3</v>
      </c>
      <c r="K27" s="246">
        <f t="shared" si="3"/>
        <v>5.2858454106280192E-2</v>
      </c>
      <c r="L27" s="246">
        <f t="shared" si="4"/>
        <v>8.3949997016969117E-4</v>
      </c>
      <c r="M27" s="246">
        <f t="shared" si="5"/>
        <v>2.8974125874125886E-2</v>
      </c>
    </row>
    <row r="28" spans="1:13">
      <c r="A28" s="254">
        <v>7.9200000000000007E-2</v>
      </c>
      <c r="B28" s="255">
        <v>0.13372093023255813</v>
      </c>
      <c r="C28" s="256">
        <f t="shared" si="1"/>
        <v>2.97253183342347E-3</v>
      </c>
      <c r="D28" s="256">
        <f t="shared" si="6"/>
        <v>5.4520930232558121E-2</v>
      </c>
      <c r="E28" s="257"/>
      <c r="F28" s="257"/>
      <c r="H28" s="251">
        <v>9.1787439613526561E-2</v>
      </c>
      <c r="I28" s="251">
        <v>0.16083916083916086</v>
      </c>
      <c r="J28" s="246">
        <f t="shared" si="2"/>
        <v>1.5844363602417755E-4</v>
      </c>
      <c r="K28" s="246">
        <f t="shared" si="3"/>
        <v>1.2587439613526555E-2</v>
      </c>
      <c r="L28" s="246">
        <f t="shared" si="4"/>
        <v>6.664952582522375E-3</v>
      </c>
      <c r="M28" s="246">
        <f t="shared" si="5"/>
        <v>8.1639160839160854E-2</v>
      </c>
    </row>
    <row r="29" spans="1:13">
      <c r="A29" s="254">
        <v>6.6900000000000001E-2</v>
      </c>
      <c r="B29" s="255">
        <v>6.3953488372093026E-2</v>
      </c>
      <c r="C29" s="256">
        <f t="shared" si="1"/>
        <v>8.6819307733910128E-6</v>
      </c>
      <c r="D29" s="256">
        <f t="shared" si="6"/>
        <v>2.9465116279069753E-3</v>
      </c>
      <c r="E29" s="257"/>
      <c r="F29" s="257"/>
      <c r="H29" s="251">
        <v>5.3140096618357488E-2</v>
      </c>
      <c r="I29" s="251">
        <v>6.9930069930069935E-2</v>
      </c>
      <c r="J29" s="246">
        <f t="shared" si="2"/>
        <v>1.8933494107213706E-4</v>
      </c>
      <c r="K29" s="246">
        <f t="shared" si="3"/>
        <v>1.3759903381642513E-2</v>
      </c>
      <c r="L29" s="246">
        <f t="shared" si="4"/>
        <v>9.1813237811140151E-6</v>
      </c>
      <c r="M29" s="246">
        <f t="shared" si="5"/>
        <v>3.0300699300699341E-3</v>
      </c>
    </row>
    <row r="30" spans="1:13">
      <c r="A30" s="254">
        <v>5.8000000000000003E-2</v>
      </c>
      <c r="B30" s="255">
        <v>5.8139534883720922E-2</v>
      </c>
      <c r="C30" s="256">
        <f t="shared" si="1"/>
        <v>1.9469983775010539E-8</v>
      </c>
      <c r="D30" s="256">
        <f t="shared" si="6"/>
        <v>1.3953488372091954E-4</v>
      </c>
      <c r="E30" s="257"/>
      <c r="F30" s="257"/>
      <c r="H30" s="251">
        <v>2.4154589371980676E-2</v>
      </c>
      <c r="I30" s="251">
        <v>0.1048951048951049</v>
      </c>
      <c r="J30" s="246">
        <f t="shared" si="2"/>
        <v>1.1455118205792433E-3</v>
      </c>
      <c r="K30" s="246">
        <f t="shared" si="3"/>
        <v>3.3845410628019323E-2</v>
      </c>
      <c r="L30" s="246">
        <f t="shared" si="4"/>
        <v>2.1991508631228908E-3</v>
      </c>
      <c r="M30" s="246">
        <f t="shared" si="5"/>
        <v>4.6895104895104893E-2</v>
      </c>
    </row>
    <row r="31" spans="1:13">
      <c r="A31" s="254">
        <v>5.1200000000000002E-2</v>
      </c>
      <c r="B31" s="255">
        <v>1.7441860465116279E-2</v>
      </c>
      <c r="C31" s="256">
        <f t="shared" si="1"/>
        <v>1.1396119848566797E-3</v>
      </c>
      <c r="D31" s="256">
        <f t="shared" si="6"/>
        <v>3.3758139534883727E-2</v>
      </c>
      <c r="E31" s="257"/>
      <c r="F31" s="257"/>
      <c r="H31" s="251">
        <v>1.932367149758454E-2</v>
      </c>
      <c r="I31" s="251">
        <v>4.195804195804196E-2</v>
      </c>
      <c r="J31" s="246">
        <f t="shared" si="2"/>
        <v>1.0161003187939047E-3</v>
      </c>
      <c r="K31" s="246">
        <f t="shared" si="3"/>
        <v>3.1876328502415466E-2</v>
      </c>
      <c r="L31" s="246">
        <f t="shared" si="4"/>
        <v>8.5413788449312936E-5</v>
      </c>
      <c r="M31" s="246">
        <f t="shared" si="5"/>
        <v>9.2419580419580427E-3</v>
      </c>
    </row>
    <row r="32" spans="1:13">
      <c r="A32" s="254">
        <v>4.58E-2</v>
      </c>
      <c r="B32" s="255">
        <v>9.3023255813953487E-2</v>
      </c>
      <c r="C32" s="256">
        <f t="shared" si="1"/>
        <v>2.2300358896700919E-3</v>
      </c>
      <c r="D32" s="258">
        <f t="shared" si="6"/>
        <v>4.7223255813953487E-2</v>
      </c>
      <c r="E32" s="257"/>
      <c r="F32" s="257"/>
      <c r="H32" s="251">
        <v>1.932367149758454E-2</v>
      </c>
      <c r="I32" s="251">
        <v>4.8951048951048952E-2</v>
      </c>
      <c r="J32" s="246">
        <f t="shared" si="2"/>
        <v>7.0099597096781726E-4</v>
      </c>
      <c r="K32" s="246">
        <f t="shared" si="3"/>
        <v>2.647632850241546E-2</v>
      </c>
      <c r="L32" s="246">
        <f t="shared" si="4"/>
        <v>9.9291094919066973E-6</v>
      </c>
      <c r="M32" s="246">
        <f t="shared" si="5"/>
        <v>3.1510489510489514E-3</v>
      </c>
    </row>
    <row r="33" spans="1:13">
      <c r="D33" s="331" t="s">
        <v>277</v>
      </c>
      <c r="E33" s="331"/>
      <c r="F33" s="331" t="s">
        <v>294</v>
      </c>
      <c r="G33" s="331"/>
    </row>
    <row r="34" spans="1:13" ht="15">
      <c r="A34" s="149"/>
      <c r="B34" s="149" t="s">
        <v>343</v>
      </c>
      <c r="C34" s="259" t="s">
        <v>300</v>
      </c>
      <c r="D34" s="149" t="s">
        <v>279</v>
      </c>
      <c r="E34" s="149" t="s">
        <v>344</v>
      </c>
      <c r="F34" s="149" t="s">
        <v>279</v>
      </c>
      <c r="G34" s="149" t="s">
        <v>344</v>
      </c>
      <c r="H34" s="252" t="s">
        <v>294</v>
      </c>
    </row>
    <row r="35" spans="1:13">
      <c r="A35" s="149" t="s">
        <v>345</v>
      </c>
      <c r="B35" s="149" t="s">
        <v>346</v>
      </c>
      <c r="C35" s="150">
        <f>SQRT(SUM(C24:C32))/1.03606</f>
        <v>0.12039497552792824</v>
      </c>
      <c r="D35" s="149">
        <f>SQRT(SUM(J24:J32))/1.03606</f>
        <v>0.12402818586685754</v>
      </c>
      <c r="E35" s="149">
        <f>SQRT(SUM(L24:L32))/1.03606</f>
        <v>0.18753407575214989</v>
      </c>
      <c r="F35" s="149">
        <f>SQRT(SUM(J37:J45))/1.03606</f>
        <v>0.10854821953367136</v>
      </c>
      <c r="G35" s="149">
        <f>SQRT(SUM(L37:L45))/1.03606</f>
        <v>0.19815116694725526</v>
      </c>
      <c r="H35" s="241" t="s">
        <v>333</v>
      </c>
      <c r="I35" s="241" t="s">
        <v>334</v>
      </c>
    </row>
    <row r="36" spans="1:13">
      <c r="A36" s="149" t="s">
        <v>347</v>
      </c>
      <c r="B36" s="149" t="s">
        <v>348</v>
      </c>
      <c r="C36" s="150">
        <f>(1/9)*SUM(D24:D32)</f>
        <v>3.2115245478036167E-2</v>
      </c>
      <c r="D36" s="149">
        <f>(1/9)*SUM(K24:K32)</f>
        <v>3.4611164787976378E-2</v>
      </c>
      <c r="E36" s="149">
        <f>(1/9)*SUM(M24:M32)</f>
        <v>5.0577933177933174E-2</v>
      </c>
      <c r="F36" s="149">
        <f>(1/9)*SUM(K37:K45)</f>
        <v>3.4611164787976385E-2</v>
      </c>
      <c r="G36" s="149">
        <f>(1/9)*SUM(M37:M45)</f>
        <v>5.4539704739704743E-2</v>
      </c>
      <c r="H36" t="s">
        <v>337</v>
      </c>
      <c r="I36" t="s">
        <v>338</v>
      </c>
      <c r="J36" t="s">
        <v>339</v>
      </c>
      <c r="K36" t="s">
        <v>340</v>
      </c>
      <c r="L36" t="s">
        <v>341</v>
      </c>
      <c r="M36" t="s">
        <v>342</v>
      </c>
    </row>
    <row r="37" spans="1:13">
      <c r="A37" s="149" t="s">
        <v>349</v>
      </c>
      <c r="B37" s="149" t="s">
        <v>350</v>
      </c>
      <c r="C37" s="150">
        <f>SUM(C24:C32)*10^4</f>
        <v>155.59174061654943</v>
      </c>
      <c r="D37" s="149">
        <f>SUM(J24:J32)*10^4</f>
        <v>165.12415058461104</v>
      </c>
      <c r="E37" s="149">
        <f>SUM(L24:L32)*10^4</f>
        <v>377.51151099809277</v>
      </c>
      <c r="F37" s="149">
        <f>SUM(J37:J45)*10^4</f>
        <v>126.47806782888746</v>
      </c>
      <c r="G37" s="149">
        <f>SUM(L37:L45)*10^4</f>
        <v>421.4665210230329</v>
      </c>
      <c r="H37" s="251">
        <v>0.26086956521739124</v>
      </c>
      <c r="I37" s="251">
        <v>0.18881118881118883</v>
      </c>
      <c r="J37" s="246">
        <f t="shared" ref="J37:J45" si="7">(H37-A24)^2</f>
        <v>1.610451795841214E-3</v>
      </c>
      <c r="K37" s="246">
        <f t="shared" ref="K37:K45" si="8">ABS(H37-A24)</f>
        <v>4.0130434782608748E-2</v>
      </c>
      <c r="L37" s="246">
        <f t="shared" ref="L37:L45" si="9">(I37-A24)^2</f>
        <v>1.2586329355958721E-2</v>
      </c>
      <c r="M37" s="246">
        <f t="shared" ref="M37:M45" si="10">ABS(I37-A24)</f>
        <v>0.11218881118881116</v>
      </c>
    </row>
    <row r="38" spans="1:13">
      <c r="H38" s="251">
        <v>0.19806763285024157</v>
      </c>
      <c r="I38" s="251">
        <v>5.5944055944055944E-2</v>
      </c>
      <c r="J38" s="246">
        <f t="shared" si="7"/>
        <v>4.8257689304301207E-4</v>
      </c>
      <c r="K38" s="246">
        <f t="shared" si="8"/>
        <v>2.1967632850241559E-2</v>
      </c>
      <c r="L38" s="246">
        <f t="shared" si="9"/>
        <v>1.4437450891975161E-2</v>
      </c>
      <c r="M38" s="246">
        <f t="shared" si="10"/>
        <v>0.12015594405594407</v>
      </c>
    </row>
    <row r="39" spans="1:13">
      <c r="H39" s="251">
        <v>0.16425120772946861</v>
      </c>
      <c r="I39" s="251">
        <v>0.20979020979020979</v>
      </c>
      <c r="J39" s="246">
        <f t="shared" si="7"/>
        <v>1.54851754976779E-3</v>
      </c>
      <c r="K39" s="246">
        <f t="shared" si="8"/>
        <v>3.935120772946861E-2</v>
      </c>
      <c r="L39" s="246">
        <f t="shared" si="9"/>
        <v>7.2063477182258305E-3</v>
      </c>
      <c r="M39" s="246">
        <f t="shared" si="10"/>
        <v>8.4890209790209795E-2</v>
      </c>
    </row>
    <row r="40" spans="1:13" ht="15">
      <c r="C40" s="239" t="s">
        <v>351</v>
      </c>
      <c r="H40" s="251">
        <v>0.16425120772946855</v>
      </c>
      <c r="I40" s="251">
        <v>0.13286713286713286</v>
      </c>
      <c r="J40" s="246">
        <f t="shared" si="7"/>
        <v>4.5361851826180247E-3</v>
      </c>
      <c r="K40" s="246">
        <f t="shared" si="8"/>
        <v>6.7351207729468551E-2</v>
      </c>
      <c r="L40" s="246">
        <f t="shared" si="9"/>
        <v>1.2936346466819891E-3</v>
      </c>
      <c r="M40" s="246">
        <f t="shared" si="10"/>
        <v>3.5967132867132864E-2</v>
      </c>
    </row>
    <row r="41" spans="1:13">
      <c r="A41" t="s">
        <v>352</v>
      </c>
      <c r="B41" t="s">
        <v>353</v>
      </c>
      <c r="H41" s="251">
        <v>0.10628019323671496</v>
      </c>
      <c r="I41" s="251">
        <v>0.13286713286713289</v>
      </c>
      <c r="J41" s="246">
        <f t="shared" si="7"/>
        <v>7.3333686573782237E-4</v>
      </c>
      <c r="K41" s="246">
        <f t="shared" si="8"/>
        <v>2.7080193236714956E-2</v>
      </c>
      <c r="L41" s="246">
        <f t="shared" si="9"/>
        <v>2.8801611501784946E-3</v>
      </c>
      <c r="M41" s="246">
        <f t="shared" si="10"/>
        <v>5.3667132867132886E-2</v>
      </c>
    </row>
    <row r="42" spans="1:13">
      <c r="A42" s="149" t="s">
        <v>354</v>
      </c>
      <c r="B42" s="149" t="s">
        <v>355</v>
      </c>
      <c r="C42" s="149" t="s">
        <v>356</v>
      </c>
      <c r="H42" s="251">
        <v>5.3140096618357488E-2</v>
      </c>
      <c r="I42" s="251">
        <v>0.12587412587412589</v>
      </c>
      <c r="J42" s="246">
        <f t="shared" si="7"/>
        <v>1.8933494107213706E-4</v>
      </c>
      <c r="K42" s="246">
        <f t="shared" si="8"/>
        <v>1.3759903381642513E-2</v>
      </c>
      <c r="L42" s="246">
        <f t="shared" si="9"/>
        <v>3.4779475226172441E-3</v>
      </c>
      <c r="M42" s="246">
        <f t="shared" si="10"/>
        <v>5.8974125874125885E-2</v>
      </c>
    </row>
    <row r="43" spans="1:13">
      <c r="A43" s="242">
        <f>0.1197*172</f>
        <v>20.5884</v>
      </c>
      <c r="B43" s="243">
        <v>21</v>
      </c>
      <c r="C43" s="244">
        <f t="shared" ref="C43:C51" si="11">((B43-$A43)^2)/$A43</f>
        <v>8.2286413708690317E-3</v>
      </c>
      <c r="G43" s="245"/>
      <c r="H43" s="251">
        <v>2.8985507246376812E-2</v>
      </c>
      <c r="I43" s="251">
        <v>6.9930069930069935E-2</v>
      </c>
      <c r="J43" s="246">
        <f t="shared" si="7"/>
        <v>8.4184078975005263E-4</v>
      </c>
      <c r="K43" s="246">
        <f t="shared" si="8"/>
        <v>2.9014492753623191E-2</v>
      </c>
      <c r="L43" s="246">
        <f t="shared" si="9"/>
        <v>1.423265685363588E-4</v>
      </c>
      <c r="M43" s="246">
        <f t="shared" si="10"/>
        <v>1.1930069930069932E-2</v>
      </c>
    </row>
    <row r="44" spans="1:13">
      <c r="A44" s="242">
        <f>172*0.1139</f>
        <v>19.590800000000002</v>
      </c>
      <c r="B44" s="243">
        <v>24</v>
      </c>
      <c r="C44" s="244">
        <f t="shared" si="11"/>
        <v>0.99235583232946001</v>
      </c>
      <c r="G44" s="245"/>
      <c r="H44" s="251">
        <v>9.6618357487922701E-3</v>
      </c>
      <c r="I44" s="251">
        <v>4.8951048951048952E-2</v>
      </c>
      <c r="J44" s="246">
        <f t="shared" si="7"/>
        <v>1.7254190893603119E-3</v>
      </c>
      <c r="K44" s="246">
        <f t="shared" si="8"/>
        <v>4.1538164251207731E-2</v>
      </c>
      <c r="L44" s="246">
        <f t="shared" si="9"/>
        <v>5.0577808205780309E-6</v>
      </c>
      <c r="M44" s="246">
        <f t="shared" si="10"/>
        <v>2.2489510489510506E-3</v>
      </c>
    </row>
    <row r="45" spans="1:13">
      <c r="A45" s="242">
        <f>172*0.1088</f>
        <v>18.7136</v>
      </c>
      <c r="B45" s="243">
        <v>14</v>
      </c>
      <c r="C45" s="244">
        <f t="shared" si="11"/>
        <v>1.1872662106703145</v>
      </c>
      <c r="G45" s="245"/>
      <c r="H45" s="251">
        <v>1.4492753623188404E-2</v>
      </c>
      <c r="I45" s="251">
        <v>3.4965034965034968E-2</v>
      </c>
      <c r="J45" s="246">
        <f t="shared" si="7"/>
        <v>9.8014367569838261E-4</v>
      </c>
      <c r="K45" s="246">
        <f t="shared" si="8"/>
        <v>3.1307246376811593E-2</v>
      </c>
      <c r="L45" s="246">
        <f t="shared" si="9"/>
        <v>1.1739646730891482E-4</v>
      </c>
      <c r="M45" s="246">
        <f t="shared" si="10"/>
        <v>1.0834965034965033E-2</v>
      </c>
    </row>
    <row r="46" spans="1:13">
      <c r="A46" s="242">
        <f>172*0.1043</f>
        <v>17.939600000000002</v>
      </c>
      <c r="B46" s="243">
        <v>25</v>
      </c>
      <c r="C46" s="244">
        <f t="shared" si="11"/>
        <v>2.778726847867286</v>
      </c>
      <c r="G46" s="245"/>
      <c r="H46" s="245"/>
      <c r="K46" s="246"/>
    </row>
    <row r="47" spans="1:13">
      <c r="A47" s="242">
        <f>172*0.1003</f>
        <v>17.2516</v>
      </c>
      <c r="B47" s="243">
        <v>19</v>
      </c>
      <c r="C47" s="244">
        <f t="shared" si="11"/>
        <v>0.17719530710195</v>
      </c>
      <c r="G47" s="245"/>
      <c r="H47" s="245"/>
      <c r="K47" s="246"/>
    </row>
    <row r="48" spans="1:13">
      <c r="A48" s="242">
        <f>172*0.0967</f>
        <v>16.632400000000001</v>
      </c>
      <c r="B48" s="243">
        <v>15</v>
      </c>
      <c r="C48" s="244">
        <f t="shared" si="11"/>
        <v>0.16021318390611106</v>
      </c>
      <c r="G48" s="245"/>
      <c r="H48" s="245"/>
      <c r="K48" s="246"/>
    </row>
    <row r="49" spans="1:13">
      <c r="A49" s="242">
        <f>172*0.0934</f>
        <v>16.064799999999998</v>
      </c>
      <c r="B49" s="243">
        <v>20</v>
      </c>
      <c r="C49" s="244">
        <f t="shared" si="11"/>
        <v>0.9639584084457955</v>
      </c>
      <c r="G49" s="245"/>
      <c r="H49" s="245"/>
      <c r="K49" s="246"/>
    </row>
    <row r="50" spans="1:13">
      <c r="A50" s="242">
        <f>172*0.0904</f>
        <v>15.548799999999998</v>
      </c>
      <c r="B50" s="243">
        <v>8</v>
      </c>
      <c r="C50" s="244">
        <f t="shared" si="11"/>
        <v>3.6648732661041352</v>
      </c>
      <c r="G50" s="245"/>
      <c r="H50" s="245"/>
      <c r="K50" s="246"/>
    </row>
    <row r="51" spans="1:13">
      <c r="A51" s="242">
        <f>172*0.0876</f>
        <v>15.0672</v>
      </c>
      <c r="B51" s="243">
        <v>14</v>
      </c>
      <c r="C51" s="244">
        <f t="shared" si="11"/>
        <v>7.5589083572262891E-2</v>
      </c>
      <c r="G51" s="245"/>
      <c r="H51" s="245"/>
      <c r="K51" s="246"/>
    </row>
    <row r="52" spans="1:13">
      <c r="A52" s="149">
        <f>172*0.085</f>
        <v>14.620000000000001</v>
      </c>
      <c r="B52" s="243">
        <v>12</v>
      </c>
      <c r="C52" s="149"/>
      <c r="D52" s="247"/>
      <c r="E52" s="247"/>
      <c r="F52" s="247"/>
      <c r="G52" s="247"/>
      <c r="H52" s="247"/>
      <c r="J52" s="246"/>
      <c r="K52" s="246"/>
    </row>
    <row r="53" spans="1:13" ht="15" thickBot="1">
      <c r="A53" t="s">
        <v>321</v>
      </c>
      <c r="H53" t="s">
        <v>322</v>
      </c>
    </row>
    <row r="54" spans="1:13" ht="15" thickBot="1">
      <c r="A54" t="s">
        <v>323</v>
      </c>
      <c r="C54" s="249" t="s">
        <v>357</v>
      </c>
      <c r="D54" s="250">
        <f>SUM(C43:C51)</f>
        <v>10.008406781368185</v>
      </c>
      <c r="E54" s="251"/>
      <c r="F54" s="251"/>
      <c r="H54" s="241" t="s">
        <v>323</v>
      </c>
      <c r="I54" s="251"/>
      <c r="J54" s="249" t="s">
        <v>357</v>
      </c>
      <c r="K54" s="250">
        <v>10.008406781368185</v>
      </c>
    </row>
    <row r="55" spans="1:13">
      <c r="A55" t="s">
        <v>358</v>
      </c>
      <c r="D55" t="s">
        <v>359</v>
      </c>
      <c r="H55" t="s">
        <v>360</v>
      </c>
      <c r="K55" t="s">
        <v>361</v>
      </c>
    </row>
    <row r="57" spans="1:13" ht="15">
      <c r="A57" t="s">
        <v>362</v>
      </c>
      <c r="H57" s="252" t="s">
        <v>277</v>
      </c>
    </row>
    <row r="58" spans="1:13">
      <c r="A58" t="s">
        <v>329</v>
      </c>
      <c r="H58" s="241" t="s">
        <v>363</v>
      </c>
      <c r="I58" s="241" t="s">
        <v>364</v>
      </c>
    </row>
    <row r="59" spans="1:13">
      <c r="A59" t="s">
        <v>330</v>
      </c>
      <c r="H59" t="s">
        <v>337</v>
      </c>
      <c r="I59" t="s">
        <v>338</v>
      </c>
      <c r="J59" t="s">
        <v>365</v>
      </c>
      <c r="K59" t="s">
        <v>366</v>
      </c>
      <c r="L59" t="s">
        <v>367</v>
      </c>
      <c r="M59" t="s">
        <v>368</v>
      </c>
    </row>
    <row r="60" spans="1:13">
      <c r="H60" s="257">
        <v>5.3140096618357488E-2</v>
      </c>
      <c r="I60" s="257">
        <v>0.12587412587412589</v>
      </c>
      <c r="J60" s="246">
        <f>(H60-A63)^2</f>
        <v>4.4302207381735868E-3</v>
      </c>
      <c r="K60" s="246">
        <f>ABS(H60-A63)</f>
        <v>6.6559903381642513E-2</v>
      </c>
      <c r="L60" s="246">
        <f>(I60-A63)^2</f>
        <v>3.8119830309550727E-5</v>
      </c>
      <c r="M60" s="246">
        <f>ABS(I60-A63)</f>
        <v>6.1741258741258853E-3</v>
      </c>
    </row>
    <row r="61" spans="1:13">
      <c r="A61" s="40" t="s">
        <v>369</v>
      </c>
      <c r="B61" s="40" t="s">
        <v>370</v>
      </c>
      <c r="C61" s="149"/>
      <c r="D61" s="149"/>
      <c r="H61" s="257">
        <v>9.1787439613526561E-2</v>
      </c>
      <c r="I61" s="257">
        <v>0.14685314685314685</v>
      </c>
      <c r="J61" s="246">
        <f t="shared" ref="J61:J69" si="12">(H61-A64)^2</f>
        <v>4.8896532684543446E-4</v>
      </c>
      <c r="K61" s="246">
        <f t="shared" ref="K61:K69" si="13">ABS(H61-A64)</f>
        <v>2.211256038647344E-2</v>
      </c>
      <c r="L61" s="246">
        <f t="shared" ref="L61:L69" si="14">(I61-A64)^2</f>
        <v>1.085909887525062E-3</v>
      </c>
      <c r="M61" s="246">
        <f t="shared" ref="M61:M69" si="15">ABS(I61-A64)</f>
        <v>3.2953146853146847E-2</v>
      </c>
    </row>
    <row r="62" spans="1:13">
      <c r="A62" s="149" t="s">
        <v>354</v>
      </c>
      <c r="B62" s="149" t="s">
        <v>355</v>
      </c>
      <c r="C62" s="149" t="s">
        <v>371</v>
      </c>
      <c r="D62" s="149" t="s">
        <v>372</v>
      </c>
      <c r="H62" s="257">
        <v>9.6618357487922704E-2</v>
      </c>
      <c r="I62" s="257">
        <v>0.12587412587412589</v>
      </c>
      <c r="J62" s="246">
        <f t="shared" si="12"/>
        <v>1.483924142920487E-4</v>
      </c>
      <c r="K62" s="246">
        <f t="shared" si="13"/>
        <v>1.218164251207729E-2</v>
      </c>
      <c r="L62" s="246">
        <f t="shared" si="14"/>
        <v>2.9152577436549528E-4</v>
      </c>
      <c r="M62" s="246">
        <f t="shared" si="15"/>
        <v>1.7074125874125892E-2</v>
      </c>
    </row>
    <row r="63" spans="1:13">
      <c r="A63" s="260">
        <v>0.1197</v>
      </c>
      <c r="B63" s="260">
        <v>0.12209302325581395</v>
      </c>
      <c r="C63" s="256">
        <f>(B63-A63)^2</f>
        <v>5.7265603028663857E-6</v>
      </c>
      <c r="D63" s="256">
        <f>ABS(B63-A63)</f>
        <v>2.3930232558139475E-3</v>
      </c>
      <c r="E63" s="257"/>
      <c r="H63" s="257">
        <v>9.1787439613526547E-2</v>
      </c>
      <c r="I63" s="257">
        <v>0.1048951048951049</v>
      </c>
      <c r="J63" s="246">
        <f t="shared" si="12"/>
        <v>1.5656416742514478E-4</v>
      </c>
      <c r="K63" s="246">
        <f t="shared" si="13"/>
        <v>1.2512560386473456E-2</v>
      </c>
      <c r="L63" s="246">
        <f t="shared" si="14"/>
        <v>3.5414983617780457E-7</v>
      </c>
      <c r="M63" s="246">
        <f t="shared" si="15"/>
        <v>5.9510489510489206E-4</v>
      </c>
    </row>
    <row r="64" spans="1:13">
      <c r="A64" s="260">
        <v>0.1139</v>
      </c>
      <c r="B64" s="260">
        <v>0.13953488372093023</v>
      </c>
      <c r="C64" s="256">
        <f t="shared" ref="C64:C72" si="16">(B64-A64)^2</f>
        <v>6.5714726338561374E-4</v>
      </c>
      <c r="D64" s="256">
        <f t="shared" ref="D64:D72" si="17">ABS(B64-A64)</f>
        <v>2.5634883720930229E-2</v>
      </c>
      <c r="E64" s="257"/>
      <c r="H64" s="257">
        <v>8.6956521739130418E-2</v>
      </c>
      <c r="I64" s="257">
        <v>7.6923076923076927E-2</v>
      </c>
      <c r="J64" s="246">
        <f t="shared" si="12"/>
        <v>1.7804841209829913E-4</v>
      </c>
      <c r="K64" s="246">
        <f t="shared" si="13"/>
        <v>1.3343478260869582E-2</v>
      </c>
      <c r="L64" s="246">
        <f t="shared" si="14"/>
        <v>5.4648053254437851E-4</v>
      </c>
      <c r="M64" s="246">
        <f t="shared" si="15"/>
        <v>2.3376923076923073E-2</v>
      </c>
    </row>
    <row r="65" spans="1:13">
      <c r="A65" s="260">
        <v>0.10879999999999999</v>
      </c>
      <c r="B65" s="260">
        <v>8.1395348837209294E-2</v>
      </c>
      <c r="C65" s="256">
        <f t="shared" si="16"/>
        <v>7.5101490535424561E-4</v>
      </c>
      <c r="D65" s="256">
        <f t="shared" si="17"/>
        <v>2.74046511627907E-2</v>
      </c>
      <c r="E65" s="257"/>
      <c r="H65" s="257">
        <v>0.26086956521739124</v>
      </c>
      <c r="I65" s="257">
        <v>5.5944055944055944E-2</v>
      </c>
      <c r="J65" s="246">
        <f t="shared" si="12"/>
        <v>2.6951646143667275E-2</v>
      </c>
      <c r="K65" s="246">
        <f t="shared" si="13"/>
        <v>0.16416956521739123</v>
      </c>
      <c r="L65" s="246">
        <f t="shared" si="14"/>
        <v>1.6610469758912411E-3</v>
      </c>
      <c r="M65" s="246">
        <f t="shared" si="15"/>
        <v>4.075594405594405E-2</v>
      </c>
    </row>
    <row r="66" spans="1:13">
      <c r="A66" s="260">
        <v>0.1043</v>
      </c>
      <c r="B66" s="260">
        <v>0.14534883720930233</v>
      </c>
      <c r="C66" s="256">
        <f t="shared" si="16"/>
        <v>1.6850070362358035E-3</v>
      </c>
      <c r="D66" s="256">
        <f t="shared" si="17"/>
        <v>4.104883720930233E-2</v>
      </c>
      <c r="E66" s="257"/>
      <c r="H66" s="257">
        <v>7.7294685990338161E-2</v>
      </c>
      <c r="I66" s="257">
        <v>9.7902097902097904E-2</v>
      </c>
      <c r="J66" s="246">
        <f t="shared" si="12"/>
        <v>2.5938113934980984E-4</v>
      </c>
      <c r="K66" s="246">
        <f t="shared" si="13"/>
        <v>1.6105314009661836E-2</v>
      </c>
      <c r="L66" s="246">
        <f t="shared" si="14"/>
        <v>2.0268885520074375E-5</v>
      </c>
      <c r="M66" s="246">
        <f t="shared" si="15"/>
        <v>4.5020979020979068E-3</v>
      </c>
    </row>
    <row r="67" spans="1:13">
      <c r="A67" s="260">
        <v>0.1003</v>
      </c>
      <c r="B67" s="260">
        <v>0.11046511627906974</v>
      </c>
      <c r="C67" s="256">
        <f t="shared" si="16"/>
        <v>1.0332958896700867E-4</v>
      </c>
      <c r="D67" s="256">
        <f t="shared" si="17"/>
        <v>1.0165116279069741E-2</v>
      </c>
      <c r="E67" s="257"/>
      <c r="H67" s="257">
        <v>8.6956521739130418E-2</v>
      </c>
      <c r="I67" s="257">
        <v>7.6923076923076927E-2</v>
      </c>
      <c r="J67" s="246">
        <f t="shared" si="12"/>
        <v>1.1857542533081359E-5</v>
      </c>
      <c r="K67" s="246">
        <f t="shared" si="13"/>
        <v>3.4434782608695758E-3</v>
      </c>
      <c r="L67" s="246">
        <f t="shared" si="14"/>
        <v>1.816274556213015E-4</v>
      </c>
      <c r="M67" s="246">
        <f t="shared" si="15"/>
        <v>1.3476923076923067E-2</v>
      </c>
    </row>
    <row r="68" spans="1:13">
      <c r="A68" s="260">
        <v>9.6699999999999994E-2</v>
      </c>
      <c r="B68" s="260">
        <v>8.7209302325581384E-2</v>
      </c>
      <c r="C68" s="256">
        <f t="shared" si="16"/>
        <v>9.007334234721483E-5</v>
      </c>
      <c r="D68" s="256">
        <f t="shared" si="17"/>
        <v>9.4906976744186106E-3</v>
      </c>
      <c r="E68" s="257"/>
      <c r="H68" s="257">
        <v>8.6956521739130418E-2</v>
      </c>
      <c r="I68" s="257">
        <v>9.0909090909090912E-2</v>
      </c>
      <c r="J68" s="246">
        <f t="shared" si="12"/>
        <v>4.1406427221173772E-7</v>
      </c>
      <c r="K68" s="246">
        <f t="shared" si="13"/>
        <v>6.4347826086957882E-4</v>
      </c>
      <c r="L68" s="246">
        <f t="shared" si="14"/>
        <v>1.0950082644628134E-5</v>
      </c>
      <c r="M68" s="246">
        <f t="shared" si="15"/>
        <v>3.3090909090909143E-3</v>
      </c>
    </row>
    <row r="69" spans="1:13">
      <c r="A69" s="260">
        <v>9.3399999999999997E-2</v>
      </c>
      <c r="B69" s="260">
        <v>0.11627906976744184</v>
      </c>
      <c r="C69" s="256">
        <f t="shared" si="16"/>
        <v>5.2345183342347159E-4</v>
      </c>
      <c r="D69" s="256">
        <f t="shared" si="17"/>
        <v>2.2879069767441848E-2</v>
      </c>
      <c r="E69" s="257"/>
      <c r="H69" s="257">
        <v>6.7632850241545889E-2</v>
      </c>
      <c r="I69" s="257">
        <v>9.7902097902097904E-2</v>
      </c>
      <c r="J69" s="246">
        <f t="shared" si="12"/>
        <v>3.0161789073257289E-4</v>
      </c>
      <c r="K69" s="246">
        <f t="shared" si="13"/>
        <v>1.7367149758454117E-2</v>
      </c>
      <c r="L69" s="246">
        <f t="shared" si="14"/>
        <v>1.6646413027531897E-4</v>
      </c>
      <c r="M69" s="246">
        <f t="shared" si="15"/>
        <v>1.2902097902097898E-2</v>
      </c>
    </row>
    <row r="70" spans="1:13">
      <c r="A70" s="260">
        <v>9.0399999999999994E-2</v>
      </c>
      <c r="B70" s="260">
        <v>4.6511627906976744E-2</v>
      </c>
      <c r="C70" s="256">
        <f t="shared" si="16"/>
        <v>1.9261892049756621E-3</v>
      </c>
      <c r="D70" s="256">
        <f t="shared" si="17"/>
        <v>4.3888372093023251E-2</v>
      </c>
      <c r="E70" s="257"/>
      <c r="H70" s="257"/>
    </row>
    <row r="71" spans="1:13" ht="15">
      <c r="A71" s="260">
        <v>8.7599999999999997E-2</v>
      </c>
      <c r="B71" s="260">
        <v>8.1395348837209294E-2</v>
      </c>
      <c r="C71" s="256">
        <f t="shared" si="16"/>
        <v>3.8497696051920021E-5</v>
      </c>
      <c r="D71" s="256">
        <f t="shared" si="17"/>
        <v>6.2046511627907031E-3</v>
      </c>
      <c r="E71" s="257"/>
      <c r="H71" s="252" t="s">
        <v>294</v>
      </c>
    </row>
    <row r="72" spans="1:13">
      <c r="A72" s="260">
        <v>8.5000000000000006E-2</v>
      </c>
      <c r="B72" s="260">
        <v>6.9767441860465115E-2</v>
      </c>
      <c r="C72" s="256">
        <f t="shared" si="16"/>
        <v>2.3203082747431066E-4</v>
      </c>
      <c r="D72" s="256">
        <f t="shared" si="17"/>
        <v>1.5232558139534891E-2</v>
      </c>
      <c r="E72" s="257"/>
      <c r="H72" s="241" t="s">
        <v>363</v>
      </c>
      <c r="I72" s="241" t="s">
        <v>364</v>
      </c>
    </row>
    <row r="73" spans="1:13">
      <c r="D73" s="331" t="s">
        <v>277</v>
      </c>
      <c r="E73" s="331"/>
      <c r="F73" s="331" t="s">
        <v>294</v>
      </c>
      <c r="G73" s="331"/>
      <c r="H73" t="s">
        <v>337</v>
      </c>
      <c r="I73" t="s">
        <v>338</v>
      </c>
      <c r="J73" t="s">
        <v>365</v>
      </c>
      <c r="K73" t="s">
        <v>366</v>
      </c>
      <c r="L73" t="s">
        <v>367</v>
      </c>
      <c r="M73" t="s">
        <v>368</v>
      </c>
    </row>
    <row r="74" spans="1:13">
      <c r="A74" s="149"/>
      <c r="B74" s="149" t="s">
        <v>343</v>
      </c>
      <c r="C74" s="149" t="s">
        <v>373</v>
      </c>
      <c r="D74" s="149" t="s">
        <v>279</v>
      </c>
      <c r="E74" s="149" t="s">
        <v>344</v>
      </c>
      <c r="F74" s="149" t="s">
        <v>279</v>
      </c>
      <c r="G74" s="149" t="s">
        <v>344</v>
      </c>
      <c r="H74" s="257">
        <v>0.10144927536231882</v>
      </c>
      <c r="I74" s="257">
        <v>0.13286713286713289</v>
      </c>
      <c r="J74" s="246">
        <f>(H74-A63)^2</f>
        <v>3.3308894980046288E-4</v>
      </c>
      <c r="K74" s="246">
        <f>ABS(H74-A63)</f>
        <v>1.8250724637681182E-2</v>
      </c>
      <c r="L74" s="246">
        <f>(I74-A63)^2</f>
        <v>1.7337338794073124E-4</v>
      </c>
      <c r="M74" s="246">
        <f>ABS(I74-A63)</f>
        <v>1.3167132867132891E-2</v>
      </c>
    </row>
    <row r="75" spans="1:13">
      <c r="A75" s="149" t="s">
        <v>345</v>
      </c>
      <c r="B75" s="149" t="s">
        <v>346</v>
      </c>
      <c r="C75" s="149">
        <f>SQRT(SUM(C63:C72))/1.03606</f>
        <v>7.4841329091745692E-2</v>
      </c>
      <c r="D75" s="149">
        <f>SQRT(SUM(J60:J69))/1.03606</f>
        <v>0.17514263774712666</v>
      </c>
      <c r="E75" s="149">
        <f>SQRT(SUM(L60:L69))/1.03606</f>
        <v>6.1065258755152695E-2</v>
      </c>
      <c r="F75" s="149">
        <f>SQRT(SUM(J74:J83))/1.03606</f>
        <v>0.12970172870134181</v>
      </c>
      <c r="G75" s="149">
        <f>SQRT(SUM(L74:L83))/1.03606</f>
        <v>7.3187808509569602E-2</v>
      </c>
      <c r="H75" s="257">
        <v>4.8309178743961352E-2</v>
      </c>
      <c r="I75" s="257">
        <v>0.14685314685314688</v>
      </c>
      <c r="J75" s="246">
        <f t="shared" ref="J75:J83" si="18">(H75-A64)^2</f>
        <v>4.3021558330416125E-3</v>
      </c>
      <c r="K75" s="246">
        <f t="shared" ref="K75:K83" si="19">ABS(H75-A64)</f>
        <v>6.5590821256038656E-2</v>
      </c>
      <c r="L75" s="246">
        <f t="shared" ref="L75:L83" si="20">(I75-A64)^2</f>
        <v>1.0859098875250638E-3</v>
      </c>
      <c r="M75" s="246">
        <f t="shared" ref="M75:M83" si="21">ABS(I75-A64)</f>
        <v>3.2953146853146875E-2</v>
      </c>
    </row>
    <row r="76" spans="1:13">
      <c r="A76" s="149" t="s">
        <v>347</v>
      </c>
      <c r="B76" s="149" t="s">
        <v>348</v>
      </c>
      <c r="C76" s="149">
        <f>(1/10)*SUM(D63:D72)</f>
        <v>2.0434186046511624E-2</v>
      </c>
      <c r="D76" s="149">
        <f>(1/10)*SUM(K60:K69)</f>
        <v>3.2843913043478265E-2</v>
      </c>
      <c r="E76" s="149">
        <f>(1/10)*SUM(M60:M69)</f>
        <v>1.5511958041958047E-2</v>
      </c>
      <c r="F76" s="149">
        <f>(1/10)*SUM(K74:K83)</f>
        <v>2.8956376811594204E-2</v>
      </c>
      <c r="G76" s="149">
        <f>(1/10)*SUM(M74:M83)</f>
        <v>2.0688321678321686E-2</v>
      </c>
      <c r="H76" s="257">
        <v>0.11594202898550723</v>
      </c>
      <c r="I76" s="257">
        <v>0.1048951048951049</v>
      </c>
      <c r="J76" s="246">
        <f t="shared" si="18"/>
        <v>5.1008578029825573E-5</v>
      </c>
      <c r="K76" s="246">
        <f t="shared" si="19"/>
        <v>7.14202898550724E-3</v>
      </c>
      <c r="L76" s="246">
        <f t="shared" si="20"/>
        <v>1.5248205780233699E-5</v>
      </c>
      <c r="M76" s="246">
        <f t="shared" si="21"/>
        <v>3.9048951048950981E-3</v>
      </c>
    </row>
    <row r="77" spans="1:13">
      <c r="A77" s="149" t="s">
        <v>349</v>
      </c>
      <c r="B77" s="149" t="s">
        <v>350</v>
      </c>
      <c r="C77" s="149">
        <f>SUM(C63:C72)*10^4</f>
        <v>60.124682585181176</v>
      </c>
      <c r="D77" s="149">
        <f>SUM(J60:J69)*10^4</f>
        <v>329.27107839389464</v>
      </c>
      <c r="E77" s="149">
        <f>SUM(L60:L69)*10^4</f>
        <v>40.02747704533229</v>
      </c>
      <c r="F77" s="149">
        <f>SUM(J74:J83)*10^4</f>
        <v>180.5765464328222</v>
      </c>
      <c r="G77" s="149">
        <f>SUM(L74:L83)*10^4</f>
        <v>57.497279969680704</v>
      </c>
      <c r="H77" s="257">
        <v>0.12560386473429949</v>
      </c>
      <c r="I77" s="257">
        <v>7.6923076923076927E-2</v>
      </c>
      <c r="J77" s="246">
        <f t="shared" si="18"/>
        <v>4.5385465261732938E-4</v>
      </c>
      <c r="K77" s="246">
        <f t="shared" si="19"/>
        <v>2.1303864734299488E-2</v>
      </c>
      <c r="L77" s="246">
        <f t="shared" si="20"/>
        <v>7.4949591715976326E-4</v>
      </c>
      <c r="M77" s="246">
        <f t="shared" si="21"/>
        <v>2.7376923076923076E-2</v>
      </c>
    </row>
    <row r="78" spans="1:13">
      <c r="H78" s="257">
        <v>9.6618357487922676E-2</v>
      </c>
      <c r="I78" s="257">
        <v>9.0909090909090912E-2</v>
      </c>
      <c r="J78" s="246">
        <f t="shared" si="18"/>
        <v>1.3554491586735027E-5</v>
      </c>
      <c r="K78" s="246">
        <f t="shared" si="19"/>
        <v>3.6816425120773238E-3</v>
      </c>
      <c r="L78" s="246">
        <f t="shared" si="20"/>
        <v>8.8189173553718969E-5</v>
      </c>
      <c r="M78" s="246">
        <f t="shared" si="21"/>
        <v>9.3909090909090887E-3</v>
      </c>
    </row>
    <row r="79" spans="1:13">
      <c r="H79" s="257">
        <v>7.7294685990338161E-2</v>
      </c>
      <c r="I79" s="257">
        <v>6.2937062937062943E-2</v>
      </c>
      <c r="J79" s="246">
        <f t="shared" si="18"/>
        <v>3.7656621181357785E-4</v>
      </c>
      <c r="K79" s="246">
        <f t="shared" si="19"/>
        <v>1.9405314009661834E-2</v>
      </c>
      <c r="L79" s="246">
        <f t="shared" si="20"/>
        <v>1.1399359191158484E-3</v>
      </c>
      <c r="M79" s="246">
        <f t="shared" si="21"/>
        <v>3.3762937062937051E-2</v>
      </c>
    </row>
    <row r="80" spans="1:13">
      <c r="H80" s="257">
        <v>0.10144927536231883</v>
      </c>
      <c r="I80" s="257">
        <v>0.1048951048951049</v>
      </c>
      <c r="J80" s="246">
        <f t="shared" si="18"/>
        <v>6.4790833858433035E-5</v>
      </c>
      <c r="K80" s="246">
        <f t="shared" si="19"/>
        <v>8.0492753623188362E-3</v>
      </c>
      <c r="L80" s="246">
        <f t="shared" si="20"/>
        <v>1.321374365494646E-4</v>
      </c>
      <c r="M80" s="246">
        <f t="shared" si="21"/>
        <v>1.1495104895104899E-2</v>
      </c>
    </row>
    <row r="81" spans="8:13">
      <c r="H81" s="257">
        <v>6.7632850241545889E-2</v>
      </c>
      <c r="I81" s="257">
        <v>9.7902097902097904E-2</v>
      </c>
      <c r="J81" s="246">
        <f t="shared" si="18"/>
        <v>5.1834310812387682E-4</v>
      </c>
      <c r="K81" s="246">
        <f t="shared" si="19"/>
        <v>2.2767149758454105E-2</v>
      </c>
      <c r="L81" s="246">
        <f t="shared" si="20"/>
        <v>5.6281472932661856E-5</v>
      </c>
      <c r="M81" s="246">
        <f t="shared" si="21"/>
        <v>7.5020979020979095E-3</v>
      </c>
    </row>
    <row r="82" spans="8:13">
      <c r="H82" s="257">
        <v>7.2463768115942018E-2</v>
      </c>
      <c r="I82" s="257">
        <v>0.12587412587412589</v>
      </c>
      <c r="J82" s="246">
        <f t="shared" si="18"/>
        <v>2.2910551564797339E-4</v>
      </c>
      <c r="K82" s="246">
        <f t="shared" si="19"/>
        <v>1.513623188405798E-2</v>
      </c>
      <c r="L82" s="246">
        <f t="shared" si="20"/>
        <v>1.4649087114284329E-3</v>
      </c>
      <c r="M82" s="246">
        <f t="shared" si="21"/>
        <v>3.8274125874125889E-2</v>
      </c>
    </row>
    <row r="83" spans="8:13">
      <c r="H83" s="257">
        <v>0.19323671497584538</v>
      </c>
      <c r="I83" s="257">
        <v>5.5944055944055944E-2</v>
      </c>
      <c r="J83" s="246">
        <f t="shared" si="18"/>
        <v>1.1715186468762391E-2</v>
      </c>
      <c r="K83" s="246">
        <f t="shared" si="19"/>
        <v>0.10823671497584537</v>
      </c>
      <c r="L83" s="246">
        <f t="shared" si="20"/>
        <v>8.4424788498215105E-4</v>
      </c>
      <c r="M83" s="246">
        <f t="shared" si="21"/>
        <v>2.9055944055944062E-2</v>
      </c>
    </row>
  </sheetData>
  <mergeCells count="4">
    <mergeCell ref="D33:E33"/>
    <mergeCell ref="F33:G33"/>
    <mergeCell ref="D73:E73"/>
    <mergeCell ref="F73:G7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1F8B-0648-4CBB-9681-FCE01556E034}">
  <dimension ref="A1:X25"/>
  <sheetViews>
    <sheetView zoomScale="90" zoomScaleNormal="90" workbookViewId="0">
      <selection activeCell="O18" sqref="O18"/>
    </sheetView>
  </sheetViews>
  <sheetFormatPr defaultRowHeight="15"/>
  <cols>
    <col min="1" max="14" width="9" style="261"/>
    <col min="15" max="15" width="18.875" style="261" bestFit="1" customWidth="1"/>
    <col min="16" max="16" width="13.375" style="261" bestFit="1" customWidth="1"/>
    <col min="17" max="20" width="14.125" style="261" bestFit="1" customWidth="1"/>
    <col min="21" max="21" width="18.75" style="261" bestFit="1" customWidth="1"/>
    <col min="22" max="22" width="12.875" style="261" bestFit="1" customWidth="1"/>
    <col min="23" max="23" width="14.125" style="261" bestFit="1" customWidth="1"/>
    <col min="24" max="24" width="12.875" style="261" bestFit="1" customWidth="1"/>
    <col min="25" max="25" width="9" style="261" customWidth="1"/>
    <col min="26" max="16384" width="9" style="261"/>
  </cols>
  <sheetData>
    <row r="1" spans="1:24" ht="15.75">
      <c r="O1" s="342" t="s">
        <v>374</v>
      </c>
      <c r="P1" s="343"/>
      <c r="Q1" s="262" t="s">
        <v>375</v>
      </c>
      <c r="R1" s="263" t="s">
        <v>376</v>
      </c>
      <c r="T1" s="264"/>
    </row>
    <row r="2" spans="1:24" ht="15.75" customHeight="1">
      <c r="A2" s="265" t="s">
        <v>377</v>
      </c>
      <c r="O2" s="344"/>
      <c r="P2" s="345"/>
      <c r="Q2" s="266" t="s">
        <v>294</v>
      </c>
      <c r="R2" s="267" t="s">
        <v>294</v>
      </c>
      <c r="S2" s="268"/>
      <c r="T2" s="269"/>
      <c r="U2" s="269"/>
    </row>
    <row r="3" spans="1:24" ht="15.75" hidden="1" customHeight="1">
      <c r="A3" s="265"/>
      <c r="O3" s="346" t="s">
        <v>378</v>
      </c>
      <c r="P3" s="270" t="s">
        <v>379</v>
      </c>
      <c r="Q3" s="271">
        <v>0.7493540051679588</v>
      </c>
      <c r="R3" s="272">
        <v>0.85465116279069753</v>
      </c>
      <c r="S3" s="273"/>
      <c r="T3" s="274"/>
      <c r="U3" s="274"/>
    </row>
    <row r="4" spans="1:24" hidden="1">
      <c r="O4" s="347"/>
      <c r="P4" s="270" t="s">
        <v>380</v>
      </c>
      <c r="Q4" s="271">
        <v>0.432</v>
      </c>
      <c r="R4" s="272">
        <v>0.41</v>
      </c>
      <c r="S4" s="273"/>
      <c r="T4" s="274"/>
      <c r="U4" s="274"/>
    </row>
    <row r="5" spans="1:24" hidden="1">
      <c r="O5" s="348"/>
      <c r="P5" s="270"/>
      <c r="Q5" s="275" t="s">
        <v>326</v>
      </c>
      <c r="R5" s="276" t="s">
        <v>326</v>
      </c>
      <c r="S5" s="273"/>
      <c r="T5" s="274"/>
      <c r="U5" s="274"/>
    </row>
    <row r="6" spans="1:24">
      <c r="O6" s="349" t="s">
        <v>381</v>
      </c>
      <c r="P6" s="270" t="s">
        <v>379</v>
      </c>
      <c r="Q6" s="275">
        <v>28.934320058938304</v>
      </c>
      <c r="R6" s="276">
        <v>10.008406781368185</v>
      </c>
      <c r="S6" s="273"/>
      <c r="T6" s="274"/>
      <c r="U6" s="274"/>
    </row>
    <row r="7" spans="1:24">
      <c r="O7" s="349"/>
      <c r="P7" s="270" t="s">
        <v>380</v>
      </c>
      <c r="Q7" s="275">
        <v>15.5</v>
      </c>
      <c r="R7" s="276">
        <v>16.899999999999999</v>
      </c>
      <c r="S7" s="273" t="s">
        <v>382</v>
      </c>
      <c r="T7" s="274"/>
      <c r="U7" s="274"/>
    </row>
    <row r="8" spans="1:24" ht="15.75" thickBot="1">
      <c r="O8" s="350"/>
      <c r="P8" s="277"/>
      <c r="Q8" s="278" t="s">
        <v>326</v>
      </c>
      <c r="R8" s="279" t="s">
        <v>361</v>
      </c>
      <c r="S8" s="273"/>
    </row>
    <row r="9" spans="1:24">
      <c r="O9" s="280"/>
      <c r="U9" s="273"/>
    </row>
    <row r="10" spans="1:24" ht="15.75">
      <c r="O10" s="265" t="s">
        <v>300</v>
      </c>
      <c r="U10" s="273"/>
    </row>
    <row r="11" spans="1:24" ht="15.75">
      <c r="O11" s="351" t="s">
        <v>383</v>
      </c>
      <c r="P11" s="352"/>
      <c r="Q11" s="353" t="s">
        <v>375</v>
      </c>
      <c r="R11" s="354"/>
      <c r="S11" s="353" t="s">
        <v>376</v>
      </c>
      <c r="T11" s="355"/>
      <c r="U11" s="273"/>
    </row>
    <row r="12" spans="1:24" ht="45">
      <c r="O12" s="281" t="s">
        <v>384</v>
      </c>
      <c r="P12" s="282" t="s">
        <v>385</v>
      </c>
      <c r="Q12" s="332">
        <v>0.12039497552792824</v>
      </c>
      <c r="R12" s="333"/>
      <c r="S12" s="332">
        <v>7.4841329091745692E-2</v>
      </c>
      <c r="T12" s="334"/>
      <c r="U12" s="273" t="s">
        <v>382</v>
      </c>
    </row>
    <row r="13" spans="1:24" ht="45">
      <c r="O13" s="283" t="s">
        <v>347</v>
      </c>
      <c r="P13" s="282" t="s">
        <v>386</v>
      </c>
      <c r="Q13" s="335">
        <v>3.2115245478036167E-2</v>
      </c>
      <c r="R13" s="336"/>
      <c r="S13" s="335">
        <v>2.0434186046511624E-2</v>
      </c>
      <c r="T13" s="337"/>
      <c r="U13" s="273" t="s">
        <v>382</v>
      </c>
      <c r="X13" s="284"/>
    </row>
    <row r="14" spans="1:24" ht="45.75" thickBot="1">
      <c r="O14" s="285" t="s">
        <v>349</v>
      </c>
      <c r="P14" s="286" t="s">
        <v>387</v>
      </c>
      <c r="Q14" s="338">
        <v>155.59174061654943</v>
      </c>
      <c r="R14" s="339"/>
      <c r="S14" s="340">
        <v>60.124682585181176</v>
      </c>
      <c r="T14" s="341"/>
      <c r="U14" s="273" t="s">
        <v>382</v>
      </c>
    </row>
    <row r="16" spans="1:24" ht="15.75">
      <c r="O16" s="265"/>
      <c r="Q16" s="287"/>
      <c r="R16" s="287"/>
      <c r="S16" s="287"/>
      <c r="T16" s="287"/>
      <c r="U16" s="287"/>
      <c r="V16" s="287"/>
      <c r="W16" s="287"/>
      <c r="X16" s="287"/>
    </row>
    <row r="17" spans="1:24" ht="15.75">
      <c r="O17" s="265"/>
      <c r="P17" s="265"/>
      <c r="Q17" s="288"/>
      <c r="R17" s="288"/>
      <c r="S17" s="288"/>
      <c r="T17" s="288"/>
      <c r="U17" s="288"/>
      <c r="V17" s="288"/>
      <c r="W17" s="288"/>
      <c r="X17" s="288"/>
    </row>
    <row r="18" spans="1:24">
      <c r="O18" s="289"/>
      <c r="P18" s="290"/>
      <c r="Q18" s="291"/>
      <c r="R18" s="291"/>
      <c r="S18" s="291"/>
      <c r="T18" s="291"/>
      <c r="U18" s="291"/>
      <c r="V18" s="291"/>
      <c r="W18" s="291"/>
      <c r="X18" s="291"/>
    </row>
    <row r="19" spans="1:24">
      <c r="O19" s="280"/>
      <c r="P19" s="290"/>
      <c r="Q19" s="291"/>
      <c r="R19" s="291"/>
      <c r="S19" s="291"/>
      <c r="T19" s="291"/>
      <c r="U19" s="291"/>
      <c r="V19" s="291"/>
      <c r="W19" s="291"/>
      <c r="X19" s="291"/>
    </row>
    <row r="20" spans="1:24">
      <c r="O20" s="280"/>
      <c r="P20" s="290"/>
      <c r="Q20" s="291"/>
      <c r="R20" s="291"/>
      <c r="S20" s="291"/>
      <c r="T20" s="291"/>
      <c r="U20" s="291"/>
      <c r="V20" s="291"/>
      <c r="W20" s="291"/>
      <c r="X20" s="291"/>
    </row>
    <row r="23" spans="1:24">
      <c r="R23" s="292"/>
      <c r="V23" s="292"/>
    </row>
    <row r="24" spans="1:24">
      <c r="R24" s="293"/>
      <c r="V24" s="293"/>
    </row>
    <row r="25" spans="1:24" ht="15.75">
      <c r="A25" s="265"/>
      <c r="R25" s="293"/>
      <c r="V25" s="292"/>
    </row>
  </sheetData>
  <mergeCells count="12">
    <mergeCell ref="S11:T11"/>
    <mergeCell ref="O1:P2"/>
    <mergeCell ref="O3:O5"/>
    <mergeCell ref="O6:O8"/>
    <mergeCell ref="O11:P11"/>
    <mergeCell ref="Q11:R11"/>
    <mergeCell ref="Q12:R12"/>
    <mergeCell ref="S12:T12"/>
    <mergeCell ref="Q13:R13"/>
    <mergeCell ref="S13:T13"/>
    <mergeCell ref="Q14:R14"/>
    <mergeCell ref="S14:T14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EC45-BE04-467B-8C19-8EB354547B8D}">
  <dimension ref="A1:E13"/>
  <sheetViews>
    <sheetView tabSelected="1" workbookViewId="0">
      <selection activeCell="H14" sqref="H14"/>
    </sheetView>
  </sheetViews>
  <sheetFormatPr defaultRowHeight="15.75"/>
  <cols>
    <col min="1" max="1" width="11.75" style="297" customWidth="1"/>
    <col min="2" max="5" width="21.875" style="297" customWidth="1"/>
    <col min="6" max="16384" width="9" style="294"/>
  </cols>
  <sheetData>
    <row r="1" spans="1:5" ht="22.5" customHeight="1">
      <c r="A1" s="356" t="s">
        <v>388</v>
      </c>
      <c r="B1" s="356"/>
      <c r="C1" s="356"/>
      <c r="D1" s="356"/>
      <c r="E1" s="356"/>
    </row>
    <row r="2" spans="1:5" ht="31.5">
      <c r="A2" s="295" t="s">
        <v>306</v>
      </c>
      <c r="B2" s="295" t="s">
        <v>389</v>
      </c>
      <c r="C2" s="295" t="s">
        <v>390</v>
      </c>
      <c r="D2" s="295" t="s">
        <v>391</v>
      </c>
      <c r="E2" s="295" t="s">
        <v>392</v>
      </c>
    </row>
    <row r="3" spans="1:5">
      <c r="A3" s="295">
        <v>0</v>
      </c>
      <c r="B3" s="295" t="s">
        <v>393</v>
      </c>
      <c r="C3" s="296">
        <v>0.11967999999999999</v>
      </c>
      <c r="D3" s="296">
        <v>0.10178</v>
      </c>
      <c r="E3" s="296">
        <v>0.10018000000000001</v>
      </c>
    </row>
    <row r="4" spans="1:5">
      <c r="A4" s="295">
        <v>1</v>
      </c>
      <c r="B4" s="296">
        <v>0.30103000000000002</v>
      </c>
      <c r="C4" s="296">
        <v>0.11389000000000001</v>
      </c>
      <c r="D4" s="296">
        <v>0.10138</v>
      </c>
      <c r="E4" s="296">
        <v>0.10014000000000001</v>
      </c>
    </row>
    <row r="5" spans="1:5">
      <c r="A5" s="295">
        <v>2</v>
      </c>
      <c r="B5" s="296">
        <v>0.17609</v>
      </c>
      <c r="C5" s="296">
        <v>0.10882</v>
      </c>
      <c r="D5" s="296">
        <v>0.10097</v>
      </c>
      <c r="E5" s="296">
        <v>0.10009999999999999</v>
      </c>
    </row>
    <row r="6" spans="1:5">
      <c r="A6" s="295">
        <v>3</v>
      </c>
      <c r="B6" s="296">
        <v>0.12494</v>
      </c>
      <c r="C6" s="296">
        <v>0.10433000000000001</v>
      </c>
      <c r="D6" s="296">
        <v>0.10057000000000001</v>
      </c>
      <c r="E6" s="296">
        <v>0.10006</v>
      </c>
    </row>
    <row r="7" spans="1:5">
      <c r="A7" s="295">
        <v>4</v>
      </c>
      <c r="B7" s="296">
        <v>9.6909999999999996E-2</v>
      </c>
      <c r="C7" s="296">
        <v>0.10031</v>
      </c>
      <c r="D7" s="296">
        <v>0.10018000000000001</v>
      </c>
      <c r="E7" s="296">
        <v>0.10002</v>
      </c>
    </row>
    <row r="8" spans="1:5">
      <c r="A8" s="295">
        <v>5</v>
      </c>
      <c r="B8" s="296">
        <v>7.918E-2</v>
      </c>
      <c r="C8" s="296">
        <v>9.6680000000000002E-2</v>
      </c>
      <c r="D8" s="296">
        <v>9.9790000000000004E-2</v>
      </c>
      <c r="E8" s="296">
        <v>9.9979999999999999E-2</v>
      </c>
    </row>
    <row r="9" spans="1:5">
      <c r="A9" s="295">
        <v>6</v>
      </c>
      <c r="B9" s="296">
        <v>6.6949999999999996E-2</v>
      </c>
      <c r="C9" s="296">
        <v>9.3369999999999995E-2</v>
      </c>
      <c r="D9" s="296">
        <v>9.9400000000000002E-2</v>
      </c>
      <c r="E9" s="296">
        <v>9.9940000000000001E-2</v>
      </c>
    </row>
    <row r="10" spans="1:5">
      <c r="A10" s="295">
        <v>7</v>
      </c>
      <c r="B10" s="296">
        <v>5.799E-2</v>
      </c>
      <c r="C10" s="296">
        <v>9.035E-2</v>
      </c>
      <c r="D10" s="296">
        <v>9.9019999999999997E-2</v>
      </c>
      <c r="E10" s="296">
        <v>9.9900000000000003E-2</v>
      </c>
    </row>
    <row r="11" spans="1:5">
      <c r="A11" s="295">
        <v>8</v>
      </c>
      <c r="B11" s="296">
        <v>5.1150000000000001E-2</v>
      </c>
      <c r="C11" s="296">
        <v>8.7569999999999995E-2</v>
      </c>
      <c r="D11" s="296">
        <v>9.8640000000000005E-2</v>
      </c>
      <c r="E11" s="296">
        <v>9.9860000000000004E-2</v>
      </c>
    </row>
    <row r="12" spans="1:5">
      <c r="A12" s="295">
        <v>9</v>
      </c>
      <c r="B12" s="296">
        <v>4.5760000000000002E-2</v>
      </c>
      <c r="C12" s="296">
        <v>8.5000000000000006E-2</v>
      </c>
      <c r="D12" s="296">
        <v>9.8269999999999996E-2</v>
      </c>
      <c r="E12" s="296">
        <v>9.9820000000000006E-2</v>
      </c>
    </row>
    <row r="13" spans="1:5">
      <c r="A13" s="357" t="s">
        <v>394</v>
      </c>
      <c r="B13" s="358"/>
      <c r="C13" s="358"/>
      <c r="D13" s="358"/>
      <c r="E13" s="359"/>
    </row>
  </sheetData>
  <mergeCells count="2">
    <mergeCell ref="A1:E1"/>
    <mergeCell ref="A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951-9646-4636-B3C7-9348D1F07912}">
  <dimension ref="A1:AD213"/>
  <sheetViews>
    <sheetView showGridLines="0" zoomScale="70" zoomScaleNormal="7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B103" sqref="AB103"/>
    </sheetView>
  </sheetViews>
  <sheetFormatPr defaultRowHeight="14.25"/>
  <cols>
    <col min="1" max="1" width="13.25" customWidth="1"/>
    <col min="2" max="2" width="12.75" customWidth="1"/>
    <col min="3" max="3" width="19.875" bestFit="1" customWidth="1"/>
    <col min="4" max="4" width="17.125" customWidth="1"/>
    <col min="11" max="11" width="15.125" customWidth="1"/>
    <col min="12" max="13" width="19.375" customWidth="1"/>
  </cols>
  <sheetData>
    <row r="1" spans="1:4" ht="15.75">
      <c r="A1" s="21" t="s">
        <v>26</v>
      </c>
      <c r="B1" s="21" t="s">
        <v>36</v>
      </c>
      <c r="C1" s="22" t="s">
        <v>37</v>
      </c>
      <c r="D1" s="22" t="s">
        <v>38</v>
      </c>
    </row>
    <row r="2" spans="1:4" ht="15.75">
      <c r="A2" s="23">
        <v>1</v>
      </c>
      <c r="B2" s="24">
        <v>44313</v>
      </c>
      <c r="C2" s="25">
        <v>0</v>
      </c>
      <c r="D2" s="25"/>
    </row>
    <row r="3" spans="1:4" ht="15.75">
      <c r="A3" s="23">
        <v>2</v>
      </c>
      <c r="B3" s="24">
        <v>44314</v>
      </c>
      <c r="C3" s="25">
        <v>0</v>
      </c>
      <c r="D3" s="25">
        <f>C3-C2</f>
        <v>0</v>
      </c>
    </row>
    <row r="4" spans="1:4" ht="15.75">
      <c r="A4" s="23">
        <v>3</v>
      </c>
      <c r="B4" s="24">
        <v>44315</v>
      </c>
      <c r="C4" s="25">
        <v>1</v>
      </c>
      <c r="D4" s="25">
        <f t="shared" ref="D4:D67" si="0">C4-C3</f>
        <v>1</v>
      </c>
    </row>
    <row r="5" spans="1:4" ht="15.75">
      <c r="A5" s="23">
        <v>4</v>
      </c>
      <c r="B5" s="24">
        <v>44316</v>
      </c>
      <c r="C5" s="25">
        <v>2</v>
      </c>
      <c r="D5" s="25">
        <f t="shared" si="0"/>
        <v>1</v>
      </c>
    </row>
    <row r="6" spans="1:4" ht="15.75">
      <c r="A6" s="23">
        <v>5</v>
      </c>
      <c r="B6" s="24">
        <v>44317</v>
      </c>
      <c r="C6" s="25">
        <v>3</v>
      </c>
      <c r="D6" s="25">
        <f t="shared" si="0"/>
        <v>1</v>
      </c>
    </row>
    <row r="7" spans="1:4" ht="15.75">
      <c r="A7" s="23">
        <v>6</v>
      </c>
      <c r="B7" s="24">
        <v>44318</v>
      </c>
      <c r="C7" s="25">
        <v>0</v>
      </c>
      <c r="D7" s="25">
        <f t="shared" si="0"/>
        <v>-3</v>
      </c>
    </row>
    <row r="8" spans="1:4" ht="15.75">
      <c r="A8" s="23">
        <v>7</v>
      </c>
      <c r="B8" s="24">
        <v>44319</v>
      </c>
      <c r="C8" s="25">
        <v>0</v>
      </c>
      <c r="D8" s="25">
        <f t="shared" si="0"/>
        <v>0</v>
      </c>
    </row>
    <row r="9" spans="1:4" ht="15.75">
      <c r="A9" s="23">
        <v>8</v>
      </c>
      <c r="B9" s="24">
        <v>44320</v>
      </c>
      <c r="C9" s="25">
        <v>3</v>
      </c>
      <c r="D9" s="25">
        <f t="shared" si="0"/>
        <v>3</v>
      </c>
    </row>
    <row r="10" spans="1:4" ht="15.75">
      <c r="A10" s="23">
        <v>9</v>
      </c>
      <c r="B10" s="24">
        <v>44321</v>
      </c>
      <c r="C10" s="25">
        <v>1</v>
      </c>
      <c r="D10" s="25">
        <f t="shared" si="0"/>
        <v>-2</v>
      </c>
    </row>
    <row r="11" spans="1:4" ht="15.75">
      <c r="A11" s="23">
        <v>10</v>
      </c>
      <c r="B11" s="24">
        <v>44322</v>
      </c>
      <c r="C11" s="25">
        <v>0</v>
      </c>
      <c r="D11" s="25">
        <f t="shared" si="0"/>
        <v>-1</v>
      </c>
    </row>
    <row r="12" spans="1:4" ht="15.75">
      <c r="A12" s="23">
        <v>11</v>
      </c>
      <c r="B12" s="24">
        <v>44323</v>
      </c>
      <c r="C12" s="25">
        <v>2</v>
      </c>
      <c r="D12" s="25">
        <f t="shared" si="0"/>
        <v>2</v>
      </c>
    </row>
    <row r="13" spans="1:4" ht="15.75">
      <c r="A13" s="23">
        <v>12</v>
      </c>
      <c r="B13" s="24">
        <v>44324</v>
      </c>
      <c r="C13" s="25">
        <v>1</v>
      </c>
      <c r="D13" s="25">
        <f t="shared" si="0"/>
        <v>-1</v>
      </c>
    </row>
    <row r="14" spans="1:4" ht="15.75">
      <c r="A14" s="23">
        <v>13</v>
      </c>
      <c r="B14" s="24">
        <v>44325</v>
      </c>
      <c r="C14" s="25">
        <v>0</v>
      </c>
      <c r="D14" s="25">
        <f t="shared" si="0"/>
        <v>-1</v>
      </c>
    </row>
    <row r="15" spans="1:4" ht="15.75">
      <c r="A15" s="23">
        <v>14</v>
      </c>
      <c r="B15" s="24">
        <v>44326</v>
      </c>
      <c r="C15" s="25">
        <v>0</v>
      </c>
      <c r="D15" s="25">
        <f t="shared" si="0"/>
        <v>0</v>
      </c>
    </row>
    <row r="16" spans="1:4" ht="15.75">
      <c r="A16" s="23">
        <v>15</v>
      </c>
      <c r="B16" s="24">
        <v>44327</v>
      </c>
      <c r="C16" s="25">
        <v>3</v>
      </c>
      <c r="D16" s="25">
        <f t="shared" si="0"/>
        <v>3</v>
      </c>
    </row>
    <row r="17" spans="1:4" ht="15.75">
      <c r="A17" s="23">
        <v>16</v>
      </c>
      <c r="B17" s="24">
        <v>44328</v>
      </c>
      <c r="C17" s="25">
        <v>0</v>
      </c>
      <c r="D17" s="25">
        <f t="shared" si="0"/>
        <v>-3</v>
      </c>
    </row>
    <row r="18" spans="1:4" ht="15.75">
      <c r="A18" s="23">
        <v>17</v>
      </c>
      <c r="B18" s="24">
        <v>44329</v>
      </c>
      <c r="C18" s="25">
        <v>0</v>
      </c>
      <c r="D18" s="25">
        <f t="shared" si="0"/>
        <v>0</v>
      </c>
    </row>
    <row r="19" spans="1:4" ht="15.75">
      <c r="A19" s="23">
        <v>18</v>
      </c>
      <c r="B19" s="24">
        <v>44330</v>
      </c>
      <c r="C19" s="25">
        <v>0</v>
      </c>
      <c r="D19" s="25">
        <f t="shared" si="0"/>
        <v>0</v>
      </c>
    </row>
    <row r="20" spans="1:4" ht="15.75">
      <c r="A20" s="23">
        <v>19</v>
      </c>
      <c r="B20" s="24">
        <v>44331</v>
      </c>
      <c r="C20" s="25">
        <v>0</v>
      </c>
      <c r="D20" s="25">
        <f t="shared" si="0"/>
        <v>0</v>
      </c>
    </row>
    <row r="21" spans="1:4" ht="15.75">
      <c r="A21" s="23">
        <v>20</v>
      </c>
      <c r="B21" s="24">
        <v>44332</v>
      </c>
      <c r="C21" s="25">
        <v>0</v>
      </c>
      <c r="D21" s="25">
        <f t="shared" si="0"/>
        <v>0</v>
      </c>
    </row>
    <row r="22" spans="1:4" ht="15.75">
      <c r="A22" s="23">
        <v>21</v>
      </c>
      <c r="B22" s="24">
        <v>44333</v>
      </c>
      <c r="C22" s="25">
        <v>2</v>
      </c>
      <c r="D22" s="25">
        <f t="shared" si="0"/>
        <v>2</v>
      </c>
    </row>
    <row r="23" spans="1:4" ht="15.75">
      <c r="A23" s="23">
        <v>22</v>
      </c>
      <c r="B23" s="24">
        <v>44334</v>
      </c>
      <c r="C23" s="25">
        <v>1</v>
      </c>
      <c r="D23" s="25">
        <f t="shared" si="0"/>
        <v>-1</v>
      </c>
    </row>
    <row r="24" spans="1:4" ht="15.75">
      <c r="A24" s="23">
        <v>23</v>
      </c>
      <c r="B24" s="24">
        <v>44335</v>
      </c>
      <c r="C24" s="25">
        <v>1</v>
      </c>
      <c r="D24" s="25">
        <f t="shared" si="0"/>
        <v>0</v>
      </c>
    </row>
    <row r="25" spans="1:4" ht="15.75">
      <c r="A25" s="23">
        <v>24</v>
      </c>
      <c r="B25" s="24">
        <v>44336</v>
      </c>
      <c r="C25" s="25">
        <v>3</v>
      </c>
      <c r="D25" s="25">
        <f t="shared" si="0"/>
        <v>2</v>
      </c>
    </row>
    <row r="26" spans="1:4" ht="15.75">
      <c r="A26" s="23">
        <v>25</v>
      </c>
      <c r="B26" s="24">
        <v>44337</v>
      </c>
      <c r="C26" s="25">
        <v>0</v>
      </c>
      <c r="D26" s="25">
        <f t="shared" si="0"/>
        <v>-3</v>
      </c>
    </row>
    <row r="27" spans="1:4" ht="15.75">
      <c r="A27" s="23">
        <v>26</v>
      </c>
      <c r="B27" s="24">
        <v>44338</v>
      </c>
      <c r="C27" s="25">
        <v>0</v>
      </c>
      <c r="D27" s="25">
        <f t="shared" si="0"/>
        <v>0</v>
      </c>
    </row>
    <row r="28" spans="1:4" ht="15.75">
      <c r="A28" s="23">
        <v>27</v>
      </c>
      <c r="B28" s="24">
        <v>44339</v>
      </c>
      <c r="C28" s="25">
        <v>0</v>
      </c>
      <c r="D28" s="25">
        <f t="shared" si="0"/>
        <v>0</v>
      </c>
    </row>
    <row r="29" spans="1:4" ht="15.75">
      <c r="A29" s="23">
        <v>28</v>
      </c>
      <c r="B29" s="24">
        <v>44340</v>
      </c>
      <c r="C29" s="25">
        <v>1</v>
      </c>
      <c r="D29" s="25">
        <f t="shared" si="0"/>
        <v>1</v>
      </c>
    </row>
    <row r="30" spans="1:4" ht="15.75">
      <c r="A30" s="23">
        <v>29</v>
      </c>
      <c r="B30" s="24">
        <v>44341</v>
      </c>
      <c r="C30" s="25">
        <v>1</v>
      </c>
      <c r="D30" s="25">
        <f t="shared" si="0"/>
        <v>0</v>
      </c>
    </row>
    <row r="31" spans="1:4" ht="15.75">
      <c r="A31" s="23">
        <v>30</v>
      </c>
      <c r="B31" s="24">
        <v>44342</v>
      </c>
      <c r="C31" s="25">
        <v>0</v>
      </c>
      <c r="D31" s="25">
        <f t="shared" si="0"/>
        <v>-1</v>
      </c>
    </row>
    <row r="32" spans="1:4" ht="15.75">
      <c r="A32" s="23">
        <v>31</v>
      </c>
      <c r="B32" s="24">
        <v>44343</v>
      </c>
      <c r="C32" s="25">
        <v>36</v>
      </c>
      <c r="D32" s="25">
        <f t="shared" si="0"/>
        <v>36</v>
      </c>
    </row>
    <row r="33" spans="1:4" ht="15.75">
      <c r="A33" s="23">
        <v>32</v>
      </c>
      <c r="B33" s="24">
        <v>44344</v>
      </c>
      <c r="C33" s="25">
        <v>0</v>
      </c>
      <c r="D33" s="25">
        <f t="shared" si="0"/>
        <v>-36</v>
      </c>
    </row>
    <row r="34" spans="1:4" ht="15.75">
      <c r="A34" s="23">
        <v>33</v>
      </c>
      <c r="B34" s="24">
        <v>44345</v>
      </c>
      <c r="C34" s="25">
        <v>0</v>
      </c>
      <c r="D34" s="25">
        <f t="shared" si="0"/>
        <v>0</v>
      </c>
    </row>
    <row r="35" spans="1:4" ht="15.75">
      <c r="A35" s="23">
        <v>34</v>
      </c>
      <c r="B35" s="24">
        <v>44346</v>
      </c>
      <c r="C35" s="25">
        <v>51</v>
      </c>
      <c r="D35" s="25">
        <f t="shared" si="0"/>
        <v>51</v>
      </c>
    </row>
    <row r="36" spans="1:4" ht="15.75">
      <c r="A36" s="23">
        <v>35</v>
      </c>
      <c r="B36" s="24">
        <v>44347</v>
      </c>
      <c r="C36" s="25">
        <v>0</v>
      </c>
      <c r="D36" s="25">
        <f t="shared" si="0"/>
        <v>-51</v>
      </c>
    </row>
    <row r="37" spans="1:4" ht="15.75">
      <c r="A37" s="23">
        <v>36</v>
      </c>
      <c r="B37" s="24">
        <v>44348</v>
      </c>
      <c r="C37" s="25">
        <v>0</v>
      </c>
      <c r="D37" s="25">
        <f t="shared" si="0"/>
        <v>0</v>
      </c>
    </row>
    <row r="38" spans="1:4" ht="15.75">
      <c r="A38" s="23">
        <v>37</v>
      </c>
      <c r="B38" s="24">
        <v>44349</v>
      </c>
      <c r="C38" s="25">
        <v>33</v>
      </c>
      <c r="D38" s="25">
        <f t="shared" si="0"/>
        <v>33</v>
      </c>
    </row>
    <row r="39" spans="1:4" ht="15.75">
      <c r="A39" s="23">
        <v>38</v>
      </c>
      <c r="B39" s="24">
        <v>44350</v>
      </c>
      <c r="C39" s="25">
        <v>0</v>
      </c>
      <c r="D39" s="25">
        <f t="shared" si="0"/>
        <v>-33</v>
      </c>
    </row>
    <row r="40" spans="1:4" ht="15.75">
      <c r="A40" s="23">
        <v>39</v>
      </c>
      <c r="B40" s="24">
        <v>44351</v>
      </c>
      <c r="C40" s="25">
        <v>36</v>
      </c>
      <c r="D40" s="25">
        <f t="shared" si="0"/>
        <v>36</v>
      </c>
    </row>
    <row r="41" spans="1:4" ht="15.75">
      <c r="A41" s="23">
        <v>40</v>
      </c>
      <c r="B41" s="24">
        <v>44352</v>
      </c>
      <c r="C41" s="25">
        <v>31</v>
      </c>
      <c r="D41" s="25">
        <f t="shared" si="0"/>
        <v>-5</v>
      </c>
    </row>
    <row r="42" spans="1:4" ht="15.75">
      <c r="A42" s="23">
        <v>41</v>
      </c>
      <c r="B42" s="24">
        <v>44353</v>
      </c>
      <c r="C42" s="25">
        <v>33</v>
      </c>
      <c r="D42" s="25">
        <f t="shared" si="0"/>
        <v>2</v>
      </c>
    </row>
    <row r="43" spans="1:4" ht="15.75">
      <c r="A43" s="23">
        <v>42</v>
      </c>
      <c r="B43" s="24">
        <v>44354</v>
      </c>
      <c r="C43" s="25">
        <v>69</v>
      </c>
      <c r="D43" s="25">
        <f t="shared" si="0"/>
        <v>36</v>
      </c>
    </row>
    <row r="44" spans="1:4" ht="15.75">
      <c r="A44" s="23">
        <v>43</v>
      </c>
      <c r="B44" s="24">
        <v>44355</v>
      </c>
      <c r="C44" s="25">
        <v>39</v>
      </c>
      <c r="D44" s="25">
        <f t="shared" si="0"/>
        <v>-30</v>
      </c>
    </row>
    <row r="45" spans="1:4" ht="15.75">
      <c r="A45" s="23">
        <v>44</v>
      </c>
      <c r="B45" s="24">
        <v>44356</v>
      </c>
      <c r="C45" s="25">
        <v>66</v>
      </c>
      <c r="D45" s="25">
        <f t="shared" si="0"/>
        <v>27</v>
      </c>
    </row>
    <row r="46" spans="1:4" ht="15.75">
      <c r="A46" s="23">
        <v>45</v>
      </c>
      <c r="B46" s="24">
        <v>44357</v>
      </c>
      <c r="C46" s="25">
        <v>45</v>
      </c>
      <c r="D46" s="25">
        <f t="shared" si="0"/>
        <v>-21</v>
      </c>
    </row>
    <row r="47" spans="1:4" ht="15.75">
      <c r="A47" s="23">
        <v>46</v>
      </c>
      <c r="B47" s="24">
        <v>44358</v>
      </c>
      <c r="C47" s="25">
        <v>58</v>
      </c>
      <c r="D47" s="25">
        <f t="shared" si="0"/>
        <v>13</v>
      </c>
    </row>
    <row r="48" spans="1:4" ht="15.75">
      <c r="A48" s="23">
        <v>47</v>
      </c>
      <c r="B48" s="24">
        <v>44359</v>
      </c>
      <c r="C48" s="25">
        <v>84</v>
      </c>
      <c r="D48" s="25">
        <f t="shared" si="0"/>
        <v>26</v>
      </c>
    </row>
    <row r="49" spans="1:23" ht="15.75">
      <c r="A49" s="23">
        <v>48</v>
      </c>
      <c r="B49" s="24">
        <v>44360</v>
      </c>
      <c r="C49" s="25">
        <v>95</v>
      </c>
      <c r="D49" s="25">
        <f t="shared" si="0"/>
        <v>11</v>
      </c>
    </row>
    <row r="50" spans="1:23" ht="15.75">
      <c r="A50" s="23">
        <v>49</v>
      </c>
      <c r="B50" s="24">
        <v>44361</v>
      </c>
      <c r="C50" s="25">
        <v>86</v>
      </c>
      <c r="D50" s="25">
        <f t="shared" si="0"/>
        <v>-9</v>
      </c>
    </row>
    <row r="51" spans="1:23" ht="15.75">
      <c r="A51" s="23">
        <v>50</v>
      </c>
      <c r="B51" s="24">
        <v>44362</v>
      </c>
      <c r="C51" s="25">
        <v>90</v>
      </c>
      <c r="D51" s="25">
        <f t="shared" si="0"/>
        <v>4</v>
      </c>
      <c r="F51" t="s">
        <v>39</v>
      </c>
      <c r="U51" t="s">
        <v>40</v>
      </c>
    </row>
    <row r="52" spans="1:23" ht="15.75">
      <c r="A52" s="23">
        <v>51</v>
      </c>
      <c r="B52" s="24">
        <v>44363</v>
      </c>
      <c r="C52" s="25">
        <v>100</v>
      </c>
      <c r="D52" s="25">
        <f t="shared" si="0"/>
        <v>10</v>
      </c>
    </row>
    <row r="53" spans="1:23" ht="15.75">
      <c r="A53" s="23">
        <v>52</v>
      </c>
      <c r="B53" s="24">
        <v>44364</v>
      </c>
      <c r="C53" s="25">
        <v>137</v>
      </c>
      <c r="D53" s="25">
        <f t="shared" si="0"/>
        <v>37</v>
      </c>
      <c r="F53" t="s">
        <v>41</v>
      </c>
      <c r="G53" t="s">
        <v>42</v>
      </c>
      <c r="H53" t="s">
        <v>43</v>
      </c>
      <c r="I53" t="s">
        <v>44</v>
      </c>
      <c r="U53" t="s">
        <v>41</v>
      </c>
      <c r="V53" t="s">
        <v>45</v>
      </c>
      <c r="W53" t="s">
        <v>43</v>
      </c>
    </row>
    <row r="54" spans="1:23" ht="15.75">
      <c r="A54" s="23">
        <v>53</v>
      </c>
      <c r="B54" s="24">
        <v>44365</v>
      </c>
      <c r="C54" s="25">
        <v>149</v>
      </c>
      <c r="D54" s="25">
        <f t="shared" si="0"/>
        <v>12</v>
      </c>
      <c r="F54">
        <v>1</v>
      </c>
      <c r="G54">
        <v>-0.62740499999999999</v>
      </c>
      <c r="H54">
        <v>-9.11</v>
      </c>
      <c r="I54">
        <v>84.24</v>
      </c>
      <c r="U54">
        <v>1</v>
      </c>
      <c r="V54">
        <v>-0.62740499999999999</v>
      </c>
      <c r="W54">
        <v>-9.11</v>
      </c>
    </row>
    <row r="55" spans="1:23" ht="15.75">
      <c r="A55" s="23">
        <v>54</v>
      </c>
      <c r="B55" s="24">
        <v>44366</v>
      </c>
      <c r="C55" s="25">
        <v>135</v>
      </c>
      <c r="D55" s="25">
        <f t="shared" si="0"/>
        <v>-14</v>
      </c>
      <c r="F55">
        <v>2</v>
      </c>
      <c r="G55">
        <v>0.324299</v>
      </c>
      <c r="H55">
        <v>3.52</v>
      </c>
      <c r="I55">
        <v>106.86</v>
      </c>
      <c r="U55">
        <v>2</v>
      </c>
      <c r="V55">
        <v>-0.11434999999999999</v>
      </c>
      <c r="W55">
        <v>-1.66</v>
      </c>
    </row>
    <row r="56" spans="1:23" ht="15.75">
      <c r="A56" s="23">
        <v>55</v>
      </c>
      <c r="B56" s="24">
        <v>44367</v>
      </c>
      <c r="C56" s="25">
        <v>137</v>
      </c>
      <c r="D56" s="25">
        <f t="shared" si="0"/>
        <v>2</v>
      </c>
      <c r="F56">
        <v>3</v>
      </c>
      <c r="G56">
        <v>-0.27710899999999999</v>
      </c>
      <c r="H56">
        <v>-2.85</v>
      </c>
      <c r="I56">
        <v>123.45</v>
      </c>
      <c r="U56">
        <v>3</v>
      </c>
      <c r="V56">
        <v>-0.204064</v>
      </c>
      <c r="W56">
        <v>-2.96</v>
      </c>
    </row>
    <row r="57" spans="1:23" ht="15.75">
      <c r="A57" s="23">
        <v>56</v>
      </c>
      <c r="B57" s="24">
        <v>44368</v>
      </c>
      <c r="C57" s="25">
        <v>166</v>
      </c>
      <c r="D57" s="25">
        <f t="shared" si="0"/>
        <v>29</v>
      </c>
      <c r="F57">
        <v>4</v>
      </c>
      <c r="G57">
        <v>0.245473</v>
      </c>
      <c r="H57">
        <v>2.4300000000000002</v>
      </c>
      <c r="I57">
        <v>136.53</v>
      </c>
      <c r="U57">
        <v>4</v>
      </c>
      <c r="V57">
        <v>1.024E-3</v>
      </c>
      <c r="W57">
        <v>0.01</v>
      </c>
    </row>
    <row r="58" spans="1:23" ht="15.75">
      <c r="A58" s="23">
        <v>57</v>
      </c>
      <c r="B58" s="24">
        <v>44369</v>
      </c>
      <c r="C58" s="25">
        <v>136</v>
      </c>
      <c r="D58" s="25">
        <f t="shared" si="0"/>
        <v>-30</v>
      </c>
      <c r="F58">
        <v>5</v>
      </c>
      <c r="G58">
        <v>-8.9688000000000004E-2</v>
      </c>
      <c r="H58">
        <v>-0.86</v>
      </c>
      <c r="I58">
        <v>138.29</v>
      </c>
      <c r="U58">
        <v>5</v>
      </c>
      <c r="V58">
        <v>0.14479500000000001</v>
      </c>
      <c r="W58">
        <v>2.1</v>
      </c>
    </row>
    <row r="59" spans="1:23" ht="15.75">
      <c r="A59" s="23">
        <v>58</v>
      </c>
      <c r="B59" s="24">
        <v>44370</v>
      </c>
      <c r="C59" s="25">
        <v>152</v>
      </c>
      <c r="D59" s="25">
        <f t="shared" si="0"/>
        <v>16</v>
      </c>
      <c r="F59">
        <v>6</v>
      </c>
      <c r="G59">
        <v>-7.1124999999999994E-2</v>
      </c>
      <c r="H59">
        <v>-0.68</v>
      </c>
      <c r="I59">
        <v>139.4</v>
      </c>
      <c r="U59">
        <v>6</v>
      </c>
      <c r="V59">
        <v>-0.123885</v>
      </c>
      <c r="W59">
        <v>-1.8</v>
      </c>
    </row>
    <row r="60" spans="1:23" ht="15.75">
      <c r="A60" s="23">
        <v>59</v>
      </c>
      <c r="B60" s="24">
        <v>44371</v>
      </c>
      <c r="C60" s="25">
        <v>207</v>
      </c>
      <c r="D60" s="25">
        <f t="shared" si="0"/>
        <v>55</v>
      </c>
      <c r="F60">
        <v>7</v>
      </c>
      <c r="G60">
        <v>0.17425499999999999</v>
      </c>
      <c r="H60">
        <v>1.67</v>
      </c>
      <c r="I60">
        <v>146.09</v>
      </c>
      <c r="U60">
        <v>7</v>
      </c>
      <c r="V60">
        <v>0.13850000000000001</v>
      </c>
      <c r="W60">
        <v>2.0099999999999998</v>
      </c>
    </row>
    <row r="61" spans="1:23" ht="15.75">
      <c r="A61" s="23">
        <v>60</v>
      </c>
      <c r="B61" s="24">
        <v>44372</v>
      </c>
      <c r="C61" s="25">
        <v>165</v>
      </c>
      <c r="D61" s="25">
        <f t="shared" si="0"/>
        <v>-42</v>
      </c>
      <c r="F61">
        <v>8</v>
      </c>
      <c r="G61">
        <v>-0.17097000000000001</v>
      </c>
      <c r="H61">
        <v>-1.62</v>
      </c>
      <c r="I61">
        <v>152.56</v>
      </c>
      <c r="U61">
        <v>8</v>
      </c>
      <c r="V61">
        <v>1.6458E-2</v>
      </c>
      <c r="W61">
        <v>0.24</v>
      </c>
    </row>
    <row r="62" spans="1:23" ht="15.75">
      <c r="A62" s="23">
        <v>61</v>
      </c>
      <c r="B62" s="24">
        <v>44373</v>
      </c>
      <c r="C62" s="25">
        <v>621</v>
      </c>
      <c r="D62" s="25">
        <f t="shared" si="0"/>
        <v>456</v>
      </c>
      <c r="F62">
        <v>9</v>
      </c>
      <c r="G62">
        <v>0.15917999999999999</v>
      </c>
      <c r="H62">
        <v>1.49</v>
      </c>
      <c r="I62">
        <v>158.19999999999999</v>
      </c>
      <c r="U62">
        <v>9</v>
      </c>
      <c r="V62">
        <v>1.5946999999999999E-2</v>
      </c>
      <c r="W62">
        <v>0.23</v>
      </c>
    </row>
    <row r="63" spans="1:23" ht="15.75">
      <c r="A63" s="23">
        <v>62</v>
      </c>
      <c r="B63" s="24">
        <v>44374</v>
      </c>
      <c r="C63" s="25">
        <v>230</v>
      </c>
      <c r="D63" s="25">
        <f t="shared" si="0"/>
        <v>-391</v>
      </c>
      <c r="F63">
        <v>10</v>
      </c>
      <c r="G63">
        <v>-0.13739999999999999</v>
      </c>
      <c r="H63">
        <v>-1.27</v>
      </c>
      <c r="I63">
        <v>162.41999999999999</v>
      </c>
      <c r="U63">
        <v>10</v>
      </c>
      <c r="V63">
        <v>5.9047000000000002E-2</v>
      </c>
      <c r="W63">
        <v>0.86</v>
      </c>
    </row>
    <row r="64" spans="1:23" ht="15.75">
      <c r="A64" s="23">
        <v>63</v>
      </c>
      <c r="B64" s="24">
        <v>44375</v>
      </c>
      <c r="C64" s="25">
        <v>218</v>
      </c>
      <c r="D64" s="25">
        <f t="shared" si="0"/>
        <v>-12</v>
      </c>
      <c r="F64">
        <v>11</v>
      </c>
      <c r="G64">
        <v>0.13078200000000001</v>
      </c>
      <c r="H64">
        <v>1.2</v>
      </c>
      <c r="I64">
        <v>166.26</v>
      </c>
      <c r="U64">
        <v>11</v>
      </c>
      <c r="V64">
        <v>2.1373E-2</v>
      </c>
      <c r="W64">
        <v>0.31</v>
      </c>
    </row>
    <row r="65" spans="1:30" ht="15.75">
      <c r="A65" s="23">
        <v>64</v>
      </c>
      <c r="B65" s="24">
        <v>44376</v>
      </c>
      <c r="C65" s="25">
        <v>155</v>
      </c>
      <c r="D65" s="25">
        <f t="shared" si="0"/>
        <v>-63</v>
      </c>
      <c r="F65">
        <v>12</v>
      </c>
      <c r="G65">
        <v>-4.8703999999999997E-2</v>
      </c>
      <c r="H65">
        <v>-0.44</v>
      </c>
      <c r="I65">
        <v>166.8</v>
      </c>
      <c r="U65">
        <v>12</v>
      </c>
      <c r="V65">
        <v>0.100748</v>
      </c>
      <c r="W65">
        <v>1.46</v>
      </c>
    </row>
    <row r="66" spans="1:30" ht="15.75">
      <c r="A66" s="23">
        <v>65</v>
      </c>
      <c r="B66" s="24">
        <v>44377</v>
      </c>
      <c r="C66" s="25">
        <v>249</v>
      </c>
      <c r="D66" s="25">
        <f t="shared" si="0"/>
        <v>94</v>
      </c>
      <c r="F66">
        <v>13</v>
      </c>
      <c r="G66">
        <v>-5.7590000000000002E-2</v>
      </c>
      <c r="H66">
        <v>-0.52</v>
      </c>
      <c r="I66">
        <v>167.55</v>
      </c>
      <c r="U66">
        <v>13</v>
      </c>
      <c r="V66">
        <v>-6.6036999999999998E-2</v>
      </c>
      <c r="W66">
        <v>-0.96</v>
      </c>
    </row>
    <row r="67" spans="1:30" ht="15.75">
      <c r="A67" s="23">
        <v>66</v>
      </c>
      <c r="B67" s="24">
        <v>44378</v>
      </c>
      <c r="C67" s="25">
        <v>464</v>
      </c>
      <c r="D67" s="25">
        <f t="shared" si="0"/>
        <v>215</v>
      </c>
      <c r="F67">
        <v>14</v>
      </c>
      <c r="G67">
        <v>0.15412400000000001</v>
      </c>
      <c r="H67">
        <v>1.4</v>
      </c>
      <c r="I67">
        <v>172.97</v>
      </c>
      <c r="U67">
        <v>14</v>
      </c>
      <c r="V67">
        <v>0.106291</v>
      </c>
      <c r="W67">
        <v>1.54</v>
      </c>
    </row>
    <row r="68" spans="1:30" ht="15.75">
      <c r="A68" s="23">
        <v>67</v>
      </c>
      <c r="B68" s="24">
        <v>44379</v>
      </c>
      <c r="C68" s="25">
        <v>419</v>
      </c>
      <c r="D68" s="25">
        <f t="shared" ref="D68:D131" si="1">C68-C67</f>
        <v>-45</v>
      </c>
      <c r="F68">
        <v>15</v>
      </c>
      <c r="G68">
        <v>-0.155031</v>
      </c>
      <c r="H68">
        <v>-1.4</v>
      </c>
      <c r="I68">
        <v>178.48</v>
      </c>
      <c r="U68">
        <v>15</v>
      </c>
      <c r="V68">
        <v>3.0154E-2</v>
      </c>
      <c r="W68">
        <v>0.44</v>
      </c>
    </row>
    <row r="69" spans="1:30" ht="15.75">
      <c r="A69" s="23">
        <v>68</v>
      </c>
      <c r="B69" s="24">
        <v>44380</v>
      </c>
      <c r="C69" s="25">
        <v>714</v>
      </c>
      <c r="D69" s="25">
        <f t="shared" si="1"/>
        <v>295</v>
      </c>
      <c r="F69">
        <v>16</v>
      </c>
      <c r="G69">
        <v>0.11929099999999999</v>
      </c>
      <c r="H69">
        <v>1.07</v>
      </c>
      <c r="I69">
        <v>181.76</v>
      </c>
      <c r="U69">
        <v>16</v>
      </c>
      <c r="V69">
        <v>-4.6737000000000001E-2</v>
      </c>
      <c r="W69">
        <v>-0.68</v>
      </c>
    </row>
    <row r="70" spans="1:30" ht="15.75">
      <c r="A70" s="23">
        <v>69</v>
      </c>
      <c r="B70" s="24">
        <v>44381</v>
      </c>
      <c r="C70" s="25">
        <v>599</v>
      </c>
      <c r="D70" s="25">
        <f t="shared" si="1"/>
        <v>-115</v>
      </c>
      <c r="F70">
        <v>17</v>
      </c>
      <c r="G70">
        <v>-0.14131299999999999</v>
      </c>
      <c r="H70">
        <v>-1.26</v>
      </c>
      <c r="I70">
        <v>186.39</v>
      </c>
      <c r="U70">
        <v>17</v>
      </c>
      <c r="V70">
        <v>-3.3869999999999997E-2</v>
      </c>
      <c r="W70">
        <v>-0.49</v>
      </c>
    </row>
    <row r="71" spans="1:30" ht="15.75">
      <c r="A71" s="23">
        <v>70</v>
      </c>
      <c r="B71" s="24">
        <v>44382</v>
      </c>
      <c r="C71" s="25">
        <v>641</v>
      </c>
      <c r="D71" s="25">
        <f t="shared" si="1"/>
        <v>42</v>
      </c>
      <c r="F71">
        <v>18</v>
      </c>
      <c r="G71">
        <v>7.9312999999999995E-2</v>
      </c>
      <c r="H71">
        <v>0.7</v>
      </c>
      <c r="I71">
        <v>187.85</v>
      </c>
      <c r="U71">
        <v>18</v>
      </c>
      <c r="V71">
        <v>-0.16498699999999999</v>
      </c>
      <c r="W71">
        <v>-2.4</v>
      </c>
    </row>
    <row r="72" spans="1:30" ht="15.75">
      <c r="A72" s="23">
        <v>71</v>
      </c>
      <c r="B72" s="24">
        <v>44383</v>
      </c>
      <c r="C72" s="25">
        <v>710</v>
      </c>
      <c r="D72" s="25">
        <f t="shared" si="1"/>
        <v>69</v>
      </c>
      <c r="F72">
        <v>19</v>
      </c>
      <c r="G72">
        <v>-3.2869000000000002E-2</v>
      </c>
      <c r="H72">
        <v>-0.28999999999999998</v>
      </c>
      <c r="I72">
        <v>188.1</v>
      </c>
      <c r="U72">
        <v>19</v>
      </c>
      <c r="V72">
        <v>-6.8053000000000002E-2</v>
      </c>
      <c r="W72">
        <v>-0.99</v>
      </c>
      <c r="Y72">
        <v>1</v>
      </c>
      <c r="Z72" t="s">
        <v>46</v>
      </c>
    </row>
    <row r="73" spans="1:30" ht="15.75">
      <c r="A73" s="23">
        <v>72</v>
      </c>
      <c r="B73" s="24">
        <v>44384</v>
      </c>
      <c r="C73" s="25">
        <v>766</v>
      </c>
      <c r="D73" s="25">
        <f t="shared" si="1"/>
        <v>56</v>
      </c>
      <c r="F73">
        <v>20</v>
      </c>
      <c r="G73">
        <v>9.0982999999999994E-2</v>
      </c>
      <c r="H73">
        <v>0.8</v>
      </c>
      <c r="I73">
        <v>190.05</v>
      </c>
      <c r="J73">
        <v>1</v>
      </c>
      <c r="K73" t="s">
        <v>47</v>
      </c>
      <c r="U73">
        <v>20</v>
      </c>
      <c r="V73">
        <v>0.149311</v>
      </c>
      <c r="W73">
        <v>2.17</v>
      </c>
      <c r="Z73" t="s">
        <v>48</v>
      </c>
    </row>
    <row r="74" spans="1:30" ht="15.75">
      <c r="A74" s="23">
        <v>73</v>
      </c>
      <c r="B74" s="24">
        <v>44385</v>
      </c>
      <c r="C74" s="25">
        <v>915</v>
      </c>
      <c r="D74" s="25">
        <f t="shared" si="1"/>
        <v>149</v>
      </c>
      <c r="F74">
        <v>21</v>
      </c>
      <c r="G74">
        <v>-8.6132E-2</v>
      </c>
      <c r="H74">
        <v>-0.75</v>
      </c>
      <c r="I74">
        <v>191.81</v>
      </c>
      <c r="U74">
        <v>21</v>
      </c>
      <c r="V74">
        <v>-2.0808E-2</v>
      </c>
      <c r="W74">
        <v>-0.3</v>
      </c>
    </row>
    <row r="75" spans="1:30" ht="15.75">
      <c r="A75" s="23">
        <v>74</v>
      </c>
      <c r="B75" s="24">
        <v>44386</v>
      </c>
      <c r="C75" s="25">
        <v>1229</v>
      </c>
      <c r="D75" s="25">
        <f t="shared" si="1"/>
        <v>314</v>
      </c>
      <c r="F75">
        <v>22</v>
      </c>
      <c r="G75">
        <v>-2.5189E-2</v>
      </c>
      <c r="H75">
        <v>-0.22</v>
      </c>
      <c r="I75">
        <v>191.96</v>
      </c>
      <c r="U75">
        <v>22</v>
      </c>
      <c r="V75">
        <v>-7.1814000000000003E-2</v>
      </c>
      <c r="W75">
        <v>-1.04</v>
      </c>
      <c r="Z75" s="26" t="s">
        <v>49</v>
      </c>
    </row>
    <row r="76" spans="1:30" ht="15.75">
      <c r="A76" s="23">
        <v>75</v>
      </c>
      <c r="B76" s="24">
        <v>44387</v>
      </c>
      <c r="C76" s="25">
        <v>1320</v>
      </c>
      <c r="D76" s="25">
        <f t="shared" si="1"/>
        <v>91</v>
      </c>
      <c r="F76">
        <v>23</v>
      </c>
      <c r="G76">
        <v>0.108545</v>
      </c>
      <c r="H76">
        <v>0.95</v>
      </c>
      <c r="I76">
        <v>194.77</v>
      </c>
      <c r="U76">
        <v>23</v>
      </c>
      <c r="V76">
        <v>7.6541999999999999E-2</v>
      </c>
      <c r="W76">
        <v>1.1100000000000001</v>
      </c>
    </row>
    <row r="77" spans="1:30" ht="15.75">
      <c r="A77" s="23">
        <v>76</v>
      </c>
      <c r="B77" s="24">
        <v>44388</v>
      </c>
      <c r="C77" s="25">
        <v>1397</v>
      </c>
      <c r="D77" s="25">
        <f t="shared" si="1"/>
        <v>77</v>
      </c>
      <c r="F77">
        <v>24</v>
      </c>
      <c r="G77">
        <v>-6.0697000000000001E-2</v>
      </c>
      <c r="H77">
        <v>-0.53</v>
      </c>
      <c r="I77">
        <v>195.66</v>
      </c>
      <c r="U77">
        <v>24</v>
      </c>
      <c r="V77">
        <v>5.4769999999999999E-2</v>
      </c>
      <c r="W77">
        <v>0.8</v>
      </c>
      <c r="Z77" s="27" t="s">
        <v>50</v>
      </c>
      <c r="AA77" s="27" t="s">
        <v>51</v>
      </c>
      <c r="AB77" s="27" t="s">
        <v>52</v>
      </c>
      <c r="AC77" s="27" t="s">
        <v>53</v>
      </c>
      <c r="AD77" s="27" t="s">
        <v>54</v>
      </c>
    </row>
    <row r="78" spans="1:30" ht="15.75">
      <c r="A78" s="23">
        <v>77</v>
      </c>
      <c r="B78" s="24">
        <v>44389</v>
      </c>
      <c r="C78" s="25">
        <v>1764</v>
      </c>
      <c r="D78" s="25">
        <f t="shared" si="1"/>
        <v>367</v>
      </c>
      <c r="F78">
        <v>25</v>
      </c>
      <c r="G78">
        <v>4.7218000000000003E-2</v>
      </c>
      <c r="H78">
        <v>0.41</v>
      </c>
      <c r="I78">
        <v>196.2</v>
      </c>
      <c r="U78">
        <v>25</v>
      </c>
      <c r="V78">
        <v>7.3132000000000003E-2</v>
      </c>
      <c r="W78">
        <v>1.06</v>
      </c>
      <c r="Z78" t="s">
        <v>55</v>
      </c>
      <c r="AA78">
        <v>-0.62760000000000005</v>
      </c>
      <c r="AB78">
        <v>5.3999999999999999E-2</v>
      </c>
      <c r="AC78">
        <v>-11.62</v>
      </c>
      <c r="AD78">
        <v>0</v>
      </c>
    </row>
    <row r="79" spans="1:30" ht="15.75">
      <c r="A79" s="23">
        <v>78</v>
      </c>
      <c r="B79" s="24">
        <v>44390</v>
      </c>
      <c r="C79" s="25">
        <v>1802</v>
      </c>
      <c r="D79" s="25">
        <f t="shared" si="1"/>
        <v>38</v>
      </c>
      <c r="F79">
        <v>26</v>
      </c>
      <c r="G79">
        <v>-0.16464599999999999</v>
      </c>
      <c r="H79">
        <v>-1.43</v>
      </c>
      <c r="I79">
        <v>202.78</v>
      </c>
      <c r="U79">
        <v>26</v>
      </c>
      <c r="V79">
        <v>-0.16151299999999999</v>
      </c>
      <c r="W79">
        <v>-2.35</v>
      </c>
      <c r="Z79" t="s">
        <v>56</v>
      </c>
      <c r="AA79">
        <v>10.4</v>
      </c>
      <c r="AB79">
        <v>51.7</v>
      </c>
      <c r="AC79">
        <v>0.2</v>
      </c>
      <c r="AD79">
        <v>0.84099999999999997</v>
      </c>
    </row>
    <row r="80" spans="1:30" ht="15.75">
      <c r="A80" s="23">
        <v>79</v>
      </c>
      <c r="B80" s="24">
        <v>44391</v>
      </c>
      <c r="C80" s="25">
        <v>2229</v>
      </c>
      <c r="D80" s="25">
        <f t="shared" si="1"/>
        <v>427</v>
      </c>
      <c r="F80">
        <v>27</v>
      </c>
      <c r="G80">
        <v>0.19028500000000001</v>
      </c>
      <c r="H80">
        <v>1.64</v>
      </c>
      <c r="I80">
        <v>211.63</v>
      </c>
      <c r="U80">
        <v>27</v>
      </c>
      <c r="V80">
        <v>-2.1562999999999999E-2</v>
      </c>
      <c r="W80">
        <v>-0.31</v>
      </c>
    </row>
    <row r="81" spans="1:30" ht="15.75">
      <c r="A81" s="23">
        <v>80</v>
      </c>
      <c r="B81" s="24">
        <v>44392</v>
      </c>
      <c r="C81" s="25">
        <v>2691</v>
      </c>
      <c r="D81" s="25">
        <f t="shared" si="1"/>
        <v>462</v>
      </c>
      <c r="F81">
        <v>28</v>
      </c>
      <c r="G81">
        <v>-0.108323</v>
      </c>
      <c r="H81">
        <v>-0.92</v>
      </c>
      <c r="I81">
        <v>214.51</v>
      </c>
      <c r="U81">
        <v>28</v>
      </c>
      <c r="V81">
        <v>3.7068999999999998E-2</v>
      </c>
      <c r="W81">
        <v>0.54</v>
      </c>
      <c r="Z81" t="s">
        <v>57</v>
      </c>
    </row>
    <row r="82" spans="1:30" ht="15.75">
      <c r="A82" s="23">
        <v>81</v>
      </c>
      <c r="B82" s="24">
        <v>44393</v>
      </c>
      <c r="C82" s="25">
        <v>2436</v>
      </c>
      <c r="D82" s="25">
        <f t="shared" si="1"/>
        <v>-255</v>
      </c>
      <c r="F82">
        <v>29</v>
      </c>
      <c r="G82">
        <v>2.8812000000000001E-2</v>
      </c>
      <c r="H82">
        <v>0.24</v>
      </c>
      <c r="I82">
        <v>214.71</v>
      </c>
      <c r="U82">
        <v>29</v>
      </c>
      <c r="V82">
        <v>-5.4392000000000003E-2</v>
      </c>
      <c r="W82">
        <v>-0.79</v>
      </c>
    </row>
    <row r="83" spans="1:30" ht="15.75">
      <c r="A83" s="23">
        <v>82</v>
      </c>
      <c r="B83" s="24">
        <v>44394</v>
      </c>
      <c r="C83" s="25">
        <v>3420</v>
      </c>
      <c r="D83" s="25">
        <f t="shared" si="1"/>
        <v>984</v>
      </c>
      <c r="F83">
        <v>30</v>
      </c>
      <c r="G83">
        <v>-6.2317999999999998E-2</v>
      </c>
      <c r="H83">
        <v>-0.53</v>
      </c>
      <c r="I83">
        <v>215.68</v>
      </c>
      <c r="U83">
        <v>30</v>
      </c>
      <c r="V83">
        <v>-6.6712999999999995E-2</v>
      </c>
      <c r="W83">
        <v>-0.97</v>
      </c>
      <c r="Z83" t="s">
        <v>58</v>
      </c>
    </row>
    <row r="84" spans="1:30" ht="15.75">
      <c r="A84" s="23">
        <v>83</v>
      </c>
      <c r="B84" s="24">
        <v>44395</v>
      </c>
      <c r="C84" s="25">
        <v>4083</v>
      </c>
      <c r="D84" s="25">
        <f t="shared" si="1"/>
        <v>663</v>
      </c>
      <c r="F84">
        <v>31</v>
      </c>
      <c r="G84">
        <v>9.3595999999999999E-2</v>
      </c>
      <c r="H84">
        <v>0.79</v>
      </c>
      <c r="I84">
        <v>217.87</v>
      </c>
      <c r="U84">
        <v>31</v>
      </c>
      <c r="V84">
        <v>2.5820000000000001E-3</v>
      </c>
      <c r="W84">
        <v>0.04</v>
      </c>
    </row>
    <row r="85" spans="1:30" ht="15.75">
      <c r="A85" s="23">
        <v>84</v>
      </c>
      <c r="B85" s="24">
        <v>44396</v>
      </c>
      <c r="C85" s="25">
        <v>3074</v>
      </c>
      <c r="D85" s="25">
        <f t="shared" si="1"/>
        <v>-1009</v>
      </c>
      <c r="F85">
        <v>32</v>
      </c>
      <c r="G85">
        <v>-1.8218000000000002E-2</v>
      </c>
      <c r="H85">
        <v>-0.15</v>
      </c>
      <c r="I85">
        <v>217.95</v>
      </c>
      <c r="U85">
        <v>32</v>
      </c>
      <c r="V85">
        <v>8.3205000000000001E-2</v>
      </c>
      <c r="W85">
        <v>1.21</v>
      </c>
      <c r="Z85" t="s">
        <v>59</v>
      </c>
    </row>
    <row r="86" spans="1:30" ht="16.5" thickBot="1">
      <c r="A86" s="23">
        <v>85</v>
      </c>
      <c r="B86" s="24">
        <v>44397</v>
      </c>
      <c r="C86" s="25">
        <v>3322</v>
      </c>
      <c r="D86" s="25">
        <f t="shared" si="1"/>
        <v>248</v>
      </c>
      <c r="F86">
        <v>33</v>
      </c>
      <c r="G86">
        <v>-0.10652399999999999</v>
      </c>
      <c r="H86">
        <v>-0.9</v>
      </c>
      <c r="I86">
        <v>220.81</v>
      </c>
      <c r="K86" s="28"/>
      <c r="L86" s="28"/>
      <c r="M86" s="28"/>
      <c r="U86">
        <v>33</v>
      </c>
      <c r="V86">
        <v>-9.3406000000000003E-2</v>
      </c>
      <c r="W86">
        <v>-1.36</v>
      </c>
    </row>
    <row r="87" spans="1:30" ht="16.5" thickBot="1">
      <c r="A87" s="23">
        <v>86</v>
      </c>
      <c r="B87" s="24">
        <v>44398</v>
      </c>
      <c r="C87" s="25">
        <v>3558</v>
      </c>
      <c r="D87" s="25">
        <f t="shared" si="1"/>
        <v>236</v>
      </c>
      <c r="F87">
        <v>34</v>
      </c>
      <c r="G87">
        <v>0.17122000000000001</v>
      </c>
      <c r="H87">
        <v>1.44</v>
      </c>
      <c r="I87">
        <v>228.26</v>
      </c>
      <c r="K87" s="29"/>
      <c r="L87" s="30" t="s">
        <v>42</v>
      </c>
      <c r="M87" s="30" t="s">
        <v>45</v>
      </c>
      <c r="N87" s="1"/>
      <c r="U87">
        <v>34</v>
      </c>
      <c r="V87">
        <v>1.3971000000000001E-2</v>
      </c>
      <c r="W87">
        <v>0.2</v>
      </c>
      <c r="Z87" s="27" t="s">
        <v>60</v>
      </c>
      <c r="AA87" s="27" t="s">
        <v>61</v>
      </c>
      <c r="AB87" s="27" t="s">
        <v>62</v>
      </c>
    </row>
    <row r="88" spans="1:30" ht="15.75">
      <c r="A88" s="23">
        <v>87</v>
      </c>
      <c r="B88" s="24">
        <v>44399</v>
      </c>
      <c r="C88" s="25">
        <v>4473</v>
      </c>
      <c r="D88" s="25">
        <f t="shared" si="1"/>
        <v>915</v>
      </c>
      <c r="F88">
        <v>35</v>
      </c>
      <c r="G88">
        <v>-0.18090200000000001</v>
      </c>
      <c r="H88">
        <v>-1.5</v>
      </c>
      <c r="I88">
        <v>236.62</v>
      </c>
      <c r="K88" s="31" t="s">
        <v>63</v>
      </c>
      <c r="L88" s="31" t="s">
        <v>64</v>
      </c>
      <c r="M88" s="31" t="s">
        <v>64</v>
      </c>
      <c r="N88" s="1"/>
      <c r="U88">
        <v>35</v>
      </c>
      <c r="V88">
        <v>-5.5441999999999998E-2</v>
      </c>
      <c r="W88">
        <v>-0.81</v>
      </c>
      <c r="Z88">
        <v>209</v>
      </c>
      <c r="AA88">
        <v>116726176</v>
      </c>
      <c r="AB88">
        <v>558498</v>
      </c>
    </row>
    <row r="89" spans="1:30" ht="15.75">
      <c r="A89" s="23">
        <v>88</v>
      </c>
      <c r="B89" s="24">
        <v>44400</v>
      </c>
      <c r="C89" s="25">
        <v>4913</v>
      </c>
      <c r="D89" s="25">
        <f t="shared" si="1"/>
        <v>440</v>
      </c>
      <c r="F89">
        <v>36</v>
      </c>
      <c r="G89">
        <v>0.120489</v>
      </c>
      <c r="H89">
        <v>0.99</v>
      </c>
      <c r="I89">
        <v>240.34</v>
      </c>
      <c r="K89" s="1" t="s">
        <v>65</v>
      </c>
      <c r="L89" s="1" t="s">
        <v>66</v>
      </c>
      <c r="M89" s="1" t="s">
        <v>67</v>
      </c>
      <c r="N89" s="1"/>
      <c r="U89">
        <v>36</v>
      </c>
      <c r="V89">
        <v>-7.0805000000000007E-2</v>
      </c>
      <c r="W89">
        <v>-1.03</v>
      </c>
      <c r="Z89" t="s">
        <v>68</v>
      </c>
    </row>
    <row r="90" spans="1:30" ht="15.75">
      <c r="A90" s="23">
        <v>89</v>
      </c>
      <c r="B90" s="24">
        <v>44401</v>
      </c>
      <c r="C90" s="25">
        <v>5546</v>
      </c>
      <c r="D90" s="25">
        <f t="shared" si="1"/>
        <v>633</v>
      </c>
      <c r="F90">
        <v>37</v>
      </c>
      <c r="G90">
        <v>-0.140375</v>
      </c>
      <c r="H90">
        <v>-1.1499999999999999</v>
      </c>
      <c r="I90">
        <v>245.43</v>
      </c>
      <c r="K90" s="1" t="s">
        <v>69</v>
      </c>
      <c r="L90" s="1" t="s">
        <v>67</v>
      </c>
      <c r="M90" s="1" t="s">
        <v>70</v>
      </c>
      <c r="N90" s="1"/>
      <c r="U90">
        <v>37</v>
      </c>
      <c r="V90">
        <v>-3.7395999999999999E-2</v>
      </c>
      <c r="W90">
        <v>-0.54</v>
      </c>
    </row>
    <row r="91" spans="1:30" ht="16.5" thickBot="1">
      <c r="A91" s="23">
        <v>90</v>
      </c>
      <c r="B91" s="24">
        <v>44402</v>
      </c>
      <c r="C91" s="25">
        <v>4555</v>
      </c>
      <c r="D91" s="25">
        <f t="shared" si="1"/>
        <v>-991</v>
      </c>
      <c r="F91">
        <v>38</v>
      </c>
      <c r="G91">
        <v>0.177921</v>
      </c>
      <c r="H91">
        <v>1.45</v>
      </c>
      <c r="I91">
        <v>253.66</v>
      </c>
      <c r="K91" s="29" t="s">
        <v>71</v>
      </c>
      <c r="L91" s="29" t="s">
        <v>67</v>
      </c>
      <c r="M91" s="29" t="s">
        <v>67</v>
      </c>
      <c r="N91" s="1"/>
      <c r="U91">
        <v>38</v>
      </c>
      <c r="V91">
        <v>3.5680000000000003E-2</v>
      </c>
      <c r="W91">
        <v>0.52</v>
      </c>
      <c r="Z91" t="s">
        <v>72</v>
      </c>
    </row>
    <row r="92" spans="1:30" ht="15.75">
      <c r="A92" s="23">
        <v>91</v>
      </c>
      <c r="B92" s="24">
        <v>44403</v>
      </c>
      <c r="C92" s="25">
        <v>6097</v>
      </c>
      <c r="D92" s="25">
        <f t="shared" si="1"/>
        <v>1542</v>
      </c>
      <c r="F92">
        <v>39</v>
      </c>
      <c r="G92">
        <v>-7.1779999999999997E-2</v>
      </c>
      <c r="H92">
        <v>-0.57999999999999996</v>
      </c>
      <c r="I92">
        <v>255</v>
      </c>
      <c r="U92">
        <v>39</v>
      </c>
      <c r="V92">
        <v>0.122973</v>
      </c>
      <c r="W92">
        <v>1.79</v>
      </c>
    </row>
    <row r="93" spans="1:30" ht="15.75">
      <c r="A93" s="23">
        <v>92</v>
      </c>
      <c r="B93" s="24">
        <v>44404</v>
      </c>
      <c r="C93" s="25">
        <v>6622</v>
      </c>
      <c r="D93" s="25">
        <f t="shared" si="1"/>
        <v>525</v>
      </c>
      <c r="F93">
        <v>40</v>
      </c>
      <c r="G93">
        <v>-8.8485999999999995E-2</v>
      </c>
      <c r="H93">
        <v>-0.71</v>
      </c>
      <c r="I93">
        <v>257.06</v>
      </c>
      <c r="U93">
        <v>40</v>
      </c>
      <c r="V93">
        <v>-5.3435000000000003E-2</v>
      </c>
      <c r="W93">
        <v>-0.78</v>
      </c>
      <c r="Z93" s="27" t="s">
        <v>41</v>
      </c>
      <c r="AA93" s="27">
        <v>12</v>
      </c>
      <c r="AB93" s="27">
        <v>24</v>
      </c>
      <c r="AC93" s="27">
        <v>36</v>
      </c>
      <c r="AD93" s="27">
        <v>48</v>
      </c>
    </row>
    <row r="94" spans="1:30" ht="15.75">
      <c r="A94" s="23">
        <v>93</v>
      </c>
      <c r="B94" s="24">
        <v>44405</v>
      </c>
      <c r="C94" s="25">
        <v>4045</v>
      </c>
      <c r="D94" s="25">
        <f t="shared" si="1"/>
        <v>-2577</v>
      </c>
      <c r="F94">
        <v>41</v>
      </c>
      <c r="G94">
        <v>0.104188</v>
      </c>
      <c r="H94">
        <v>0.84</v>
      </c>
      <c r="I94">
        <v>259.93</v>
      </c>
      <c r="U94">
        <v>41</v>
      </c>
      <c r="V94">
        <v>-9.6959999999999998E-3</v>
      </c>
      <c r="W94">
        <v>-0.14000000000000001</v>
      </c>
      <c r="Z94" t="s">
        <v>73</v>
      </c>
      <c r="AA94">
        <v>27.14</v>
      </c>
      <c r="AB94">
        <v>51.04</v>
      </c>
      <c r="AC94">
        <v>81.680000000000007</v>
      </c>
      <c r="AD94">
        <v>104.78</v>
      </c>
    </row>
    <row r="95" spans="1:30" ht="15.75">
      <c r="A95" s="23">
        <v>94</v>
      </c>
      <c r="B95" s="24">
        <v>44406</v>
      </c>
      <c r="C95" s="25">
        <v>2877</v>
      </c>
      <c r="D95" s="25">
        <f t="shared" si="1"/>
        <v>-1168</v>
      </c>
      <c r="F95">
        <v>42</v>
      </c>
      <c r="G95">
        <v>-8.8894000000000001E-2</v>
      </c>
      <c r="H95">
        <v>-0.71</v>
      </c>
      <c r="I95">
        <v>262.02999999999997</v>
      </c>
      <c r="U95">
        <v>42</v>
      </c>
      <c r="V95">
        <v>-2.6667E-2</v>
      </c>
      <c r="W95">
        <v>-0.39</v>
      </c>
      <c r="Z95" t="s">
        <v>60</v>
      </c>
      <c r="AA95">
        <v>10</v>
      </c>
      <c r="AB95">
        <v>22</v>
      </c>
      <c r="AC95">
        <v>34</v>
      </c>
      <c r="AD95">
        <v>46</v>
      </c>
    </row>
    <row r="96" spans="1:30" ht="15.75">
      <c r="A96" s="23">
        <v>95</v>
      </c>
      <c r="B96" s="24">
        <v>44407</v>
      </c>
      <c r="C96" s="25">
        <v>1541</v>
      </c>
      <c r="D96" s="25">
        <f t="shared" si="1"/>
        <v>-1336</v>
      </c>
      <c r="F96">
        <v>43</v>
      </c>
      <c r="G96">
        <v>0.11515300000000001</v>
      </c>
      <c r="H96">
        <v>0.92</v>
      </c>
      <c r="I96">
        <v>265.58</v>
      </c>
      <c r="U96">
        <v>43</v>
      </c>
      <c r="V96">
        <v>-6.8184999999999996E-2</v>
      </c>
      <c r="W96">
        <v>-0.99</v>
      </c>
      <c r="Z96" t="s">
        <v>54</v>
      </c>
      <c r="AA96">
        <v>2E-3</v>
      </c>
      <c r="AB96">
        <v>0</v>
      </c>
      <c r="AC96">
        <v>0</v>
      </c>
      <c r="AD96">
        <v>0</v>
      </c>
    </row>
    <row r="97" spans="1:26" ht="15.75">
      <c r="A97" s="23">
        <v>96</v>
      </c>
      <c r="B97" s="24">
        <v>44408</v>
      </c>
      <c r="C97" s="25">
        <v>4180</v>
      </c>
      <c r="D97" s="25">
        <f t="shared" si="1"/>
        <v>2639</v>
      </c>
      <c r="F97">
        <v>44</v>
      </c>
      <c r="G97">
        <v>-0.12055299999999999</v>
      </c>
      <c r="H97">
        <v>-0.96</v>
      </c>
      <c r="I97">
        <v>269.49</v>
      </c>
      <c r="U97">
        <v>44</v>
      </c>
      <c r="V97">
        <v>6.9665000000000005E-2</v>
      </c>
      <c r="W97">
        <v>1.01</v>
      </c>
    </row>
    <row r="98" spans="1:26" ht="15.75">
      <c r="A98" s="23">
        <v>97</v>
      </c>
      <c r="B98" s="24">
        <v>44409</v>
      </c>
      <c r="C98" s="25">
        <v>2025</v>
      </c>
      <c r="D98" s="25">
        <f t="shared" si="1"/>
        <v>-2155</v>
      </c>
      <c r="F98">
        <v>45</v>
      </c>
      <c r="G98">
        <v>0.13231299999999999</v>
      </c>
      <c r="H98">
        <v>1.05</v>
      </c>
      <c r="I98">
        <v>274.23</v>
      </c>
      <c r="U98">
        <v>45</v>
      </c>
      <c r="V98">
        <v>8.0836000000000005E-2</v>
      </c>
      <c r="W98">
        <v>1.17</v>
      </c>
    </row>
    <row r="99" spans="1:26" ht="15.75">
      <c r="A99" s="23">
        <v>98</v>
      </c>
      <c r="B99" s="24">
        <v>44410</v>
      </c>
      <c r="C99" s="25">
        <v>2267</v>
      </c>
      <c r="D99" s="25">
        <f t="shared" si="1"/>
        <v>242</v>
      </c>
      <c r="F99">
        <v>46</v>
      </c>
      <c r="G99">
        <v>-9.9892999999999996E-2</v>
      </c>
      <c r="H99">
        <v>-0.79</v>
      </c>
      <c r="I99">
        <v>276.95</v>
      </c>
      <c r="U99">
        <v>46</v>
      </c>
      <c r="V99">
        <v>3.2265000000000002E-2</v>
      </c>
      <c r="W99">
        <v>0.47</v>
      </c>
      <c r="Z99" t="s">
        <v>74</v>
      </c>
    </row>
    <row r="100" spans="1:26" ht="15.75">
      <c r="A100" s="23">
        <v>99</v>
      </c>
      <c r="B100" s="24">
        <v>44411</v>
      </c>
      <c r="C100" s="25">
        <v>4171</v>
      </c>
      <c r="D100" s="25">
        <f t="shared" si="1"/>
        <v>1904</v>
      </c>
      <c r="F100">
        <v>47</v>
      </c>
      <c r="G100">
        <v>8.9234999999999995E-2</v>
      </c>
      <c r="H100">
        <v>0.7</v>
      </c>
      <c r="I100">
        <v>279.13</v>
      </c>
      <c r="U100">
        <v>47</v>
      </c>
      <c r="V100">
        <v>0.114221</v>
      </c>
      <c r="W100">
        <v>1.66</v>
      </c>
    </row>
    <row r="101" spans="1:26" ht="15.75">
      <c r="A101" s="23">
        <v>100</v>
      </c>
      <c r="B101" s="24">
        <v>44412</v>
      </c>
      <c r="C101" s="25">
        <v>936</v>
      </c>
      <c r="D101" s="25">
        <f t="shared" si="1"/>
        <v>-3235</v>
      </c>
      <c r="F101">
        <v>48</v>
      </c>
      <c r="G101">
        <v>-4.8153000000000001E-2</v>
      </c>
      <c r="H101">
        <v>-0.38</v>
      </c>
      <c r="I101">
        <v>279.77</v>
      </c>
      <c r="U101">
        <v>48</v>
      </c>
      <c r="V101">
        <v>1.298E-2</v>
      </c>
      <c r="W101">
        <v>0.19</v>
      </c>
      <c r="Z101" t="s">
        <v>75</v>
      </c>
    </row>
    <row r="102" spans="1:26" ht="15.75">
      <c r="A102" s="23">
        <v>101</v>
      </c>
      <c r="B102" s="24">
        <v>44413</v>
      </c>
      <c r="C102" s="25">
        <v>3886</v>
      </c>
      <c r="D102" s="25">
        <f t="shared" si="1"/>
        <v>2950</v>
      </c>
      <c r="F102">
        <v>49</v>
      </c>
      <c r="G102">
        <v>-3.3083000000000001E-2</v>
      </c>
      <c r="H102">
        <v>-0.26</v>
      </c>
      <c r="I102">
        <v>280.07</v>
      </c>
      <c r="U102">
        <v>49</v>
      </c>
      <c r="V102">
        <v>9.8650000000000005E-3</v>
      </c>
      <c r="W102">
        <v>0.14000000000000001</v>
      </c>
    </row>
    <row r="103" spans="1:26" ht="15.75">
      <c r="A103" s="23">
        <v>102</v>
      </c>
      <c r="B103" s="24">
        <v>44414</v>
      </c>
      <c r="C103" s="25">
        <v>1497</v>
      </c>
      <c r="D103" s="25">
        <f t="shared" si="1"/>
        <v>-2389</v>
      </c>
      <c r="F103">
        <v>50</v>
      </c>
      <c r="G103">
        <v>5.5876000000000002E-2</v>
      </c>
      <c r="H103">
        <v>0.44</v>
      </c>
      <c r="I103">
        <v>280.95</v>
      </c>
      <c r="U103">
        <v>50</v>
      </c>
      <c r="V103">
        <v>-3.6096000000000003E-2</v>
      </c>
      <c r="W103">
        <v>-0.52</v>
      </c>
      <c r="Z103" t="s">
        <v>76</v>
      </c>
    </row>
    <row r="104" spans="1:26" ht="15.75">
      <c r="A104" s="23">
        <v>103</v>
      </c>
      <c r="B104" s="24">
        <v>44415</v>
      </c>
      <c r="C104" s="25">
        <v>5827</v>
      </c>
      <c r="D104" s="25">
        <f t="shared" si="1"/>
        <v>4330</v>
      </c>
      <c r="F104">
        <v>51</v>
      </c>
      <c r="G104">
        <v>-3.7698000000000002E-2</v>
      </c>
      <c r="H104">
        <v>-0.28999999999999998</v>
      </c>
      <c r="I104">
        <v>281.33999999999997</v>
      </c>
      <c r="U104">
        <v>51</v>
      </c>
      <c r="V104">
        <v>-6.3261999999999999E-2</v>
      </c>
      <c r="W104">
        <v>-0.92</v>
      </c>
    </row>
    <row r="105" spans="1:26" ht="15.75">
      <c r="A105" s="23">
        <v>104</v>
      </c>
      <c r="B105" s="24">
        <v>44416</v>
      </c>
      <c r="C105" s="25">
        <v>2002</v>
      </c>
      <c r="D105" s="25">
        <f t="shared" si="1"/>
        <v>-3825</v>
      </c>
      <c r="F105">
        <v>52</v>
      </c>
      <c r="G105">
        <v>4.9251000000000003E-2</v>
      </c>
      <c r="H105">
        <v>0.38</v>
      </c>
      <c r="I105">
        <v>282.02999999999997</v>
      </c>
      <c r="U105">
        <v>52</v>
      </c>
      <c r="V105">
        <v>-1.8794000000000002E-2</v>
      </c>
      <c r="W105">
        <v>-0.27</v>
      </c>
      <c r="Z105" t="s">
        <v>77</v>
      </c>
    </row>
    <row r="106" spans="1:26" ht="15.75">
      <c r="A106" s="23">
        <v>105</v>
      </c>
      <c r="B106" s="24">
        <v>44417</v>
      </c>
      <c r="C106" s="25">
        <v>4132</v>
      </c>
      <c r="D106" s="25">
        <f t="shared" si="1"/>
        <v>2130</v>
      </c>
      <c r="F106">
        <v>53</v>
      </c>
      <c r="G106">
        <v>-7.0183999999999996E-2</v>
      </c>
      <c r="H106">
        <v>-0.55000000000000004</v>
      </c>
      <c r="I106">
        <v>283.43</v>
      </c>
      <c r="U106">
        <v>53</v>
      </c>
      <c r="V106">
        <v>-2.8889000000000001E-2</v>
      </c>
      <c r="W106">
        <v>-0.42</v>
      </c>
    </row>
    <row r="107" spans="1:26" ht="15.75">
      <c r="A107" s="23">
        <v>106</v>
      </c>
      <c r="B107" s="24">
        <v>44418</v>
      </c>
      <c r="C107" s="25">
        <v>1466</v>
      </c>
      <c r="D107" s="25">
        <f t="shared" si="1"/>
        <v>-2666</v>
      </c>
      <c r="Z107" t="s">
        <v>78</v>
      </c>
    </row>
    <row r="108" spans="1:26" ht="15.75">
      <c r="A108" s="23">
        <v>107</v>
      </c>
      <c r="B108" s="24">
        <v>44419</v>
      </c>
      <c r="C108" s="25">
        <v>3609</v>
      </c>
      <c r="D108" s="25">
        <f t="shared" si="1"/>
        <v>2143</v>
      </c>
    </row>
    <row r="109" spans="1:26" ht="15.75">
      <c r="A109" s="23">
        <v>108</v>
      </c>
      <c r="B109" s="24">
        <v>44420</v>
      </c>
      <c r="C109" s="25">
        <v>1521</v>
      </c>
      <c r="D109" s="25">
        <f t="shared" si="1"/>
        <v>-2088</v>
      </c>
      <c r="Z109" t="s">
        <v>79</v>
      </c>
    </row>
    <row r="110" spans="1:26" ht="15.75">
      <c r="A110" s="23">
        <v>109</v>
      </c>
      <c r="B110" s="24">
        <v>44421</v>
      </c>
      <c r="C110" s="25">
        <v>3399</v>
      </c>
      <c r="D110" s="25">
        <f t="shared" si="1"/>
        <v>1878</v>
      </c>
    </row>
    <row r="111" spans="1:26" ht="15.75">
      <c r="A111" s="23">
        <v>110</v>
      </c>
      <c r="B111" s="24">
        <v>44422</v>
      </c>
      <c r="C111" s="25">
        <v>4915</v>
      </c>
      <c r="D111" s="25">
        <f t="shared" si="1"/>
        <v>1516</v>
      </c>
    </row>
    <row r="112" spans="1:26" ht="15.75">
      <c r="A112" s="23">
        <v>111</v>
      </c>
      <c r="B112" s="24">
        <v>44423</v>
      </c>
      <c r="C112" s="25">
        <v>3975</v>
      </c>
      <c r="D112" s="25">
        <f t="shared" si="1"/>
        <v>-940</v>
      </c>
    </row>
    <row r="113" spans="1:4" ht="15.75">
      <c r="A113" s="23">
        <v>112</v>
      </c>
      <c r="B113" s="24">
        <v>44424</v>
      </c>
      <c r="C113" s="25">
        <v>2855</v>
      </c>
      <c r="D113" s="25">
        <f t="shared" si="1"/>
        <v>-1120</v>
      </c>
    </row>
    <row r="114" spans="1:4" ht="15.75">
      <c r="A114" s="23">
        <v>113</v>
      </c>
      <c r="B114" s="24">
        <v>44425</v>
      </c>
      <c r="C114" s="25">
        <v>3740</v>
      </c>
      <c r="D114" s="25">
        <f t="shared" si="1"/>
        <v>885</v>
      </c>
    </row>
    <row r="115" spans="1:4" ht="15.75">
      <c r="A115" s="23">
        <v>114</v>
      </c>
      <c r="B115" s="24">
        <v>44426</v>
      </c>
      <c r="C115" s="25">
        <v>3873</v>
      </c>
      <c r="D115" s="25">
        <f t="shared" si="1"/>
        <v>133</v>
      </c>
    </row>
    <row r="116" spans="1:4" ht="15.75">
      <c r="A116" s="23">
        <v>115</v>
      </c>
      <c r="B116" s="24">
        <v>44427</v>
      </c>
      <c r="C116" s="25">
        <v>4307</v>
      </c>
      <c r="D116" s="25">
        <f t="shared" si="1"/>
        <v>434</v>
      </c>
    </row>
    <row r="117" spans="1:4" ht="15.75">
      <c r="A117" s="23">
        <v>116</v>
      </c>
      <c r="B117" s="24">
        <v>44428</v>
      </c>
      <c r="C117" s="25">
        <v>3504</v>
      </c>
      <c r="D117" s="25">
        <f t="shared" si="1"/>
        <v>-803</v>
      </c>
    </row>
    <row r="118" spans="1:4" ht="15.75">
      <c r="A118" s="23">
        <v>117</v>
      </c>
      <c r="B118" s="24">
        <v>44429</v>
      </c>
      <c r="C118" s="25">
        <v>4084</v>
      </c>
      <c r="D118" s="25">
        <f t="shared" si="1"/>
        <v>580</v>
      </c>
    </row>
    <row r="119" spans="1:4" ht="15.75">
      <c r="A119" s="23">
        <v>118</v>
      </c>
      <c r="B119" s="24">
        <v>44430</v>
      </c>
      <c r="C119" s="25">
        <v>4193</v>
      </c>
      <c r="D119" s="25">
        <f t="shared" si="1"/>
        <v>109</v>
      </c>
    </row>
    <row r="120" spans="1:4" ht="15.75">
      <c r="A120" s="23">
        <v>119</v>
      </c>
      <c r="B120" s="24">
        <v>44431</v>
      </c>
      <c r="C120" s="25">
        <v>4251</v>
      </c>
      <c r="D120" s="25">
        <f t="shared" si="1"/>
        <v>58</v>
      </c>
    </row>
    <row r="121" spans="1:4" ht="15.75">
      <c r="A121" s="23">
        <v>120</v>
      </c>
      <c r="B121" s="24">
        <v>44432</v>
      </c>
      <c r="C121" s="25">
        <v>4634</v>
      </c>
      <c r="D121" s="25">
        <f t="shared" si="1"/>
        <v>383</v>
      </c>
    </row>
    <row r="122" spans="1:4" ht="15.75">
      <c r="A122" s="23">
        <v>121</v>
      </c>
      <c r="B122" s="24">
        <v>44433</v>
      </c>
      <c r="C122" s="25">
        <v>5294</v>
      </c>
      <c r="D122" s="25">
        <f t="shared" si="1"/>
        <v>660</v>
      </c>
    </row>
    <row r="123" spans="1:4" ht="15.75">
      <c r="A123" s="23">
        <v>122</v>
      </c>
      <c r="B123" s="24">
        <v>44434</v>
      </c>
      <c r="C123" s="25">
        <v>3934</v>
      </c>
      <c r="D123" s="25">
        <f t="shared" si="1"/>
        <v>-1360</v>
      </c>
    </row>
    <row r="124" spans="1:4" ht="15.75">
      <c r="A124" s="23">
        <v>123</v>
      </c>
      <c r="B124" s="24">
        <v>44435</v>
      </c>
      <c r="C124" s="25">
        <v>5383</v>
      </c>
      <c r="D124" s="25">
        <f t="shared" si="1"/>
        <v>1449</v>
      </c>
    </row>
    <row r="125" spans="1:4" ht="15.75">
      <c r="A125" s="23">
        <v>124</v>
      </c>
      <c r="B125" s="24">
        <v>44436</v>
      </c>
      <c r="C125" s="25">
        <v>5481</v>
      </c>
      <c r="D125" s="25">
        <f t="shared" si="1"/>
        <v>98</v>
      </c>
    </row>
    <row r="126" spans="1:4" ht="15.75">
      <c r="A126" s="23">
        <v>125</v>
      </c>
      <c r="B126" s="24">
        <v>44437</v>
      </c>
      <c r="C126" s="25">
        <v>4957</v>
      </c>
      <c r="D126" s="25">
        <f t="shared" si="1"/>
        <v>-524</v>
      </c>
    </row>
    <row r="127" spans="1:4" ht="15.75">
      <c r="A127" s="23">
        <v>126</v>
      </c>
      <c r="B127" s="24">
        <v>44438</v>
      </c>
      <c r="C127" s="25">
        <v>5889</v>
      </c>
      <c r="D127" s="25">
        <f t="shared" si="1"/>
        <v>932</v>
      </c>
    </row>
    <row r="128" spans="1:4" ht="15.75">
      <c r="A128" s="23">
        <v>127</v>
      </c>
      <c r="B128" s="24">
        <v>44439</v>
      </c>
      <c r="C128" s="25">
        <v>5444</v>
      </c>
      <c r="D128" s="25">
        <f t="shared" si="1"/>
        <v>-445</v>
      </c>
    </row>
    <row r="129" spans="1:4" ht="15.75">
      <c r="A129" s="23">
        <v>128</v>
      </c>
      <c r="B129" s="24">
        <v>44440</v>
      </c>
      <c r="C129" s="25">
        <v>5368</v>
      </c>
      <c r="D129" s="25">
        <f t="shared" si="1"/>
        <v>-76</v>
      </c>
    </row>
    <row r="130" spans="1:4" ht="15.75">
      <c r="A130" s="23">
        <v>129</v>
      </c>
      <c r="B130" s="24">
        <v>44441</v>
      </c>
      <c r="C130" s="25">
        <v>5964</v>
      </c>
      <c r="D130" s="25">
        <f t="shared" si="1"/>
        <v>596</v>
      </c>
    </row>
    <row r="131" spans="1:4" ht="15.75">
      <c r="A131" s="23">
        <v>130</v>
      </c>
      <c r="B131" s="24">
        <v>44442</v>
      </c>
      <c r="C131" s="25">
        <v>8510</v>
      </c>
      <c r="D131" s="25">
        <f t="shared" si="1"/>
        <v>2546</v>
      </c>
    </row>
    <row r="132" spans="1:4" ht="15.75">
      <c r="A132" s="23">
        <v>131</v>
      </c>
      <c r="B132" s="24">
        <v>44443</v>
      </c>
      <c r="C132" s="25">
        <v>4104</v>
      </c>
      <c r="D132" s="25">
        <f t="shared" ref="D132:D195" si="2">C132-C131</f>
        <v>-4406</v>
      </c>
    </row>
    <row r="133" spans="1:4" ht="15.75">
      <c r="A133" s="23">
        <v>132</v>
      </c>
      <c r="B133" s="24">
        <v>44444</v>
      </c>
      <c r="C133" s="25">
        <v>6226</v>
      </c>
      <c r="D133" s="25">
        <f t="shared" si="2"/>
        <v>2122</v>
      </c>
    </row>
    <row r="134" spans="1:4" ht="15.75">
      <c r="A134" s="23">
        <v>133</v>
      </c>
      <c r="B134" s="24">
        <v>44445</v>
      </c>
      <c r="C134" s="25">
        <v>7122</v>
      </c>
      <c r="D134" s="25">
        <f t="shared" si="2"/>
        <v>896</v>
      </c>
    </row>
    <row r="135" spans="1:4" ht="15.75">
      <c r="A135" s="23">
        <v>134</v>
      </c>
      <c r="B135" s="24">
        <v>44446</v>
      </c>
      <c r="C135" s="25">
        <v>7310</v>
      </c>
      <c r="D135" s="25">
        <f t="shared" si="2"/>
        <v>188</v>
      </c>
    </row>
    <row r="136" spans="1:4" ht="15.75">
      <c r="A136" s="23">
        <v>135</v>
      </c>
      <c r="B136" s="24">
        <v>44447</v>
      </c>
      <c r="C136" s="25">
        <v>7308</v>
      </c>
      <c r="D136" s="25">
        <f t="shared" si="2"/>
        <v>-2</v>
      </c>
    </row>
    <row r="137" spans="1:4" ht="15.75">
      <c r="A137" s="23">
        <v>136</v>
      </c>
      <c r="B137" s="24">
        <v>44448</v>
      </c>
      <c r="C137" s="25">
        <v>5549</v>
      </c>
      <c r="D137" s="25">
        <f t="shared" si="2"/>
        <v>-1759</v>
      </c>
    </row>
    <row r="138" spans="1:4" ht="15.75">
      <c r="A138" s="23">
        <v>137</v>
      </c>
      <c r="B138" s="24">
        <v>44449</v>
      </c>
      <c r="C138" s="25">
        <v>7539</v>
      </c>
      <c r="D138" s="25">
        <f t="shared" si="2"/>
        <v>1990</v>
      </c>
    </row>
    <row r="139" spans="1:4" ht="15.75">
      <c r="A139" s="23">
        <v>138</v>
      </c>
      <c r="B139" s="24">
        <v>44450</v>
      </c>
      <c r="C139" s="25">
        <v>5629</v>
      </c>
      <c r="D139" s="25">
        <f t="shared" si="2"/>
        <v>-1910</v>
      </c>
    </row>
    <row r="140" spans="1:4" ht="15.75">
      <c r="A140" s="23">
        <v>139</v>
      </c>
      <c r="B140" s="24">
        <v>44451</v>
      </c>
      <c r="C140" s="25">
        <v>6158</v>
      </c>
      <c r="D140" s="25">
        <f t="shared" si="2"/>
        <v>529</v>
      </c>
    </row>
    <row r="141" spans="1:4" ht="15.75">
      <c r="A141" s="23">
        <v>140</v>
      </c>
      <c r="B141" s="24">
        <v>44452</v>
      </c>
      <c r="C141" s="25">
        <v>5446</v>
      </c>
      <c r="D141" s="25">
        <f t="shared" si="2"/>
        <v>-712</v>
      </c>
    </row>
    <row r="142" spans="1:4" ht="15.75">
      <c r="A142" s="23">
        <v>141</v>
      </c>
      <c r="B142" s="24">
        <v>44453</v>
      </c>
      <c r="C142" s="25">
        <v>6315</v>
      </c>
      <c r="D142" s="25">
        <f t="shared" si="2"/>
        <v>869</v>
      </c>
    </row>
    <row r="143" spans="1:4" ht="15.75">
      <c r="A143" s="23">
        <v>142</v>
      </c>
      <c r="B143" s="24">
        <v>44454</v>
      </c>
      <c r="C143" s="25">
        <v>5301</v>
      </c>
      <c r="D143" s="25">
        <f t="shared" si="2"/>
        <v>-1014</v>
      </c>
    </row>
    <row r="144" spans="1:4" ht="15.75">
      <c r="A144" s="23">
        <v>143</v>
      </c>
      <c r="B144" s="24">
        <v>44455</v>
      </c>
      <c r="C144" s="25">
        <v>5735</v>
      </c>
      <c r="D144" s="25">
        <f t="shared" si="2"/>
        <v>434</v>
      </c>
    </row>
    <row r="145" spans="1:4" ht="15.75">
      <c r="A145" s="23">
        <v>144</v>
      </c>
      <c r="B145" s="24">
        <v>44456</v>
      </c>
      <c r="C145" s="25">
        <v>5972</v>
      </c>
      <c r="D145" s="25">
        <f t="shared" si="2"/>
        <v>237</v>
      </c>
    </row>
    <row r="146" spans="1:4" ht="15.75">
      <c r="A146" s="23">
        <v>145</v>
      </c>
      <c r="B146" s="24">
        <v>44457</v>
      </c>
      <c r="C146" s="25">
        <v>4273</v>
      </c>
      <c r="D146" s="25">
        <f t="shared" si="2"/>
        <v>-1699</v>
      </c>
    </row>
    <row r="147" spans="1:4" ht="15.75">
      <c r="A147" s="23">
        <v>146</v>
      </c>
      <c r="B147" s="24">
        <v>44458</v>
      </c>
      <c r="C147" s="25">
        <v>5496</v>
      </c>
      <c r="D147" s="25">
        <f t="shared" si="2"/>
        <v>1223</v>
      </c>
    </row>
    <row r="148" spans="1:4" ht="15.75">
      <c r="A148" s="23">
        <v>147</v>
      </c>
      <c r="B148" s="24">
        <v>44459</v>
      </c>
      <c r="C148" s="25">
        <v>5172</v>
      </c>
      <c r="D148" s="25">
        <f t="shared" si="2"/>
        <v>-324</v>
      </c>
    </row>
    <row r="149" spans="1:4" ht="15.75">
      <c r="A149" s="23">
        <v>148</v>
      </c>
      <c r="B149" s="24">
        <v>44460</v>
      </c>
      <c r="C149" s="25">
        <v>6521</v>
      </c>
      <c r="D149" s="25">
        <f t="shared" si="2"/>
        <v>1349</v>
      </c>
    </row>
    <row r="150" spans="1:4" ht="15.75">
      <c r="A150" s="23">
        <v>149</v>
      </c>
      <c r="B150" s="24">
        <v>44461</v>
      </c>
      <c r="C150" s="25">
        <v>5435</v>
      </c>
      <c r="D150" s="25">
        <f t="shared" si="2"/>
        <v>-1086</v>
      </c>
    </row>
    <row r="151" spans="1:4" ht="15.75">
      <c r="A151" s="23">
        <v>150</v>
      </c>
      <c r="B151" s="24">
        <v>44462</v>
      </c>
      <c r="C151" s="25">
        <v>5052</v>
      </c>
      <c r="D151" s="25">
        <f t="shared" si="2"/>
        <v>-383</v>
      </c>
    </row>
    <row r="152" spans="1:4" ht="15.75">
      <c r="A152" s="23">
        <v>151</v>
      </c>
      <c r="B152" s="24">
        <v>44463</v>
      </c>
      <c r="C152" s="25">
        <v>3786</v>
      </c>
      <c r="D152" s="25">
        <f t="shared" si="2"/>
        <v>-1266</v>
      </c>
    </row>
    <row r="153" spans="1:4" ht="15.75">
      <c r="A153" s="23">
        <v>152</v>
      </c>
      <c r="B153" s="24">
        <v>44464</v>
      </c>
      <c r="C153" s="25">
        <v>4050</v>
      </c>
      <c r="D153" s="25">
        <f t="shared" si="2"/>
        <v>264</v>
      </c>
    </row>
    <row r="154" spans="1:4" ht="15.75">
      <c r="A154" s="23">
        <v>153</v>
      </c>
      <c r="B154" s="24">
        <v>44465</v>
      </c>
      <c r="C154" s="25">
        <v>5121</v>
      </c>
      <c r="D154" s="25">
        <f t="shared" si="2"/>
        <v>1071</v>
      </c>
    </row>
    <row r="155" spans="1:4" ht="15.75">
      <c r="A155" s="23">
        <v>154</v>
      </c>
      <c r="B155" s="24">
        <v>44466</v>
      </c>
      <c r="C155" s="25">
        <v>4134</v>
      </c>
      <c r="D155" s="25">
        <f t="shared" si="2"/>
        <v>-987</v>
      </c>
    </row>
    <row r="156" spans="1:4" ht="15.75">
      <c r="A156" s="23">
        <v>155</v>
      </c>
      <c r="B156" s="24">
        <v>44467</v>
      </c>
      <c r="C156" s="25">
        <v>3749</v>
      </c>
      <c r="D156" s="25">
        <f t="shared" si="2"/>
        <v>-385</v>
      </c>
    </row>
    <row r="157" spans="1:4" ht="15.75">
      <c r="A157" s="23">
        <v>156</v>
      </c>
      <c r="B157" s="24">
        <v>44468</v>
      </c>
      <c r="C157" s="25">
        <v>4699</v>
      </c>
      <c r="D157" s="25">
        <f t="shared" si="2"/>
        <v>950</v>
      </c>
    </row>
    <row r="158" spans="1:4" ht="15.75">
      <c r="A158" s="23">
        <v>157</v>
      </c>
      <c r="B158" s="24">
        <v>44469</v>
      </c>
      <c r="C158" s="25">
        <v>4372</v>
      </c>
      <c r="D158" s="25">
        <f t="shared" si="2"/>
        <v>-327</v>
      </c>
    </row>
    <row r="159" spans="1:4" ht="15.75">
      <c r="A159" s="23">
        <v>158</v>
      </c>
      <c r="B159" s="24">
        <v>44470</v>
      </c>
      <c r="C159" s="25">
        <v>3670</v>
      </c>
      <c r="D159" s="25">
        <f t="shared" si="2"/>
        <v>-702</v>
      </c>
    </row>
    <row r="160" spans="1:4" ht="15.75">
      <c r="A160" s="23">
        <v>159</v>
      </c>
      <c r="B160" s="24">
        <v>44471</v>
      </c>
      <c r="C160" s="25">
        <v>2723</v>
      </c>
      <c r="D160" s="25">
        <f t="shared" si="2"/>
        <v>-947</v>
      </c>
    </row>
    <row r="161" spans="1:4" ht="15.75">
      <c r="A161" s="23">
        <v>160</v>
      </c>
      <c r="B161" s="24">
        <v>44472</v>
      </c>
      <c r="C161" s="25">
        <v>2461</v>
      </c>
      <c r="D161" s="25">
        <f t="shared" si="2"/>
        <v>-262</v>
      </c>
    </row>
    <row r="162" spans="1:4" ht="15.75">
      <c r="A162" s="23">
        <v>161</v>
      </c>
      <c r="B162" s="24">
        <v>44473</v>
      </c>
      <c r="C162" s="25">
        <v>2490</v>
      </c>
      <c r="D162" s="25">
        <f t="shared" si="2"/>
        <v>29</v>
      </c>
    </row>
    <row r="163" spans="1:4" ht="15.75">
      <c r="A163" s="23">
        <v>162</v>
      </c>
      <c r="B163" s="24">
        <v>44474</v>
      </c>
      <c r="C163" s="25">
        <v>1491</v>
      </c>
      <c r="D163" s="25">
        <f t="shared" si="2"/>
        <v>-999</v>
      </c>
    </row>
    <row r="164" spans="1:4" ht="15.75">
      <c r="A164" s="23">
        <v>163</v>
      </c>
      <c r="B164" s="24">
        <v>44475</v>
      </c>
      <c r="C164" s="25">
        <v>1960</v>
      </c>
      <c r="D164" s="25">
        <f t="shared" si="2"/>
        <v>469</v>
      </c>
    </row>
    <row r="165" spans="1:4" ht="15.75">
      <c r="A165" s="23">
        <v>164</v>
      </c>
      <c r="B165" s="24">
        <v>44476</v>
      </c>
      <c r="C165" s="25">
        <v>1730</v>
      </c>
      <c r="D165" s="25">
        <f t="shared" si="2"/>
        <v>-230</v>
      </c>
    </row>
    <row r="166" spans="1:4" ht="15.75">
      <c r="A166" s="23">
        <v>165</v>
      </c>
      <c r="B166" s="24">
        <v>44477</v>
      </c>
      <c r="C166" s="25">
        <v>2215</v>
      </c>
      <c r="D166" s="25">
        <f t="shared" si="2"/>
        <v>485</v>
      </c>
    </row>
    <row r="167" spans="1:4" ht="15.75">
      <c r="A167" s="23">
        <v>166</v>
      </c>
      <c r="B167" s="24">
        <v>44478</v>
      </c>
      <c r="C167" s="25">
        <v>1662</v>
      </c>
      <c r="D167" s="25">
        <f t="shared" si="2"/>
        <v>-553</v>
      </c>
    </row>
    <row r="168" spans="1:4" ht="15.75">
      <c r="A168" s="23">
        <v>167</v>
      </c>
      <c r="B168" s="24">
        <v>44479</v>
      </c>
      <c r="C168" s="25">
        <v>1067</v>
      </c>
      <c r="D168" s="25">
        <f t="shared" si="2"/>
        <v>-595</v>
      </c>
    </row>
    <row r="169" spans="1:4" ht="15.75">
      <c r="A169" s="23">
        <v>168</v>
      </c>
      <c r="B169" s="24">
        <v>44480</v>
      </c>
      <c r="C169" s="25">
        <v>1527</v>
      </c>
      <c r="D169" s="25">
        <f t="shared" si="2"/>
        <v>460</v>
      </c>
    </row>
    <row r="170" spans="1:4" ht="15.75">
      <c r="A170" s="23">
        <v>169</v>
      </c>
      <c r="B170" s="24">
        <v>44481</v>
      </c>
      <c r="C170" s="25">
        <v>1018</v>
      </c>
      <c r="D170" s="25">
        <f t="shared" si="2"/>
        <v>-509</v>
      </c>
    </row>
    <row r="171" spans="1:4" ht="15.75">
      <c r="A171" s="23">
        <v>170</v>
      </c>
      <c r="B171" s="24">
        <v>44482</v>
      </c>
      <c r="C171" s="25">
        <v>1162</v>
      </c>
      <c r="D171" s="25">
        <f t="shared" si="2"/>
        <v>144</v>
      </c>
    </row>
    <row r="172" spans="1:4" ht="15.75">
      <c r="A172" s="23">
        <v>171</v>
      </c>
      <c r="B172" s="24">
        <v>44483</v>
      </c>
      <c r="C172" s="25">
        <v>909</v>
      </c>
      <c r="D172" s="25">
        <f t="shared" si="2"/>
        <v>-253</v>
      </c>
    </row>
    <row r="173" spans="1:4" ht="15.75">
      <c r="A173" s="23">
        <v>172</v>
      </c>
      <c r="B173" s="24">
        <v>44484</v>
      </c>
      <c r="C173" s="25">
        <v>1131</v>
      </c>
      <c r="D173" s="25">
        <f t="shared" si="2"/>
        <v>222</v>
      </c>
    </row>
    <row r="174" spans="1:4" ht="15.75">
      <c r="A174" s="23">
        <v>173</v>
      </c>
      <c r="B174" s="24">
        <v>44485</v>
      </c>
      <c r="C174" s="25">
        <v>790</v>
      </c>
      <c r="D174" s="25">
        <f t="shared" si="2"/>
        <v>-341</v>
      </c>
    </row>
    <row r="175" spans="1:4" ht="15.75">
      <c r="A175" s="23">
        <v>174</v>
      </c>
      <c r="B175" s="24">
        <v>44486</v>
      </c>
      <c r="C175" s="25">
        <v>1059</v>
      </c>
      <c r="D175" s="25">
        <f t="shared" si="2"/>
        <v>269</v>
      </c>
    </row>
    <row r="176" spans="1:4" ht="15.75">
      <c r="A176" s="23">
        <v>175</v>
      </c>
      <c r="B176" s="24">
        <v>44487</v>
      </c>
      <c r="C176" s="25">
        <v>968</v>
      </c>
      <c r="D176" s="25">
        <f t="shared" si="2"/>
        <v>-91</v>
      </c>
    </row>
    <row r="177" spans="1:4" ht="15.75">
      <c r="A177" s="23">
        <v>176</v>
      </c>
      <c r="B177" s="24">
        <v>44488</v>
      </c>
      <c r="C177" s="25">
        <v>907</v>
      </c>
      <c r="D177" s="25">
        <f t="shared" si="2"/>
        <v>-61</v>
      </c>
    </row>
    <row r="178" spans="1:4" ht="15.75">
      <c r="A178" s="23">
        <v>177</v>
      </c>
      <c r="B178" s="24">
        <v>44489</v>
      </c>
      <c r="C178" s="25">
        <v>1347</v>
      </c>
      <c r="D178" s="25">
        <f t="shared" si="2"/>
        <v>440</v>
      </c>
    </row>
    <row r="179" spans="1:4" ht="15.75">
      <c r="A179" s="23">
        <v>178</v>
      </c>
      <c r="B179" s="24">
        <v>44490</v>
      </c>
      <c r="C179" s="25">
        <v>1255</v>
      </c>
      <c r="D179" s="25">
        <f t="shared" si="2"/>
        <v>-92</v>
      </c>
    </row>
    <row r="180" spans="1:4" ht="15.75">
      <c r="A180" s="23">
        <v>179</v>
      </c>
      <c r="B180" s="24">
        <v>44491</v>
      </c>
      <c r="C180" s="25">
        <v>1205</v>
      </c>
      <c r="D180" s="25">
        <f t="shared" si="2"/>
        <v>-50</v>
      </c>
    </row>
    <row r="181" spans="1:4" ht="15.75">
      <c r="A181" s="23">
        <v>180</v>
      </c>
      <c r="B181" s="24">
        <v>44492</v>
      </c>
      <c r="C181" s="25">
        <v>749</v>
      </c>
      <c r="D181" s="25">
        <f t="shared" si="2"/>
        <v>-456</v>
      </c>
    </row>
    <row r="182" spans="1:4" ht="15.75">
      <c r="A182" s="23">
        <v>181</v>
      </c>
      <c r="B182" s="24">
        <v>44493</v>
      </c>
      <c r="C182" s="25">
        <v>966</v>
      </c>
      <c r="D182" s="25">
        <f t="shared" si="2"/>
        <v>217</v>
      </c>
    </row>
    <row r="183" spans="1:4" ht="15.75">
      <c r="A183" s="23">
        <v>182</v>
      </c>
      <c r="B183" s="24">
        <v>44494</v>
      </c>
      <c r="C183" s="25">
        <v>969</v>
      </c>
      <c r="D183" s="25">
        <f t="shared" si="2"/>
        <v>3</v>
      </c>
    </row>
    <row r="184" spans="1:4" ht="15.75">
      <c r="A184" s="23">
        <v>183</v>
      </c>
      <c r="B184" s="24">
        <v>44495</v>
      </c>
      <c r="C184" s="25">
        <v>783</v>
      </c>
      <c r="D184" s="25">
        <f t="shared" si="2"/>
        <v>-186</v>
      </c>
    </row>
    <row r="185" spans="1:4" ht="15.75">
      <c r="A185" s="23">
        <v>184</v>
      </c>
      <c r="B185" s="24">
        <v>44496</v>
      </c>
      <c r="C185" s="25">
        <v>1140</v>
      </c>
      <c r="D185" s="25">
        <f t="shared" si="2"/>
        <v>357</v>
      </c>
    </row>
    <row r="186" spans="1:4" ht="15.75">
      <c r="A186" s="23">
        <v>185</v>
      </c>
      <c r="B186" s="24">
        <v>44497</v>
      </c>
      <c r="C186" s="25">
        <v>1069</v>
      </c>
      <c r="D186" s="25">
        <f t="shared" si="2"/>
        <v>-71</v>
      </c>
    </row>
    <row r="187" spans="1:4" ht="15.75">
      <c r="A187" s="23">
        <v>186</v>
      </c>
      <c r="B187" s="24">
        <v>44498</v>
      </c>
      <c r="C187" s="25">
        <v>977</v>
      </c>
      <c r="D187" s="25">
        <f t="shared" si="2"/>
        <v>-92</v>
      </c>
    </row>
    <row r="188" spans="1:4" ht="15.75">
      <c r="A188" s="23">
        <v>187</v>
      </c>
      <c r="B188" s="24">
        <v>44499</v>
      </c>
      <c r="C188" s="25">
        <v>1042</v>
      </c>
      <c r="D188" s="25">
        <f t="shared" si="2"/>
        <v>65</v>
      </c>
    </row>
    <row r="189" spans="1:4" ht="15.75">
      <c r="A189" s="23">
        <v>188</v>
      </c>
      <c r="B189" s="24">
        <v>44500</v>
      </c>
      <c r="C189" s="25">
        <v>1041</v>
      </c>
      <c r="D189" s="25">
        <f t="shared" si="2"/>
        <v>-1</v>
      </c>
    </row>
    <row r="190" spans="1:4" ht="15.75">
      <c r="A190" s="23">
        <v>189</v>
      </c>
      <c r="B190" s="24">
        <v>44501</v>
      </c>
      <c r="C190" s="25">
        <v>927</v>
      </c>
      <c r="D190" s="25">
        <f t="shared" si="2"/>
        <v>-114</v>
      </c>
    </row>
    <row r="191" spans="1:4" ht="15.75">
      <c r="A191" s="23">
        <v>190</v>
      </c>
      <c r="B191" s="24">
        <v>44502</v>
      </c>
      <c r="C191" s="25">
        <v>682</v>
      </c>
      <c r="D191" s="25">
        <f t="shared" si="2"/>
        <v>-245</v>
      </c>
    </row>
    <row r="192" spans="1:4" ht="15.75">
      <c r="A192" s="23">
        <v>191</v>
      </c>
      <c r="B192" s="24">
        <v>44503</v>
      </c>
      <c r="C192" s="25">
        <v>985</v>
      </c>
      <c r="D192" s="25">
        <f t="shared" si="2"/>
        <v>303</v>
      </c>
    </row>
    <row r="193" spans="1:4" ht="15.75">
      <c r="A193" s="23">
        <v>192</v>
      </c>
      <c r="B193" s="24">
        <v>44504</v>
      </c>
      <c r="C193" s="25">
        <v>981</v>
      </c>
      <c r="D193" s="25">
        <f t="shared" si="2"/>
        <v>-4</v>
      </c>
    </row>
    <row r="194" spans="1:4" ht="15.75">
      <c r="A194" s="23">
        <v>193</v>
      </c>
      <c r="B194" s="24">
        <v>44505</v>
      </c>
      <c r="C194" s="25">
        <v>912</v>
      </c>
      <c r="D194" s="25">
        <f t="shared" si="2"/>
        <v>-69</v>
      </c>
    </row>
    <row r="195" spans="1:4" ht="15.75">
      <c r="A195" s="23">
        <v>194</v>
      </c>
      <c r="B195" s="24">
        <v>44506</v>
      </c>
      <c r="C195" s="25">
        <v>986</v>
      </c>
      <c r="D195" s="25">
        <f t="shared" si="2"/>
        <v>74</v>
      </c>
    </row>
    <row r="196" spans="1:4" ht="15.75">
      <c r="A196" s="23">
        <v>195</v>
      </c>
      <c r="B196" s="24">
        <v>44507</v>
      </c>
      <c r="C196" s="25">
        <v>1009</v>
      </c>
      <c r="D196" s="25">
        <f t="shared" ref="D196:D213" si="3">C196-C195</f>
        <v>23</v>
      </c>
    </row>
    <row r="197" spans="1:4" ht="15.75">
      <c r="A197" s="23">
        <v>196</v>
      </c>
      <c r="B197" s="24">
        <v>44508</v>
      </c>
      <c r="C197" s="25">
        <v>1316</v>
      </c>
      <c r="D197" s="25">
        <f t="shared" si="3"/>
        <v>307</v>
      </c>
    </row>
    <row r="198" spans="1:4" ht="15.75">
      <c r="A198" s="23">
        <v>197</v>
      </c>
      <c r="B198" s="24">
        <v>44509</v>
      </c>
      <c r="C198" s="25">
        <v>1276</v>
      </c>
      <c r="D198" s="25">
        <f t="shared" si="3"/>
        <v>-40</v>
      </c>
    </row>
    <row r="199" spans="1:4" ht="15.75">
      <c r="A199" s="23">
        <v>198</v>
      </c>
      <c r="B199" s="24">
        <v>44510</v>
      </c>
      <c r="C199" s="25">
        <v>1414</v>
      </c>
      <c r="D199" s="25">
        <f t="shared" si="3"/>
        <v>138</v>
      </c>
    </row>
    <row r="200" spans="1:4" ht="15.75">
      <c r="A200" s="23">
        <v>199</v>
      </c>
      <c r="B200" s="24">
        <v>44511</v>
      </c>
      <c r="C200" s="25">
        <v>1185</v>
      </c>
      <c r="D200" s="25">
        <f t="shared" si="3"/>
        <v>-229</v>
      </c>
    </row>
    <row r="201" spans="1:4" ht="15.75">
      <c r="A201" s="23">
        <v>200</v>
      </c>
      <c r="B201" s="24">
        <v>44512</v>
      </c>
      <c r="C201" s="25">
        <v>1388</v>
      </c>
      <c r="D201" s="25">
        <f t="shared" si="3"/>
        <v>203</v>
      </c>
    </row>
    <row r="202" spans="1:4" ht="15.75">
      <c r="A202" s="23">
        <v>201</v>
      </c>
      <c r="B202" s="24">
        <v>44513</v>
      </c>
      <c r="C202" s="25">
        <v>1240</v>
      </c>
      <c r="D202" s="25">
        <f t="shared" si="3"/>
        <v>-148</v>
      </c>
    </row>
    <row r="203" spans="1:4" ht="15.75">
      <c r="A203" s="23">
        <v>202</v>
      </c>
      <c r="B203" s="24">
        <v>44514</v>
      </c>
      <c r="C203" s="25">
        <v>985</v>
      </c>
      <c r="D203" s="25">
        <f t="shared" si="3"/>
        <v>-255</v>
      </c>
    </row>
    <row r="204" spans="1:4" ht="15.75">
      <c r="A204" s="23">
        <v>203</v>
      </c>
      <c r="B204" s="24">
        <v>44515</v>
      </c>
      <c r="C204" s="25">
        <v>1165</v>
      </c>
      <c r="D204" s="25">
        <f t="shared" si="3"/>
        <v>180</v>
      </c>
    </row>
    <row r="205" spans="1:4" ht="15.75">
      <c r="A205" s="23">
        <v>204</v>
      </c>
      <c r="B205" s="24">
        <v>44516</v>
      </c>
      <c r="C205" s="25">
        <v>1183</v>
      </c>
      <c r="D205" s="25">
        <f t="shared" si="3"/>
        <v>18</v>
      </c>
    </row>
    <row r="206" spans="1:4" ht="15.75">
      <c r="A206" s="23">
        <v>205</v>
      </c>
      <c r="B206" s="24">
        <v>44517</v>
      </c>
      <c r="C206" s="25">
        <v>1337</v>
      </c>
      <c r="D206" s="25">
        <f t="shared" si="3"/>
        <v>154</v>
      </c>
    </row>
    <row r="207" spans="1:4" ht="15.75">
      <c r="A207" s="23">
        <v>206</v>
      </c>
      <c r="B207" s="24">
        <v>44518</v>
      </c>
      <c r="C207" s="25">
        <v>1609</v>
      </c>
      <c r="D207" s="25">
        <f t="shared" si="3"/>
        <v>272</v>
      </c>
    </row>
    <row r="208" spans="1:4" ht="15.75">
      <c r="A208" s="23">
        <v>207</v>
      </c>
      <c r="B208" s="24">
        <v>44519</v>
      </c>
      <c r="C208" s="25">
        <v>1339</v>
      </c>
      <c r="D208" s="25">
        <f t="shared" si="3"/>
        <v>-270</v>
      </c>
    </row>
    <row r="209" spans="1:4" ht="15.75">
      <c r="A209" s="23">
        <v>208</v>
      </c>
      <c r="B209" s="24">
        <v>44520</v>
      </c>
      <c r="C209" s="25">
        <v>1046</v>
      </c>
      <c r="D209" s="25">
        <f t="shared" si="3"/>
        <v>-293</v>
      </c>
    </row>
    <row r="210" spans="1:4" ht="15.75">
      <c r="A210" s="23">
        <v>209</v>
      </c>
      <c r="B210" s="24">
        <v>44521</v>
      </c>
      <c r="C210" s="25">
        <v>1265</v>
      </c>
      <c r="D210" s="25">
        <f t="shared" si="3"/>
        <v>219</v>
      </c>
    </row>
    <row r="211" spans="1:4" ht="15.75">
      <c r="A211" s="23">
        <v>210</v>
      </c>
      <c r="B211" s="24">
        <v>44522</v>
      </c>
      <c r="C211" s="25">
        <v>1547</v>
      </c>
      <c r="D211" s="25">
        <f t="shared" si="3"/>
        <v>282</v>
      </c>
    </row>
    <row r="212" spans="1:4" ht="15.75">
      <c r="A212" s="23">
        <v>211</v>
      </c>
      <c r="B212" s="24">
        <v>44523</v>
      </c>
      <c r="C212" s="25">
        <v>1204</v>
      </c>
      <c r="D212" s="25">
        <f t="shared" si="3"/>
        <v>-343</v>
      </c>
    </row>
    <row r="213" spans="1:4" ht="15.75">
      <c r="A213" s="23">
        <v>212</v>
      </c>
      <c r="B213" s="24">
        <v>44524</v>
      </c>
      <c r="C213" s="25">
        <v>1666</v>
      </c>
      <c r="D213" s="25">
        <f t="shared" si="3"/>
        <v>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4"/>
  <sheetViews>
    <sheetView showGridLines="0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ColWidth="9.125" defaultRowHeight="15.75"/>
  <cols>
    <col min="1" max="1" width="13.125" style="11" customWidth="1"/>
    <col min="2" max="2" width="13.75" style="10" customWidth="1"/>
    <col min="3" max="3" width="13.375" style="10" customWidth="1"/>
    <col min="4" max="4" width="13.625" style="10" customWidth="1"/>
    <col min="5" max="5" width="11.75" style="10" customWidth="1"/>
    <col min="6" max="6" width="11.375" style="10" customWidth="1"/>
    <col min="7" max="7" width="15.375" style="10" bestFit="1" customWidth="1"/>
    <col min="8" max="8" width="19.125" style="10" bestFit="1" customWidth="1"/>
    <col min="9" max="9" width="15.375" style="10" bestFit="1" customWidth="1"/>
    <col min="10" max="10" width="19.75" style="10" bestFit="1" customWidth="1"/>
    <col min="11" max="11" width="21.375" style="10" bestFit="1" customWidth="1"/>
    <col min="12" max="12" width="15.125" style="10" bestFit="1" customWidth="1"/>
    <col min="13" max="13" width="14.75" style="10" bestFit="1" customWidth="1"/>
    <col min="14" max="14" width="21.375" style="10" bestFit="1" customWidth="1"/>
    <col min="15" max="15" width="19.125" style="10" bestFit="1" customWidth="1"/>
    <col min="16" max="16" width="11.125" style="10" customWidth="1"/>
    <col min="17" max="17" width="19.125" style="10" bestFit="1" customWidth="1"/>
    <col min="18" max="22" width="9.125" style="10"/>
    <col min="23" max="23" width="18.875" style="10" bestFit="1" customWidth="1"/>
    <col min="24" max="24" width="24" style="10" bestFit="1" customWidth="1"/>
    <col min="25" max="16384" width="9.125" style="10"/>
  </cols>
  <sheetData>
    <row r="1" spans="1:24" s="1" customFormat="1" ht="27.75" customHeight="1">
      <c r="A1" s="14" t="s">
        <v>14</v>
      </c>
      <c r="B1" s="15" t="s">
        <v>13</v>
      </c>
      <c r="C1" s="16" t="s">
        <v>9</v>
      </c>
      <c r="D1" s="14" t="s">
        <v>10</v>
      </c>
      <c r="E1" s="14" t="s">
        <v>11</v>
      </c>
      <c r="F1" s="62"/>
      <c r="G1" s="63"/>
      <c r="H1" s="63"/>
      <c r="I1" s="63"/>
      <c r="J1" s="63"/>
      <c r="K1" s="63"/>
      <c r="L1" s="63"/>
      <c r="M1" s="63"/>
      <c r="W1" s="8"/>
      <c r="X1" s="9" t="s">
        <v>8</v>
      </c>
    </row>
    <row r="2" spans="1:24" s="1" customFormat="1">
      <c r="A2" s="64">
        <v>44313</v>
      </c>
      <c r="B2" s="65">
        <v>0</v>
      </c>
      <c r="C2" s="66">
        <v>8047</v>
      </c>
      <c r="D2" s="67">
        <v>2</v>
      </c>
      <c r="E2" s="67">
        <v>30</v>
      </c>
      <c r="F2" s="68"/>
      <c r="G2" s="63"/>
      <c r="H2" s="63"/>
      <c r="I2" s="63"/>
      <c r="J2" s="63"/>
      <c r="K2" s="63"/>
      <c r="L2" s="63"/>
      <c r="M2" s="63"/>
      <c r="W2" s="298" t="s">
        <v>12</v>
      </c>
      <c r="X2" s="6" t="s">
        <v>0</v>
      </c>
    </row>
    <row r="3" spans="1:24" s="1" customFormat="1">
      <c r="A3" s="64">
        <v>44314</v>
      </c>
      <c r="B3" s="65">
        <v>0</v>
      </c>
      <c r="C3" s="66">
        <v>7995.7619047619037</v>
      </c>
      <c r="D3" s="67">
        <v>2</v>
      </c>
      <c r="E3" s="67">
        <v>30</v>
      </c>
      <c r="F3" s="63"/>
      <c r="G3" s="63"/>
      <c r="H3" s="63"/>
      <c r="I3" s="63"/>
      <c r="J3" s="63"/>
      <c r="K3" s="63"/>
      <c r="L3" s="63"/>
      <c r="M3" s="63"/>
      <c r="W3" s="298"/>
      <c r="X3" s="6" t="s">
        <v>7</v>
      </c>
    </row>
    <row r="4" spans="1:24" s="1" customFormat="1">
      <c r="A4" s="64">
        <v>44315</v>
      </c>
      <c r="B4" s="65">
        <v>1</v>
      </c>
      <c r="C4" s="66">
        <v>8043.3809523809514</v>
      </c>
      <c r="D4" s="67">
        <v>2</v>
      </c>
      <c r="E4" s="67">
        <v>30</v>
      </c>
      <c r="F4" s="63"/>
      <c r="G4" s="63"/>
      <c r="H4" s="63"/>
      <c r="I4" s="63"/>
      <c r="J4" s="63"/>
      <c r="K4" s="63"/>
      <c r="L4" s="63"/>
      <c r="M4" s="63"/>
      <c r="W4" s="298"/>
      <c r="X4" s="6" t="s">
        <v>1</v>
      </c>
    </row>
    <row r="5" spans="1:24" s="1" customFormat="1">
      <c r="A5" s="64">
        <v>44316</v>
      </c>
      <c r="B5" s="65">
        <v>2</v>
      </c>
      <c r="C5" s="66">
        <v>7520.4285714285697</v>
      </c>
      <c r="D5" s="67">
        <v>2</v>
      </c>
      <c r="E5" s="67">
        <v>30</v>
      </c>
      <c r="F5" s="63"/>
      <c r="G5" s="63"/>
      <c r="H5" s="63"/>
      <c r="I5" s="63"/>
      <c r="J5" s="63"/>
      <c r="K5" s="63"/>
      <c r="L5" s="63"/>
      <c r="M5" s="63"/>
      <c r="W5" s="298"/>
      <c r="X5" s="6" t="s">
        <v>2</v>
      </c>
    </row>
    <row r="6" spans="1:24" s="1" customFormat="1">
      <c r="A6" s="64">
        <v>44317</v>
      </c>
      <c r="B6" s="65">
        <v>3</v>
      </c>
      <c r="C6" s="66">
        <v>7054.8571428571404</v>
      </c>
      <c r="D6" s="67">
        <v>2</v>
      </c>
      <c r="E6" s="67">
        <v>30</v>
      </c>
      <c r="F6" s="63"/>
      <c r="G6" s="63"/>
      <c r="H6" s="63"/>
      <c r="I6" s="63"/>
      <c r="J6" s="63"/>
      <c r="K6" s="63"/>
      <c r="L6" s="63"/>
      <c r="M6" s="63"/>
      <c r="W6" s="298"/>
      <c r="X6" s="6" t="s">
        <v>3</v>
      </c>
    </row>
    <row r="7" spans="1:24" s="1" customFormat="1">
      <c r="A7" s="64">
        <v>44318</v>
      </c>
      <c r="B7" s="65">
        <v>0</v>
      </c>
      <c r="C7" s="66">
        <v>6443.1428571428551</v>
      </c>
      <c r="D7" s="67">
        <v>2</v>
      </c>
      <c r="E7" s="67">
        <v>30</v>
      </c>
      <c r="F7" s="63"/>
      <c r="G7" s="63"/>
      <c r="H7" s="63"/>
      <c r="I7" s="63"/>
      <c r="J7" s="63"/>
      <c r="K7" s="63"/>
      <c r="L7" s="63"/>
      <c r="M7" s="63"/>
      <c r="W7" s="298"/>
      <c r="X7" s="6" t="s">
        <v>4</v>
      </c>
    </row>
    <row r="8" spans="1:24" s="1" customFormat="1">
      <c r="A8" s="64">
        <v>44319</v>
      </c>
      <c r="B8" s="65">
        <v>0</v>
      </c>
      <c r="C8" s="66">
        <v>3423.5714285714266</v>
      </c>
      <c r="D8" s="67">
        <v>2</v>
      </c>
      <c r="E8" s="67">
        <v>30</v>
      </c>
      <c r="F8" s="63"/>
      <c r="G8" s="63"/>
      <c r="H8" s="63"/>
      <c r="I8" s="63"/>
      <c r="J8" s="63"/>
      <c r="K8" s="63"/>
      <c r="L8" s="63"/>
      <c r="M8" s="63"/>
      <c r="W8" s="298"/>
      <c r="X8" s="6" t="s">
        <v>5</v>
      </c>
    </row>
    <row r="9" spans="1:24" s="1" customFormat="1">
      <c r="A9" s="64">
        <v>44320</v>
      </c>
      <c r="B9" s="65">
        <v>3</v>
      </c>
      <c r="C9" s="66">
        <v>1041.999999999998</v>
      </c>
      <c r="D9" s="67">
        <v>2</v>
      </c>
      <c r="E9" s="67">
        <v>30</v>
      </c>
      <c r="F9" s="63"/>
      <c r="G9" s="63"/>
      <c r="H9" s="63"/>
      <c r="I9" s="63"/>
      <c r="J9" s="63"/>
      <c r="K9" s="63"/>
      <c r="L9" s="63"/>
      <c r="M9" s="63"/>
      <c r="W9" s="298"/>
      <c r="X9" s="6" t="s">
        <v>6</v>
      </c>
    </row>
    <row r="10" spans="1:24" s="1" customFormat="1" ht="16.5" thickBot="1">
      <c r="A10" s="64">
        <v>44321</v>
      </c>
      <c r="B10" s="65">
        <v>1</v>
      </c>
      <c r="C10" s="66">
        <v>1556.3809523809509</v>
      </c>
      <c r="D10" s="67">
        <v>2</v>
      </c>
      <c r="E10" s="67">
        <v>30</v>
      </c>
      <c r="F10" s="63"/>
      <c r="G10" s="63"/>
      <c r="H10" s="63"/>
      <c r="I10" s="63"/>
      <c r="J10" s="63"/>
      <c r="K10" s="63"/>
      <c r="L10" s="63"/>
      <c r="M10" s="63"/>
      <c r="W10" s="299"/>
      <c r="X10" s="7" t="s">
        <v>113</v>
      </c>
    </row>
    <row r="11" spans="1:24" s="1" customFormat="1">
      <c r="A11" s="64">
        <v>44322</v>
      </c>
      <c r="B11" s="65">
        <v>0</v>
      </c>
      <c r="C11" s="66">
        <v>1734.4761904761897</v>
      </c>
      <c r="D11" s="67">
        <v>2</v>
      </c>
      <c r="E11" s="67">
        <v>30</v>
      </c>
      <c r="F11" s="63"/>
      <c r="G11" s="63"/>
      <c r="H11" s="63"/>
      <c r="I11" s="63"/>
      <c r="J11" s="63"/>
      <c r="K11" s="63"/>
      <c r="L11" s="63"/>
      <c r="M11" s="63"/>
      <c r="X11" s="12"/>
    </row>
    <row r="12" spans="1:24" s="1" customFormat="1">
      <c r="A12" s="64">
        <v>44323</v>
      </c>
      <c r="B12" s="65">
        <v>2</v>
      </c>
      <c r="C12" s="66">
        <v>1906.1428571428571</v>
      </c>
      <c r="D12" s="67">
        <v>2</v>
      </c>
      <c r="E12" s="67">
        <v>30</v>
      </c>
      <c r="F12" s="63"/>
      <c r="G12" s="63"/>
      <c r="H12" s="63"/>
      <c r="I12" s="63"/>
      <c r="J12" s="69"/>
      <c r="K12" s="70"/>
      <c r="L12" s="70"/>
      <c r="M12" s="70"/>
      <c r="N12" s="17"/>
      <c r="O12" s="17"/>
      <c r="P12" s="18"/>
    </row>
    <row r="13" spans="1:24" s="1" customFormat="1" ht="20.25" customHeight="1">
      <c r="A13" s="64">
        <v>44324</v>
      </c>
      <c r="B13" s="65">
        <v>1</v>
      </c>
      <c r="C13" s="66">
        <v>1982.2857142857142</v>
      </c>
      <c r="D13" s="67">
        <v>2</v>
      </c>
      <c r="E13" s="67">
        <v>30</v>
      </c>
      <c r="F13" s="63"/>
      <c r="G13" s="300" t="s">
        <v>15</v>
      </c>
      <c r="H13" s="301"/>
      <c r="I13" s="302"/>
      <c r="J13" s="300" t="s">
        <v>19</v>
      </c>
      <c r="K13" s="301"/>
      <c r="L13" s="302"/>
      <c r="M13" s="71" t="s">
        <v>22</v>
      </c>
    </row>
    <row r="14" spans="1:24" s="1" customFormat="1" ht="18.75" customHeight="1">
      <c r="A14" s="64">
        <v>44325</v>
      </c>
      <c r="B14" s="65">
        <v>0</v>
      </c>
      <c r="C14" s="66">
        <v>1963.5714285714287</v>
      </c>
      <c r="D14" s="67">
        <v>2</v>
      </c>
      <c r="E14" s="67">
        <v>30</v>
      </c>
      <c r="F14" s="72"/>
      <c r="G14" s="73" t="s">
        <v>26</v>
      </c>
      <c r="H14" s="73" t="s">
        <v>16</v>
      </c>
      <c r="I14" s="73" t="s">
        <v>17</v>
      </c>
      <c r="J14" s="73" t="s">
        <v>20</v>
      </c>
      <c r="K14" s="73" t="s">
        <v>21</v>
      </c>
      <c r="L14" s="73" t="s">
        <v>28</v>
      </c>
      <c r="M14" s="73" t="s">
        <v>23</v>
      </c>
      <c r="R14" s="13" t="s">
        <v>27</v>
      </c>
    </row>
    <row r="15" spans="1:24" s="1" customFormat="1">
      <c r="A15" s="64">
        <v>44326</v>
      </c>
      <c r="B15" s="65">
        <v>0</v>
      </c>
      <c r="C15" s="66">
        <v>1787</v>
      </c>
      <c r="D15" s="67">
        <v>2</v>
      </c>
      <c r="E15" s="67">
        <v>30</v>
      </c>
      <c r="F15" s="72"/>
      <c r="G15" s="74">
        <v>212</v>
      </c>
      <c r="H15" s="75" t="s">
        <v>18</v>
      </c>
      <c r="I15" s="75">
        <v>1</v>
      </c>
      <c r="J15" s="76">
        <f>I21</f>
        <v>0.45999467209169481</v>
      </c>
      <c r="K15" s="77">
        <f>J21</f>
        <v>0.82368300713378428</v>
      </c>
      <c r="L15" s="77">
        <f>K21</f>
        <v>-0.56112115826719788</v>
      </c>
      <c r="M15" s="78">
        <f>AVERAGE(J15:L15)</f>
        <v>0.24085217365276043</v>
      </c>
    </row>
    <row r="16" spans="1:24" s="1" customFormat="1">
      <c r="A16" s="64">
        <v>44327</v>
      </c>
      <c r="B16" s="65">
        <v>3</v>
      </c>
      <c r="C16" s="66">
        <v>1437.1428571428571</v>
      </c>
      <c r="D16" s="67">
        <v>2</v>
      </c>
      <c r="E16" s="67">
        <v>30</v>
      </c>
      <c r="F16" s="72"/>
      <c r="G16" s="74">
        <v>106</v>
      </c>
      <c r="H16" s="75" t="s">
        <v>18</v>
      </c>
      <c r="I16" s="75">
        <v>2</v>
      </c>
      <c r="J16" s="77">
        <f>I28</f>
        <v>0.50387985876442298</v>
      </c>
      <c r="K16" s="77">
        <f>J28</f>
        <v>0.83206640943765253</v>
      </c>
      <c r="L16" s="77">
        <f>K28</f>
        <v>-0.58798467289713585</v>
      </c>
      <c r="M16" s="79">
        <f>AVERAGE(J16:L16)</f>
        <v>0.24932053176831323</v>
      </c>
    </row>
    <row r="17" spans="1:16" s="1" customFormat="1">
      <c r="A17" s="64">
        <v>44328</v>
      </c>
      <c r="B17" s="65">
        <v>0</v>
      </c>
      <c r="C17" s="66">
        <v>970.57142857142856</v>
      </c>
      <c r="D17" s="67">
        <v>2</v>
      </c>
      <c r="E17" s="67">
        <v>30</v>
      </c>
      <c r="F17" s="72"/>
      <c r="G17" s="303" t="s">
        <v>101</v>
      </c>
      <c r="H17" s="304"/>
      <c r="I17" s="305"/>
      <c r="J17" s="77">
        <f>J16/SUM($J$16:$L$16)</f>
        <v>0.67367076321477981</v>
      </c>
      <c r="K17" s="77">
        <f>K16/SUM($J$16:$L$16)</f>
        <v>1.1124453643885603</v>
      </c>
      <c r="L17" s="77">
        <f t="shared" ref="L17" si="0">L16/SUM($J$16:$L$16)</f>
        <v>-0.78611612760334015</v>
      </c>
      <c r="M17" s="80"/>
      <c r="N17" s="11"/>
      <c r="O17" s="11"/>
      <c r="P17" s="10"/>
    </row>
    <row r="18" spans="1:16" s="1" customFormat="1">
      <c r="A18" s="64">
        <v>44329</v>
      </c>
      <c r="B18" s="65">
        <v>0</v>
      </c>
      <c r="C18" s="66">
        <v>822</v>
      </c>
      <c r="D18" s="67">
        <v>2</v>
      </c>
      <c r="E18" s="67">
        <v>30</v>
      </c>
      <c r="F18" s="63"/>
      <c r="G18" s="63"/>
      <c r="H18" s="63"/>
      <c r="I18" s="63"/>
      <c r="J18" s="63"/>
      <c r="K18" s="63"/>
      <c r="L18" s="80"/>
      <c r="M18" s="80"/>
      <c r="N18" s="11"/>
      <c r="P18" s="10"/>
    </row>
    <row r="19" spans="1:16" s="1" customFormat="1">
      <c r="A19" s="64">
        <v>44330</v>
      </c>
      <c r="B19" s="65">
        <v>0</v>
      </c>
      <c r="C19" s="66">
        <v>831.42857142857144</v>
      </c>
      <c r="D19" s="67">
        <v>2</v>
      </c>
      <c r="E19" s="67">
        <v>30</v>
      </c>
      <c r="F19" s="63"/>
      <c r="G19" s="63" t="s">
        <v>24</v>
      </c>
      <c r="H19" s="63"/>
      <c r="I19" s="63"/>
      <c r="J19" s="80"/>
      <c r="K19" s="80"/>
      <c r="L19" s="63"/>
      <c r="M19" s="63"/>
    </row>
    <row r="20" spans="1:16" s="1" customFormat="1">
      <c r="A20" s="64">
        <v>44331</v>
      </c>
      <c r="B20" s="65">
        <v>0</v>
      </c>
      <c r="C20" s="66">
        <v>899</v>
      </c>
      <c r="D20" s="67">
        <v>2</v>
      </c>
      <c r="E20" s="67">
        <v>30</v>
      </c>
      <c r="F20" s="63"/>
      <c r="G20" s="81"/>
      <c r="H20" s="75" t="s">
        <v>13</v>
      </c>
      <c r="I20" s="75" t="s">
        <v>9</v>
      </c>
      <c r="J20" s="75" t="s">
        <v>99</v>
      </c>
      <c r="K20" s="75" t="s">
        <v>100</v>
      </c>
      <c r="L20" s="63"/>
      <c r="M20" s="63"/>
    </row>
    <row r="21" spans="1:16" s="1" customFormat="1">
      <c r="A21" s="64">
        <v>44332</v>
      </c>
      <c r="B21" s="65">
        <v>0</v>
      </c>
      <c r="C21" s="66">
        <v>902.84453781512696</v>
      </c>
      <c r="D21" s="67">
        <v>2</v>
      </c>
      <c r="E21" s="67">
        <v>30</v>
      </c>
      <c r="F21" s="63"/>
      <c r="G21" s="81" t="s">
        <v>13</v>
      </c>
      <c r="H21" s="75">
        <v>1</v>
      </c>
      <c r="I21" s="77">
        <v>0.45999467209169481</v>
      </c>
      <c r="J21" s="77">
        <v>0.82368300713378428</v>
      </c>
      <c r="K21" s="77">
        <v>-0.56112115826719788</v>
      </c>
      <c r="L21" s="63"/>
      <c r="M21" s="63"/>
    </row>
    <row r="22" spans="1:16" s="1" customFormat="1">
      <c r="A22" s="64">
        <v>44333</v>
      </c>
      <c r="B22" s="65">
        <v>2</v>
      </c>
      <c r="C22" s="66">
        <v>871.26050420168235</v>
      </c>
      <c r="D22" s="67">
        <v>2</v>
      </c>
      <c r="E22" s="67">
        <v>30</v>
      </c>
      <c r="F22" s="63"/>
      <c r="G22" s="81" t="s">
        <v>9</v>
      </c>
      <c r="H22" s="75"/>
      <c r="I22" s="75">
        <v>1</v>
      </c>
      <c r="J22" s="77">
        <v>0.42326038817083772</v>
      </c>
      <c r="K22" s="77">
        <v>-0.34595419391342591</v>
      </c>
      <c r="L22" s="63"/>
      <c r="M22" s="63"/>
    </row>
    <row r="23" spans="1:16" s="1" customFormat="1">
      <c r="A23" s="64">
        <v>44334</v>
      </c>
      <c r="B23" s="65">
        <v>1</v>
      </c>
      <c r="C23" s="66">
        <v>632.39075630252353</v>
      </c>
      <c r="D23" s="67">
        <v>2</v>
      </c>
      <c r="E23" s="67">
        <v>30</v>
      </c>
      <c r="F23" s="63"/>
      <c r="G23" s="81" t="s">
        <v>99</v>
      </c>
      <c r="H23" s="75"/>
      <c r="I23" s="75"/>
      <c r="J23" s="75">
        <v>1</v>
      </c>
      <c r="K23" s="82">
        <v>-0.7902489518883008</v>
      </c>
      <c r="L23" s="63"/>
      <c r="M23" s="63"/>
    </row>
    <row r="24" spans="1:16" s="1" customFormat="1">
      <c r="A24" s="64">
        <v>44335</v>
      </c>
      <c r="B24" s="65">
        <v>1</v>
      </c>
      <c r="C24" s="66">
        <v>566.09243697479337</v>
      </c>
      <c r="D24" s="67">
        <v>2</v>
      </c>
      <c r="E24" s="67">
        <v>30</v>
      </c>
      <c r="F24" s="63"/>
      <c r="G24" s="81" t="s">
        <v>100</v>
      </c>
      <c r="H24" s="75"/>
      <c r="I24" s="75"/>
      <c r="J24" s="75"/>
      <c r="K24" s="75">
        <v>1</v>
      </c>
      <c r="L24" s="63"/>
      <c r="M24" s="63"/>
    </row>
    <row r="25" spans="1:16" s="1" customFormat="1">
      <c r="A25" s="64">
        <v>44336</v>
      </c>
      <c r="B25" s="65">
        <v>3</v>
      </c>
      <c r="C25" s="66">
        <v>518.07983193277744</v>
      </c>
      <c r="D25" s="67">
        <v>2</v>
      </c>
      <c r="E25" s="67">
        <v>30</v>
      </c>
      <c r="F25" s="63"/>
      <c r="G25" s="63"/>
      <c r="H25" s="63"/>
      <c r="I25" s="63"/>
      <c r="J25" s="63"/>
      <c r="K25" s="63"/>
      <c r="L25" s="63"/>
      <c r="M25" s="63"/>
    </row>
    <row r="26" spans="1:16" s="1" customFormat="1">
      <c r="A26" s="64">
        <v>44337</v>
      </c>
      <c r="B26" s="65">
        <v>0</v>
      </c>
      <c r="C26" s="66">
        <v>318.49579831933289</v>
      </c>
      <c r="D26" s="67">
        <v>2</v>
      </c>
      <c r="E26" s="67">
        <v>30</v>
      </c>
      <c r="F26" s="63"/>
      <c r="G26" s="63" t="s">
        <v>25</v>
      </c>
      <c r="H26" s="63"/>
      <c r="I26" s="63"/>
      <c r="J26" s="80"/>
      <c r="K26" s="80"/>
      <c r="L26" s="63"/>
      <c r="M26" s="63"/>
    </row>
    <row r="27" spans="1:16" s="1" customFormat="1">
      <c r="A27" s="64">
        <v>44338</v>
      </c>
      <c r="B27" s="65">
        <v>0</v>
      </c>
      <c r="C27" s="66">
        <v>203.91176470588834</v>
      </c>
      <c r="D27" s="67">
        <v>2</v>
      </c>
      <c r="E27" s="67">
        <v>30</v>
      </c>
      <c r="F27" s="63"/>
      <c r="G27" s="81"/>
      <c r="H27" s="75" t="s">
        <v>13</v>
      </c>
      <c r="I27" s="75" t="s">
        <v>9</v>
      </c>
      <c r="J27" s="75" t="s">
        <v>99</v>
      </c>
      <c r="K27" s="75" t="s">
        <v>100</v>
      </c>
      <c r="L27" s="63"/>
      <c r="M27" s="63"/>
    </row>
    <row r="28" spans="1:16" s="1" customFormat="1">
      <c r="A28" s="64">
        <v>44339</v>
      </c>
      <c r="B28" s="65">
        <v>0</v>
      </c>
      <c r="C28" s="66">
        <v>203.91176470588834</v>
      </c>
      <c r="D28" s="67">
        <v>2</v>
      </c>
      <c r="E28" s="67">
        <v>30</v>
      </c>
      <c r="F28" s="63"/>
      <c r="G28" s="81" t="s">
        <v>13</v>
      </c>
      <c r="H28" s="75">
        <v>1</v>
      </c>
      <c r="I28" s="77">
        <v>0.50387985876442298</v>
      </c>
      <c r="J28" s="77">
        <v>0.83206640943765253</v>
      </c>
      <c r="K28" s="77">
        <v>-0.58798467289713585</v>
      </c>
      <c r="L28" s="63"/>
      <c r="M28" s="63"/>
    </row>
    <row r="29" spans="1:16" s="1" customFormat="1">
      <c r="A29" s="64">
        <v>44340</v>
      </c>
      <c r="B29" s="65">
        <v>1</v>
      </c>
      <c r="C29" s="66">
        <v>203.91176470588834</v>
      </c>
      <c r="D29" s="67">
        <v>2</v>
      </c>
      <c r="E29" s="67">
        <v>30</v>
      </c>
      <c r="F29" s="63"/>
      <c r="G29" s="81" t="s">
        <v>9</v>
      </c>
      <c r="H29" s="75"/>
      <c r="I29" s="75">
        <v>1</v>
      </c>
      <c r="J29" s="77">
        <v>0.41459060862343583</v>
      </c>
      <c r="K29" s="77">
        <v>-0.31393634000461851</v>
      </c>
      <c r="L29" s="63"/>
      <c r="M29" s="63"/>
    </row>
    <row r="30" spans="1:16" s="1" customFormat="1">
      <c r="A30" s="64">
        <v>44341</v>
      </c>
      <c r="B30" s="65">
        <v>1</v>
      </c>
      <c r="C30" s="66">
        <v>203.91176470588834</v>
      </c>
      <c r="D30" s="67">
        <v>2</v>
      </c>
      <c r="E30" s="67">
        <v>30</v>
      </c>
      <c r="F30" s="63"/>
      <c r="G30" s="81" t="s">
        <v>99</v>
      </c>
      <c r="H30" s="75"/>
      <c r="I30" s="75"/>
      <c r="J30" s="75">
        <v>1</v>
      </c>
      <c r="K30" s="77">
        <v>-0.79075714833114552</v>
      </c>
      <c r="L30" s="63"/>
      <c r="M30" s="63"/>
    </row>
    <row r="31" spans="1:16" s="1" customFormat="1">
      <c r="A31" s="64">
        <v>44342</v>
      </c>
      <c r="B31" s="65">
        <v>0</v>
      </c>
      <c r="C31" s="66">
        <v>203.91176470588834</v>
      </c>
      <c r="D31" s="67">
        <v>2</v>
      </c>
      <c r="E31" s="67">
        <v>30</v>
      </c>
      <c r="F31" s="63"/>
      <c r="G31" s="81" t="s">
        <v>100</v>
      </c>
      <c r="H31" s="75"/>
      <c r="I31" s="75"/>
      <c r="J31" s="75"/>
      <c r="K31" s="75">
        <v>1</v>
      </c>
      <c r="L31" s="63"/>
      <c r="M31" s="63"/>
    </row>
    <row r="32" spans="1:16" s="1" customFormat="1">
      <c r="A32" s="64">
        <v>44343</v>
      </c>
      <c r="B32" s="65">
        <v>36</v>
      </c>
      <c r="C32" s="66">
        <v>203.91176470588834</v>
      </c>
      <c r="D32" s="67">
        <v>2</v>
      </c>
      <c r="E32" s="67">
        <v>30</v>
      </c>
      <c r="F32" s="63"/>
      <c r="G32" s="63"/>
      <c r="H32" s="63"/>
      <c r="I32" s="63"/>
      <c r="J32" s="63"/>
      <c r="K32" s="63"/>
      <c r="L32" s="68"/>
      <c r="M32" s="68"/>
    </row>
    <row r="33" spans="1:13" s="1" customFormat="1">
      <c r="A33" s="64">
        <v>44344</v>
      </c>
      <c r="B33" s="65">
        <v>0</v>
      </c>
      <c r="C33" s="66">
        <v>203.91176470588834</v>
      </c>
      <c r="D33" s="67">
        <v>2</v>
      </c>
      <c r="E33" s="67">
        <v>30</v>
      </c>
      <c r="F33" s="63"/>
      <c r="G33" s="63"/>
      <c r="H33" s="63"/>
      <c r="I33" s="63"/>
      <c r="J33" s="63"/>
      <c r="K33" s="63"/>
      <c r="L33" s="63"/>
      <c r="M33" s="63"/>
    </row>
    <row r="34" spans="1:13" s="1" customFormat="1">
      <c r="A34" s="64">
        <v>44345</v>
      </c>
      <c r="B34" s="65">
        <v>0</v>
      </c>
      <c r="C34" s="66">
        <v>203.91176470588834</v>
      </c>
      <c r="D34" s="67">
        <v>2</v>
      </c>
      <c r="E34" s="67">
        <v>30</v>
      </c>
      <c r="F34" s="63"/>
      <c r="G34" s="63"/>
      <c r="H34" s="63"/>
      <c r="I34" s="63"/>
      <c r="J34" s="63"/>
      <c r="K34" s="63"/>
      <c r="L34" s="63"/>
      <c r="M34" s="63"/>
    </row>
    <row r="35" spans="1:13" s="1" customFormat="1">
      <c r="A35" s="64">
        <v>44346</v>
      </c>
      <c r="B35" s="65">
        <v>51</v>
      </c>
      <c r="C35" s="66">
        <v>203.91176470588834</v>
      </c>
      <c r="D35" s="67">
        <v>2</v>
      </c>
      <c r="E35" s="67">
        <v>30</v>
      </c>
      <c r="F35" s="63"/>
      <c r="G35" s="63"/>
      <c r="H35" s="63"/>
      <c r="I35" s="63"/>
      <c r="J35" s="63"/>
      <c r="K35" s="63"/>
      <c r="L35" s="63"/>
      <c r="M35" s="63"/>
    </row>
    <row r="36" spans="1:13" s="1" customFormat="1">
      <c r="A36" s="64">
        <v>44347</v>
      </c>
      <c r="B36" s="65">
        <v>0</v>
      </c>
      <c r="C36" s="66">
        <v>203.91176470588834</v>
      </c>
      <c r="D36" s="67">
        <v>2</v>
      </c>
      <c r="E36" s="67">
        <v>30</v>
      </c>
      <c r="F36" s="63"/>
      <c r="G36" s="63"/>
      <c r="H36" s="63"/>
      <c r="I36" s="63"/>
      <c r="J36" s="63"/>
      <c r="K36" s="63"/>
      <c r="L36" s="63"/>
      <c r="M36" s="63"/>
    </row>
    <row r="37" spans="1:13" s="1" customFormat="1">
      <c r="A37" s="64">
        <v>44348</v>
      </c>
      <c r="B37" s="65">
        <v>0</v>
      </c>
      <c r="C37" s="66">
        <v>203.91176470588834</v>
      </c>
      <c r="D37" s="67">
        <v>2</v>
      </c>
      <c r="E37" s="67">
        <v>5</v>
      </c>
      <c r="F37" s="63"/>
      <c r="G37" s="63"/>
      <c r="H37" s="63"/>
      <c r="I37" s="63"/>
      <c r="J37" s="63"/>
      <c r="K37" s="63"/>
      <c r="L37" s="63"/>
      <c r="M37" s="63"/>
    </row>
    <row r="38" spans="1:13" s="1" customFormat="1">
      <c r="A38" s="64">
        <v>44349</v>
      </c>
      <c r="B38" s="65">
        <v>33</v>
      </c>
      <c r="C38" s="66">
        <v>203.91176470588834</v>
      </c>
      <c r="D38" s="67">
        <v>2</v>
      </c>
      <c r="E38" s="67">
        <v>5</v>
      </c>
      <c r="F38" s="63"/>
      <c r="G38" s="63"/>
      <c r="H38" s="63"/>
      <c r="I38" s="63"/>
      <c r="J38" s="63"/>
      <c r="K38" s="63"/>
      <c r="L38" s="63"/>
      <c r="M38" s="63"/>
    </row>
    <row r="39" spans="1:13" s="1" customFormat="1">
      <c r="A39" s="64">
        <v>44350</v>
      </c>
      <c r="B39" s="65">
        <v>0</v>
      </c>
      <c r="C39" s="66">
        <v>203.91176470588834</v>
      </c>
      <c r="D39" s="67">
        <v>2</v>
      </c>
      <c r="E39" s="67">
        <v>5</v>
      </c>
      <c r="F39" s="63"/>
      <c r="G39" s="63"/>
      <c r="H39" s="63"/>
      <c r="I39" s="63"/>
      <c r="J39" s="63"/>
      <c r="K39" s="63"/>
      <c r="L39" s="63"/>
      <c r="M39" s="63"/>
    </row>
    <row r="40" spans="1:13" s="1" customFormat="1">
      <c r="A40" s="64">
        <v>44351</v>
      </c>
      <c r="B40" s="65">
        <v>36</v>
      </c>
      <c r="C40" s="66">
        <v>203.91176470588834</v>
      </c>
      <c r="D40" s="67">
        <v>2</v>
      </c>
      <c r="E40" s="67">
        <v>5</v>
      </c>
      <c r="F40" s="63"/>
      <c r="G40" s="63"/>
      <c r="H40" s="63"/>
      <c r="I40" s="63"/>
      <c r="J40" s="63"/>
      <c r="K40" s="63"/>
      <c r="L40" s="63"/>
      <c r="M40" s="63"/>
    </row>
    <row r="41" spans="1:13" s="1" customFormat="1">
      <c r="A41" s="64">
        <v>44352</v>
      </c>
      <c r="B41" s="65">
        <v>31</v>
      </c>
      <c r="C41" s="66">
        <v>203.91176470588834</v>
      </c>
      <c r="D41" s="67">
        <v>2</v>
      </c>
      <c r="E41" s="67">
        <v>5</v>
      </c>
      <c r="F41" s="63"/>
      <c r="G41" s="63"/>
      <c r="H41" s="63"/>
      <c r="I41" s="63"/>
      <c r="J41" s="63"/>
      <c r="K41" s="63"/>
      <c r="L41" s="63"/>
      <c r="M41" s="63"/>
    </row>
    <row r="42" spans="1:13" s="1" customFormat="1">
      <c r="A42" s="64">
        <v>44353</v>
      </c>
      <c r="B42" s="65">
        <v>33</v>
      </c>
      <c r="C42" s="66">
        <v>203.91176470588834</v>
      </c>
      <c r="D42" s="67">
        <v>2</v>
      </c>
      <c r="E42" s="67">
        <v>5</v>
      </c>
      <c r="F42" s="63"/>
      <c r="G42" s="63"/>
      <c r="H42" s="63"/>
      <c r="I42" s="63"/>
      <c r="J42" s="63"/>
      <c r="K42" s="63"/>
      <c r="L42" s="63"/>
      <c r="M42" s="63"/>
    </row>
    <row r="43" spans="1:13" s="1" customFormat="1">
      <c r="A43" s="64">
        <v>44354</v>
      </c>
      <c r="B43" s="65">
        <v>69</v>
      </c>
      <c r="C43" s="66">
        <v>203.91176470588834</v>
      </c>
      <c r="D43" s="67">
        <v>2</v>
      </c>
      <c r="E43" s="67">
        <v>5</v>
      </c>
      <c r="F43" s="63"/>
      <c r="G43" s="63"/>
      <c r="H43" s="63"/>
      <c r="I43" s="63"/>
      <c r="J43" s="63"/>
      <c r="K43" s="63"/>
      <c r="L43" s="63"/>
      <c r="M43" s="63"/>
    </row>
    <row r="44" spans="1:13" s="1" customFormat="1">
      <c r="A44" s="64">
        <v>44355</v>
      </c>
      <c r="B44" s="65">
        <v>39</v>
      </c>
      <c r="C44" s="66">
        <v>203.91176470588834</v>
      </c>
      <c r="D44" s="67">
        <v>2</v>
      </c>
      <c r="E44" s="67">
        <v>5</v>
      </c>
      <c r="F44" s="63"/>
      <c r="G44" s="63"/>
      <c r="H44" s="63"/>
      <c r="I44" s="63"/>
      <c r="J44" s="63"/>
      <c r="K44" s="63"/>
      <c r="L44" s="63"/>
      <c r="M44" s="63"/>
    </row>
    <row r="45" spans="1:13" s="1" customFormat="1">
      <c r="A45" s="64">
        <v>44356</v>
      </c>
      <c r="B45" s="65">
        <v>66</v>
      </c>
      <c r="C45" s="66">
        <v>203.91176470588834</v>
      </c>
      <c r="D45" s="67">
        <v>2</v>
      </c>
      <c r="E45" s="67">
        <v>5</v>
      </c>
      <c r="F45" s="63"/>
      <c r="G45" s="63"/>
      <c r="H45" s="63"/>
      <c r="I45" s="63"/>
      <c r="J45" s="63"/>
      <c r="K45" s="63"/>
      <c r="L45" s="63"/>
      <c r="M45" s="63"/>
    </row>
    <row r="46" spans="1:13" s="1" customFormat="1">
      <c r="A46" s="64">
        <v>44357</v>
      </c>
      <c r="B46" s="65">
        <v>45</v>
      </c>
      <c r="C46" s="66">
        <v>203.91176470588834</v>
      </c>
      <c r="D46" s="67">
        <v>2</v>
      </c>
      <c r="E46" s="67">
        <v>5</v>
      </c>
      <c r="F46" s="63"/>
      <c r="G46" s="63"/>
      <c r="H46" s="63"/>
      <c r="I46" s="63"/>
      <c r="J46" s="83"/>
      <c r="K46" s="63"/>
      <c r="L46" s="63"/>
      <c r="M46" s="63"/>
    </row>
    <row r="47" spans="1:13" s="1" customFormat="1">
      <c r="A47" s="64">
        <v>44358</v>
      </c>
      <c r="B47" s="65">
        <v>58</v>
      </c>
      <c r="C47" s="66">
        <v>203.91176470588834</v>
      </c>
      <c r="D47" s="67">
        <v>2</v>
      </c>
      <c r="E47" s="67">
        <v>5</v>
      </c>
      <c r="F47" s="63"/>
      <c r="G47" s="63"/>
      <c r="H47" s="63"/>
      <c r="I47" s="63"/>
      <c r="J47" s="83"/>
      <c r="K47" s="63"/>
      <c r="L47" s="63"/>
      <c r="M47" s="63"/>
    </row>
    <row r="48" spans="1:13" s="1" customFormat="1">
      <c r="A48" s="64">
        <v>44359</v>
      </c>
      <c r="B48" s="65">
        <v>84</v>
      </c>
      <c r="C48" s="66">
        <v>203.91176470588834</v>
      </c>
      <c r="D48" s="67">
        <v>2</v>
      </c>
      <c r="E48" s="67">
        <v>5</v>
      </c>
      <c r="F48" s="63"/>
      <c r="G48" s="63"/>
      <c r="H48" s="63"/>
      <c r="I48" s="63"/>
      <c r="J48" s="83"/>
      <c r="K48" s="63"/>
      <c r="L48" s="63"/>
      <c r="M48" s="63"/>
    </row>
    <row r="49" spans="1:13" s="1" customFormat="1">
      <c r="A49" s="64">
        <v>44360</v>
      </c>
      <c r="B49" s="65">
        <v>95</v>
      </c>
      <c r="C49" s="66">
        <v>203.91176470588834</v>
      </c>
      <c r="D49" s="67">
        <v>2</v>
      </c>
      <c r="E49" s="67">
        <v>5</v>
      </c>
      <c r="F49" s="63"/>
      <c r="G49" s="63"/>
      <c r="H49" s="63"/>
      <c r="I49" s="63"/>
      <c r="J49" s="83"/>
      <c r="K49" s="63"/>
      <c r="L49" s="63"/>
      <c r="M49" s="63"/>
    </row>
    <row r="50" spans="1:13" s="1" customFormat="1">
      <c r="A50" s="64">
        <v>44361</v>
      </c>
      <c r="B50" s="65">
        <v>86</v>
      </c>
      <c r="C50" s="66">
        <v>203.91176470588834</v>
      </c>
      <c r="D50" s="67">
        <v>2</v>
      </c>
      <c r="E50" s="67">
        <v>5</v>
      </c>
      <c r="F50" s="63"/>
      <c r="G50" s="63"/>
      <c r="H50" s="63"/>
      <c r="I50" s="63"/>
      <c r="J50" s="83"/>
      <c r="K50" s="63"/>
      <c r="L50" s="63"/>
      <c r="M50" s="63"/>
    </row>
    <row r="51" spans="1:13" s="1" customFormat="1">
      <c r="A51" s="64">
        <v>44362</v>
      </c>
      <c r="B51" s="65">
        <v>90</v>
      </c>
      <c r="C51" s="66">
        <v>203.91176470588834</v>
      </c>
      <c r="D51" s="67">
        <v>2</v>
      </c>
      <c r="E51" s="67">
        <v>5</v>
      </c>
      <c r="F51" s="63"/>
      <c r="G51" s="63"/>
      <c r="H51" s="63"/>
      <c r="I51" s="63"/>
      <c r="J51" s="83"/>
      <c r="K51" s="63"/>
      <c r="L51" s="63"/>
      <c r="M51" s="63"/>
    </row>
    <row r="52" spans="1:13" s="1" customFormat="1">
      <c r="A52" s="64">
        <v>44363</v>
      </c>
      <c r="B52" s="65">
        <v>100</v>
      </c>
      <c r="C52" s="66">
        <v>203.91176470588834</v>
      </c>
      <c r="D52" s="67">
        <v>2</v>
      </c>
      <c r="E52" s="67">
        <v>5</v>
      </c>
      <c r="F52" s="63"/>
      <c r="G52" s="63"/>
      <c r="H52" s="63"/>
      <c r="I52" s="63"/>
      <c r="J52" s="83"/>
      <c r="K52" s="63"/>
      <c r="L52" s="63"/>
      <c r="M52" s="63"/>
    </row>
    <row r="53" spans="1:13" s="1" customFormat="1">
      <c r="A53" s="64">
        <v>44364</v>
      </c>
      <c r="B53" s="65">
        <v>137</v>
      </c>
      <c r="C53" s="66">
        <v>203.91176470588834</v>
      </c>
      <c r="D53" s="67">
        <v>2</v>
      </c>
      <c r="E53" s="67">
        <v>5</v>
      </c>
      <c r="F53" s="63"/>
      <c r="G53" s="63"/>
      <c r="H53" s="63"/>
      <c r="I53" s="63"/>
      <c r="J53" s="83"/>
      <c r="K53" s="63"/>
      <c r="L53" s="63"/>
      <c r="M53" s="63"/>
    </row>
    <row r="54" spans="1:13" s="1" customFormat="1">
      <c r="A54" s="64">
        <v>44365</v>
      </c>
      <c r="B54" s="65">
        <v>149</v>
      </c>
      <c r="C54" s="66">
        <v>203.91176470585924</v>
      </c>
      <c r="D54" s="67">
        <v>2</v>
      </c>
      <c r="E54" s="67">
        <v>5</v>
      </c>
      <c r="F54" s="63"/>
      <c r="G54" s="63"/>
      <c r="H54" s="63"/>
      <c r="I54" s="63"/>
      <c r="J54" s="63"/>
      <c r="K54" s="63"/>
      <c r="L54" s="63"/>
      <c r="M54" s="63"/>
    </row>
    <row r="55" spans="1:13" s="1" customFormat="1">
      <c r="A55" s="64">
        <v>44366</v>
      </c>
      <c r="B55" s="65">
        <v>135</v>
      </c>
      <c r="C55" s="66">
        <v>3263.6862745097792</v>
      </c>
      <c r="D55" s="67">
        <v>3</v>
      </c>
      <c r="E55" s="67">
        <v>3</v>
      </c>
      <c r="F55" s="63"/>
      <c r="G55" s="63"/>
      <c r="H55" s="63"/>
      <c r="I55" s="63"/>
      <c r="J55" s="63"/>
      <c r="K55" s="63"/>
      <c r="L55" s="63"/>
      <c r="M55" s="63"/>
    </row>
    <row r="56" spans="1:13" s="1" customFormat="1">
      <c r="A56" s="64">
        <v>44367</v>
      </c>
      <c r="B56" s="65">
        <v>137</v>
      </c>
      <c r="C56" s="66">
        <v>6323.4607843136992</v>
      </c>
      <c r="D56" s="67">
        <v>3</v>
      </c>
      <c r="E56" s="67">
        <v>3</v>
      </c>
      <c r="F56" s="63"/>
      <c r="G56" s="63"/>
      <c r="H56" s="63"/>
      <c r="I56" s="63"/>
      <c r="J56" s="63"/>
      <c r="K56" s="63"/>
      <c r="L56" s="63"/>
      <c r="M56" s="63"/>
    </row>
    <row r="57" spans="1:13" s="1" customFormat="1">
      <c r="A57" s="64">
        <v>44368</v>
      </c>
      <c r="B57" s="65">
        <v>166</v>
      </c>
      <c r="C57" s="66">
        <v>9383.2352941176214</v>
      </c>
      <c r="D57" s="67">
        <v>3</v>
      </c>
      <c r="E57" s="67">
        <v>3</v>
      </c>
      <c r="F57" s="63"/>
      <c r="G57" s="63"/>
      <c r="H57" s="63"/>
      <c r="I57" s="63"/>
      <c r="J57" s="63"/>
      <c r="K57" s="63"/>
      <c r="L57" s="63"/>
      <c r="M57" s="63"/>
    </row>
    <row r="58" spans="1:13" s="1" customFormat="1">
      <c r="A58" s="64">
        <v>44369</v>
      </c>
      <c r="B58" s="65">
        <v>136</v>
      </c>
      <c r="C58" s="66">
        <v>9354.1050420167794</v>
      </c>
      <c r="D58" s="67">
        <v>3</v>
      </c>
      <c r="E58" s="67">
        <v>3</v>
      </c>
      <c r="F58" s="63"/>
      <c r="G58" s="63"/>
      <c r="H58" s="63"/>
      <c r="I58" s="63"/>
      <c r="J58" s="63"/>
      <c r="K58" s="63"/>
      <c r="L58" s="63"/>
      <c r="M58" s="63"/>
    </row>
    <row r="59" spans="1:13" s="1" customFormat="1">
      <c r="A59" s="64">
        <v>44370</v>
      </c>
      <c r="B59" s="65">
        <v>152</v>
      </c>
      <c r="C59" s="66">
        <v>26753.546218487369</v>
      </c>
      <c r="D59" s="67">
        <v>3</v>
      </c>
      <c r="E59" s="67">
        <v>3</v>
      </c>
      <c r="F59" s="63"/>
      <c r="G59" s="63"/>
      <c r="H59" s="63"/>
      <c r="I59" s="63"/>
      <c r="J59" s="63"/>
      <c r="K59" s="63"/>
      <c r="L59" s="63"/>
      <c r="M59" s="63"/>
    </row>
    <row r="60" spans="1:13" s="1" customFormat="1">
      <c r="A60" s="64">
        <v>44371</v>
      </c>
      <c r="B60" s="65">
        <v>207</v>
      </c>
      <c r="C60" s="66">
        <v>51428.701680672239</v>
      </c>
      <c r="D60" s="67">
        <v>3</v>
      </c>
      <c r="E60" s="67">
        <v>3</v>
      </c>
      <c r="F60" s="63"/>
      <c r="G60" s="63"/>
      <c r="H60" s="63"/>
      <c r="I60" s="63"/>
      <c r="J60" s="63"/>
      <c r="K60" s="63"/>
      <c r="L60" s="63"/>
      <c r="M60" s="63"/>
    </row>
    <row r="61" spans="1:13" s="1" customFormat="1">
      <c r="A61" s="64">
        <v>44372</v>
      </c>
      <c r="B61" s="65">
        <v>165</v>
      </c>
      <c r="C61" s="66">
        <v>73261.928571428565</v>
      </c>
      <c r="D61" s="67">
        <v>3</v>
      </c>
      <c r="E61" s="67">
        <v>3</v>
      </c>
      <c r="F61" s="63"/>
      <c r="G61" s="63"/>
      <c r="H61" s="63"/>
      <c r="I61" s="63"/>
      <c r="J61" s="63"/>
      <c r="K61" s="63"/>
      <c r="L61" s="63"/>
      <c r="M61" s="63"/>
    </row>
    <row r="62" spans="1:13" s="1" customFormat="1">
      <c r="A62" s="64">
        <v>44373</v>
      </c>
      <c r="B62" s="65">
        <v>621</v>
      </c>
      <c r="C62" s="66">
        <v>92035.380952380961</v>
      </c>
      <c r="D62" s="67">
        <v>3</v>
      </c>
      <c r="E62" s="67">
        <v>3</v>
      </c>
      <c r="F62" s="63"/>
      <c r="G62" s="63"/>
      <c r="H62" s="63"/>
      <c r="I62" s="63"/>
      <c r="J62" s="63"/>
      <c r="K62" s="63"/>
      <c r="L62" s="63"/>
      <c r="M62" s="63"/>
    </row>
    <row r="63" spans="1:13" s="1" customFormat="1">
      <c r="A63" s="64">
        <v>44374</v>
      </c>
      <c r="B63" s="65">
        <v>230</v>
      </c>
      <c r="C63" s="66">
        <v>88946.476190476198</v>
      </c>
      <c r="D63" s="67">
        <v>3</v>
      </c>
      <c r="E63" s="67">
        <v>3</v>
      </c>
      <c r="F63" s="63"/>
      <c r="G63" s="63"/>
      <c r="H63" s="63"/>
      <c r="I63" s="63"/>
      <c r="J63" s="63"/>
      <c r="K63" s="63"/>
      <c r="L63" s="63"/>
      <c r="M63" s="63"/>
    </row>
    <row r="64" spans="1:13" s="1" customFormat="1">
      <c r="A64" s="64">
        <v>44375</v>
      </c>
      <c r="B64" s="65">
        <v>218</v>
      </c>
      <c r="C64" s="66">
        <v>95002.5</v>
      </c>
      <c r="D64" s="67">
        <v>3</v>
      </c>
      <c r="E64" s="67">
        <v>3</v>
      </c>
      <c r="F64" s="63"/>
      <c r="G64" s="63"/>
      <c r="H64" s="63"/>
      <c r="I64" s="63"/>
      <c r="J64" s="63"/>
      <c r="K64" s="63"/>
      <c r="L64" s="63"/>
      <c r="M64" s="63"/>
    </row>
    <row r="65" spans="1:13" s="1" customFormat="1">
      <c r="A65" s="64">
        <v>44376</v>
      </c>
      <c r="B65" s="65">
        <v>155</v>
      </c>
      <c r="C65" s="66">
        <v>104147.42857142857</v>
      </c>
      <c r="D65" s="67">
        <v>3</v>
      </c>
      <c r="E65" s="67">
        <v>3</v>
      </c>
      <c r="F65" s="63"/>
      <c r="G65" s="63"/>
      <c r="H65" s="63"/>
      <c r="I65" s="63"/>
      <c r="J65" s="63"/>
      <c r="K65" s="63"/>
      <c r="L65" s="63"/>
      <c r="M65" s="63"/>
    </row>
    <row r="66" spans="1:13" s="1" customFormat="1">
      <c r="A66" s="64">
        <v>44377</v>
      </c>
      <c r="B66" s="65">
        <v>249</v>
      </c>
      <c r="C66" s="66">
        <v>86718.857142857145</v>
      </c>
      <c r="D66" s="67">
        <v>3</v>
      </c>
      <c r="E66" s="67">
        <v>3</v>
      </c>
      <c r="F66" s="63"/>
      <c r="G66" s="63"/>
      <c r="H66" s="63"/>
      <c r="I66" s="63"/>
      <c r="J66" s="63"/>
      <c r="K66" s="63"/>
      <c r="L66" s="63"/>
      <c r="M66" s="63"/>
    </row>
    <row r="67" spans="1:13" s="1" customFormat="1">
      <c r="A67" s="64">
        <v>44378</v>
      </c>
      <c r="B67" s="65">
        <v>464</v>
      </c>
      <c r="C67" s="66">
        <v>62020.010989010982</v>
      </c>
      <c r="D67" s="67">
        <v>3</v>
      </c>
      <c r="E67" s="67">
        <v>3</v>
      </c>
      <c r="F67" s="63"/>
      <c r="G67" s="63"/>
      <c r="H67" s="63"/>
      <c r="I67" s="63"/>
      <c r="J67" s="63"/>
      <c r="K67" s="63"/>
      <c r="L67" s="63"/>
      <c r="M67" s="63"/>
    </row>
    <row r="68" spans="1:13" s="1" customFormat="1">
      <c r="A68" s="64">
        <v>44379</v>
      </c>
      <c r="B68" s="65">
        <v>419</v>
      </c>
      <c r="C68" s="66">
        <v>40163.093406593391</v>
      </c>
      <c r="D68" s="67">
        <v>3</v>
      </c>
      <c r="E68" s="67">
        <v>3</v>
      </c>
      <c r="F68" s="63"/>
      <c r="G68" s="63"/>
      <c r="H68" s="63"/>
      <c r="I68" s="63"/>
      <c r="J68" s="63"/>
      <c r="K68" s="63"/>
      <c r="L68" s="63"/>
      <c r="M68" s="63"/>
    </row>
    <row r="69" spans="1:13" s="1" customFormat="1">
      <c r="A69" s="64">
        <v>44380</v>
      </c>
      <c r="B69" s="65">
        <v>714</v>
      </c>
      <c r="C69" s="66">
        <v>18306.175824175803</v>
      </c>
      <c r="D69" s="67">
        <v>3</v>
      </c>
      <c r="E69" s="67">
        <v>3</v>
      </c>
      <c r="F69" s="63"/>
      <c r="G69" s="63"/>
      <c r="H69" s="63"/>
      <c r="I69" s="63"/>
      <c r="J69" s="63"/>
      <c r="K69" s="63"/>
      <c r="L69" s="63"/>
      <c r="M69" s="63"/>
    </row>
    <row r="70" spans="1:13" s="1" customFormat="1">
      <c r="A70" s="64">
        <v>44381</v>
      </c>
      <c r="B70" s="65">
        <v>599</v>
      </c>
      <c r="C70" s="66">
        <v>18311.615384615357</v>
      </c>
      <c r="D70" s="67">
        <v>3</v>
      </c>
      <c r="E70" s="67">
        <v>3</v>
      </c>
      <c r="F70" s="63"/>
      <c r="G70" s="63"/>
      <c r="H70" s="63"/>
      <c r="I70" s="63"/>
      <c r="J70" s="63"/>
      <c r="K70" s="63"/>
      <c r="L70" s="63"/>
      <c r="M70" s="63"/>
    </row>
    <row r="71" spans="1:13" s="1" customFormat="1">
      <c r="A71" s="64">
        <v>44382</v>
      </c>
      <c r="B71" s="65">
        <v>641</v>
      </c>
      <c r="C71" s="66">
        <v>9172.1263736263409</v>
      </c>
      <c r="D71" s="67">
        <v>3</v>
      </c>
      <c r="E71" s="67">
        <v>3</v>
      </c>
      <c r="F71" s="63"/>
      <c r="G71" s="63"/>
      <c r="H71" s="63"/>
      <c r="I71" s="63"/>
      <c r="J71" s="63"/>
      <c r="K71" s="63"/>
      <c r="L71" s="63"/>
      <c r="M71" s="63"/>
    </row>
    <row r="72" spans="1:13" s="1" customFormat="1">
      <c r="A72" s="64">
        <v>44383</v>
      </c>
      <c r="B72" s="65">
        <v>710</v>
      </c>
      <c r="C72" s="66">
        <v>32.637362637324259</v>
      </c>
      <c r="D72" s="67">
        <v>3</v>
      </c>
      <c r="E72" s="67">
        <v>3</v>
      </c>
      <c r="F72" s="63"/>
      <c r="G72" s="63"/>
      <c r="H72" s="63"/>
      <c r="I72" s="63"/>
      <c r="J72" s="63"/>
      <c r="K72" s="63"/>
      <c r="L72" s="63"/>
      <c r="M72" s="63"/>
    </row>
    <row r="73" spans="1:13" s="1" customFormat="1">
      <c r="A73" s="64">
        <v>44384</v>
      </c>
      <c r="B73" s="65">
        <v>766</v>
      </c>
      <c r="C73" s="66">
        <v>38.076923076878302</v>
      </c>
      <c r="D73" s="67">
        <v>3</v>
      </c>
      <c r="E73" s="67">
        <v>3</v>
      </c>
      <c r="F73" s="63"/>
      <c r="G73" s="63"/>
      <c r="H73" s="63"/>
      <c r="I73" s="63"/>
      <c r="J73" s="63"/>
      <c r="K73" s="63"/>
      <c r="L73" s="63"/>
      <c r="M73" s="63"/>
    </row>
    <row r="74" spans="1:13" s="1" customFormat="1">
      <c r="A74" s="64">
        <v>44385</v>
      </c>
      <c r="B74" s="65">
        <v>915</v>
      </c>
      <c r="C74" s="66">
        <v>38.076923076878302</v>
      </c>
      <c r="D74" s="67">
        <v>3</v>
      </c>
      <c r="E74" s="67">
        <v>3</v>
      </c>
      <c r="F74" s="63"/>
      <c r="G74" s="63"/>
      <c r="H74" s="63"/>
      <c r="I74" s="63"/>
      <c r="J74" s="63"/>
      <c r="K74" s="63"/>
      <c r="L74" s="63"/>
      <c r="M74" s="63"/>
    </row>
    <row r="75" spans="1:13" s="1" customFormat="1">
      <c r="A75" s="64">
        <v>44386</v>
      </c>
      <c r="B75" s="65">
        <v>1229</v>
      </c>
      <c r="C75" s="66">
        <v>38.076923076878302</v>
      </c>
      <c r="D75" s="67">
        <v>3.5</v>
      </c>
      <c r="E75" s="67">
        <v>2</v>
      </c>
      <c r="F75" s="63"/>
      <c r="G75" s="63"/>
      <c r="H75" s="63"/>
      <c r="I75" s="63"/>
      <c r="J75" s="63"/>
      <c r="K75" s="63"/>
      <c r="L75" s="63"/>
      <c r="M75" s="63"/>
    </row>
    <row r="76" spans="1:13" s="1" customFormat="1">
      <c r="A76" s="64">
        <v>44387</v>
      </c>
      <c r="B76" s="65">
        <v>1320</v>
      </c>
      <c r="C76" s="66">
        <v>38.076923076878302</v>
      </c>
      <c r="D76" s="67">
        <v>3.5</v>
      </c>
      <c r="E76" s="67">
        <v>2</v>
      </c>
      <c r="F76" s="63"/>
      <c r="G76" s="63"/>
      <c r="H76" s="63"/>
      <c r="I76" s="63"/>
      <c r="J76" s="63"/>
      <c r="K76" s="63"/>
      <c r="L76" s="63"/>
      <c r="M76" s="63"/>
    </row>
    <row r="77" spans="1:13" s="1" customFormat="1">
      <c r="A77" s="64">
        <v>44388</v>
      </c>
      <c r="B77" s="65">
        <v>1397</v>
      </c>
      <c r="C77" s="66">
        <v>38.076923076878302</v>
      </c>
      <c r="D77" s="67">
        <v>3.5</v>
      </c>
      <c r="E77" s="67">
        <v>2</v>
      </c>
      <c r="F77" s="63"/>
      <c r="G77" s="63"/>
      <c r="H77" s="63"/>
      <c r="I77" s="63"/>
      <c r="J77" s="63"/>
      <c r="K77" s="63"/>
      <c r="L77" s="63"/>
      <c r="M77" s="63"/>
    </row>
    <row r="78" spans="1:13" s="1" customFormat="1">
      <c r="A78" s="64">
        <v>44389</v>
      </c>
      <c r="B78" s="65">
        <v>1764</v>
      </c>
      <c r="C78" s="66">
        <v>38.076923076878302</v>
      </c>
      <c r="D78" s="67">
        <v>3.5</v>
      </c>
      <c r="E78" s="67">
        <v>2</v>
      </c>
      <c r="F78" s="63"/>
      <c r="G78" s="63"/>
      <c r="H78" s="63"/>
      <c r="I78" s="63"/>
      <c r="J78" s="63"/>
      <c r="K78" s="63"/>
      <c r="L78" s="63"/>
      <c r="M78" s="63"/>
    </row>
    <row r="79" spans="1:13" s="1" customFormat="1">
      <c r="A79" s="64">
        <v>44390</v>
      </c>
      <c r="B79" s="65">
        <v>1802</v>
      </c>
      <c r="C79" s="66">
        <v>38.076923076878302</v>
      </c>
      <c r="D79" s="67">
        <v>3.5</v>
      </c>
      <c r="E79" s="67">
        <v>2</v>
      </c>
      <c r="F79" s="63"/>
      <c r="G79" s="63"/>
      <c r="H79" s="63"/>
      <c r="I79" s="63"/>
      <c r="J79" s="63"/>
      <c r="K79" s="63"/>
      <c r="L79" s="63"/>
      <c r="M79" s="63"/>
    </row>
    <row r="80" spans="1:13" s="1" customFormat="1">
      <c r="A80" s="64">
        <v>44391</v>
      </c>
      <c r="B80" s="65">
        <v>2229</v>
      </c>
      <c r="C80" s="66">
        <v>32.637362637324202</v>
      </c>
      <c r="D80" s="67">
        <v>3.5</v>
      </c>
      <c r="E80" s="67">
        <v>2</v>
      </c>
      <c r="F80" s="63"/>
      <c r="G80" s="63"/>
      <c r="H80" s="63"/>
      <c r="I80" s="63"/>
      <c r="J80" s="63"/>
      <c r="K80" s="63"/>
      <c r="L80" s="63"/>
      <c r="M80" s="63"/>
    </row>
    <row r="81" spans="1:13" s="1" customFormat="1">
      <c r="A81" s="64">
        <v>44392</v>
      </c>
      <c r="B81" s="65">
        <v>2691</v>
      </c>
      <c r="C81" s="66">
        <v>115.76923076919878</v>
      </c>
      <c r="D81" s="67">
        <v>3.5</v>
      </c>
      <c r="E81" s="67">
        <v>2</v>
      </c>
      <c r="F81" s="63"/>
      <c r="G81" s="63"/>
      <c r="H81" s="63"/>
      <c r="I81" s="63"/>
      <c r="J81" s="63"/>
      <c r="K81" s="63"/>
      <c r="L81" s="63"/>
      <c r="M81" s="63"/>
    </row>
    <row r="82" spans="1:13" s="1" customFormat="1">
      <c r="A82" s="64">
        <v>44393</v>
      </c>
      <c r="B82" s="65">
        <v>2436</v>
      </c>
      <c r="C82" s="66">
        <v>198.90109890107331</v>
      </c>
      <c r="D82" s="67">
        <v>3.5</v>
      </c>
      <c r="E82" s="67">
        <v>2</v>
      </c>
      <c r="F82" s="63"/>
      <c r="G82" s="63"/>
      <c r="H82" s="63"/>
      <c r="I82" s="63"/>
      <c r="J82" s="63"/>
      <c r="K82" s="63"/>
      <c r="L82" s="63"/>
      <c r="M82" s="63"/>
    </row>
    <row r="83" spans="1:13" s="1" customFormat="1">
      <c r="A83" s="64">
        <v>44394</v>
      </c>
      <c r="B83" s="65">
        <v>3420</v>
      </c>
      <c r="C83" s="66">
        <v>282.03296703294785</v>
      </c>
      <c r="D83" s="67">
        <v>3.5</v>
      </c>
      <c r="E83" s="67">
        <v>2</v>
      </c>
      <c r="F83" s="63"/>
      <c r="G83" s="63"/>
      <c r="H83" s="63"/>
      <c r="I83" s="63"/>
      <c r="J83" s="63"/>
      <c r="K83" s="63"/>
      <c r="L83" s="63"/>
      <c r="M83" s="63"/>
    </row>
    <row r="84" spans="1:13" s="1" customFormat="1">
      <c r="A84" s="64">
        <v>44395</v>
      </c>
      <c r="B84" s="65">
        <v>4083</v>
      </c>
      <c r="C84" s="66">
        <v>365.16483516482236</v>
      </c>
      <c r="D84" s="67">
        <v>3.5</v>
      </c>
      <c r="E84" s="67">
        <v>2</v>
      </c>
      <c r="F84" s="63"/>
      <c r="G84" s="63"/>
      <c r="H84" s="63"/>
      <c r="I84" s="63"/>
      <c r="J84" s="63"/>
      <c r="K84" s="63"/>
      <c r="L84" s="63"/>
      <c r="M84" s="63"/>
    </row>
    <row r="85" spans="1:13" s="1" customFormat="1">
      <c r="A85" s="64">
        <v>44396</v>
      </c>
      <c r="B85" s="65">
        <v>3074</v>
      </c>
      <c r="C85" s="66">
        <v>448.29670329669688</v>
      </c>
      <c r="D85" s="67">
        <v>3.5</v>
      </c>
      <c r="E85" s="67">
        <v>2</v>
      </c>
      <c r="F85" s="63"/>
      <c r="G85" s="63"/>
      <c r="H85" s="63"/>
      <c r="I85" s="63"/>
      <c r="J85" s="63"/>
      <c r="K85" s="63"/>
      <c r="L85" s="63"/>
      <c r="M85" s="63"/>
    </row>
    <row r="86" spans="1:13" s="1" customFormat="1">
      <c r="A86" s="64">
        <v>44397</v>
      </c>
      <c r="B86" s="65">
        <v>3322</v>
      </c>
      <c r="C86" s="66">
        <f>SUM(C82:C85)/4</f>
        <v>323.59890109888511</v>
      </c>
      <c r="D86" s="67">
        <v>3.5</v>
      </c>
      <c r="E86" s="67">
        <v>2</v>
      </c>
      <c r="F86" s="63"/>
      <c r="G86" s="63"/>
      <c r="H86" s="63"/>
      <c r="I86" s="63"/>
      <c r="J86" s="63"/>
      <c r="K86" s="63"/>
      <c r="L86" s="63"/>
      <c r="M86" s="63"/>
    </row>
    <row r="87" spans="1:13" s="1" customFormat="1">
      <c r="A87" s="64">
        <v>44398</v>
      </c>
      <c r="B87" s="65">
        <v>3558</v>
      </c>
      <c r="C87" s="66">
        <f>SUM(C83:C86)/4</f>
        <v>354.77335164833806</v>
      </c>
      <c r="D87" s="67">
        <v>3.5</v>
      </c>
      <c r="E87" s="67">
        <v>2</v>
      </c>
      <c r="F87" s="63"/>
      <c r="G87" s="63"/>
      <c r="H87" s="63"/>
      <c r="I87" s="63"/>
      <c r="J87" s="63"/>
      <c r="K87" s="63"/>
      <c r="L87" s="63"/>
      <c r="M87" s="63"/>
    </row>
    <row r="88" spans="1:13" s="1" customFormat="1">
      <c r="A88" s="64">
        <v>44399</v>
      </c>
      <c r="B88" s="65">
        <v>4473</v>
      </c>
      <c r="C88" s="66">
        <v>3100</v>
      </c>
      <c r="D88" s="67">
        <v>3.5</v>
      </c>
      <c r="E88" s="67">
        <v>2</v>
      </c>
      <c r="F88" s="63"/>
      <c r="G88" s="63"/>
      <c r="H88" s="63"/>
      <c r="I88" s="63"/>
      <c r="J88" s="63"/>
      <c r="K88" s="63"/>
      <c r="L88" s="63"/>
      <c r="M88" s="63"/>
    </row>
    <row r="89" spans="1:13" s="4" customFormat="1">
      <c r="A89" s="64">
        <v>44400</v>
      </c>
      <c r="B89" s="65">
        <v>4913</v>
      </c>
      <c r="C89" s="66">
        <v>3029</v>
      </c>
      <c r="D89" s="67">
        <v>3.5</v>
      </c>
      <c r="E89" s="67">
        <v>2</v>
      </c>
      <c r="F89" s="63"/>
      <c r="G89" s="84"/>
      <c r="H89" s="84"/>
      <c r="I89" s="84"/>
      <c r="J89" s="85"/>
      <c r="K89" s="85"/>
      <c r="L89" s="85"/>
      <c r="M89" s="85"/>
    </row>
    <row r="90" spans="1:13" s="1" customFormat="1">
      <c r="A90" s="64">
        <v>44401</v>
      </c>
      <c r="B90" s="65">
        <v>5546</v>
      </c>
      <c r="C90" s="66">
        <v>16548</v>
      </c>
      <c r="D90" s="67">
        <v>3.5</v>
      </c>
      <c r="E90" s="67">
        <v>2</v>
      </c>
      <c r="F90" s="63"/>
      <c r="G90" s="63"/>
      <c r="H90" s="63"/>
      <c r="I90" s="63"/>
      <c r="J90" s="63"/>
      <c r="K90" s="63"/>
      <c r="L90" s="63"/>
      <c r="M90" s="63"/>
    </row>
    <row r="91" spans="1:13" s="1" customFormat="1">
      <c r="A91" s="64">
        <v>44402</v>
      </c>
      <c r="B91" s="65">
        <v>4555</v>
      </c>
      <c r="C91" s="66">
        <v>36094</v>
      </c>
      <c r="D91" s="67">
        <v>3.5</v>
      </c>
      <c r="E91" s="67">
        <v>2</v>
      </c>
      <c r="F91" s="63"/>
      <c r="G91" s="63"/>
      <c r="H91" s="63"/>
      <c r="I91" s="63"/>
      <c r="J91" s="63"/>
      <c r="K91" s="63"/>
      <c r="L91" s="63"/>
      <c r="M91" s="63"/>
    </row>
    <row r="92" spans="1:13" s="1" customFormat="1">
      <c r="A92" s="64">
        <v>44403</v>
      </c>
      <c r="B92" s="65">
        <v>6097</v>
      </c>
      <c r="C92" s="66">
        <v>47676</v>
      </c>
      <c r="D92" s="67">
        <v>3.5</v>
      </c>
      <c r="E92" s="67">
        <v>2</v>
      </c>
      <c r="F92" s="63"/>
      <c r="G92" s="63"/>
      <c r="H92" s="63"/>
      <c r="I92" s="63"/>
      <c r="J92" s="63"/>
      <c r="K92" s="63"/>
      <c r="L92" s="63"/>
      <c r="M92" s="63"/>
    </row>
    <row r="93" spans="1:13" s="1" customFormat="1">
      <c r="A93" s="64">
        <v>44404</v>
      </c>
      <c r="B93" s="65">
        <v>6622</v>
      </c>
      <c r="C93" s="66">
        <v>39624</v>
      </c>
      <c r="D93" s="67">
        <v>3.5</v>
      </c>
      <c r="E93" s="67">
        <v>2</v>
      </c>
      <c r="F93" s="63"/>
      <c r="G93" s="63"/>
      <c r="H93" s="63"/>
      <c r="I93" s="63"/>
      <c r="J93" s="63"/>
      <c r="K93" s="63"/>
      <c r="L93" s="63"/>
      <c r="M93" s="63"/>
    </row>
    <row r="94" spans="1:13" s="1" customFormat="1">
      <c r="A94" s="64">
        <v>44405</v>
      </c>
      <c r="B94" s="65">
        <v>4045</v>
      </c>
      <c r="C94" s="66">
        <v>69211</v>
      </c>
      <c r="D94" s="67">
        <v>3.5</v>
      </c>
      <c r="E94" s="67">
        <v>2</v>
      </c>
      <c r="F94" s="63"/>
      <c r="G94" s="63"/>
      <c r="H94" s="63"/>
      <c r="I94" s="63"/>
      <c r="J94" s="63"/>
      <c r="K94" s="63"/>
      <c r="L94" s="63"/>
      <c r="M94" s="63"/>
    </row>
    <row r="95" spans="1:13" s="1" customFormat="1">
      <c r="A95" s="64">
        <v>44406</v>
      </c>
      <c r="B95" s="65">
        <v>2877</v>
      </c>
      <c r="C95" s="66">
        <v>72646</v>
      </c>
      <c r="D95" s="67">
        <v>3.5</v>
      </c>
      <c r="E95" s="67">
        <v>2</v>
      </c>
      <c r="F95" s="63"/>
      <c r="G95" s="63"/>
      <c r="H95" s="63"/>
      <c r="I95" s="63"/>
      <c r="J95" s="63"/>
      <c r="K95" s="63"/>
      <c r="L95" s="63"/>
      <c r="M95" s="63"/>
    </row>
    <row r="96" spans="1:13" s="1" customFormat="1">
      <c r="A96" s="64">
        <v>44407</v>
      </c>
      <c r="B96" s="65">
        <v>1541</v>
      </c>
      <c r="C96" s="66">
        <v>78122</v>
      </c>
      <c r="D96" s="67">
        <v>3.5</v>
      </c>
      <c r="E96" s="67">
        <v>2</v>
      </c>
      <c r="F96" s="63"/>
      <c r="G96" s="63"/>
      <c r="H96" s="63"/>
      <c r="I96" s="63"/>
      <c r="J96" s="63"/>
      <c r="K96" s="63"/>
      <c r="L96" s="63"/>
      <c r="M96" s="63"/>
    </row>
    <row r="97" spans="1:13" s="1" customFormat="1">
      <c r="A97" s="64">
        <v>44408</v>
      </c>
      <c r="B97" s="65">
        <v>4180</v>
      </c>
      <c r="C97" s="66">
        <v>82709</v>
      </c>
      <c r="D97" s="67">
        <v>3.5</v>
      </c>
      <c r="E97" s="67">
        <v>2</v>
      </c>
      <c r="F97" s="63"/>
      <c r="G97" s="63"/>
      <c r="H97" s="63"/>
      <c r="I97" s="63"/>
      <c r="J97" s="63"/>
      <c r="K97" s="63"/>
      <c r="L97" s="63"/>
      <c r="M97" s="63"/>
    </row>
    <row r="98" spans="1:13" s="1" customFormat="1">
      <c r="A98" s="64">
        <v>44409</v>
      </c>
      <c r="B98" s="65">
        <v>2025</v>
      </c>
      <c r="C98" s="66">
        <v>95500</v>
      </c>
      <c r="D98" s="67">
        <v>3.5</v>
      </c>
      <c r="E98" s="67">
        <v>2</v>
      </c>
      <c r="F98" s="63"/>
      <c r="G98" s="63"/>
      <c r="H98" s="63"/>
      <c r="I98" s="63"/>
      <c r="J98" s="63"/>
      <c r="K98" s="63"/>
      <c r="L98" s="63"/>
      <c r="M98" s="63"/>
    </row>
    <row r="99" spans="1:13" s="1" customFormat="1">
      <c r="A99" s="64">
        <v>44410</v>
      </c>
      <c r="B99" s="65">
        <v>2267</v>
      </c>
      <c r="C99" s="66">
        <v>118121</v>
      </c>
      <c r="D99" s="67">
        <v>3.5</v>
      </c>
      <c r="E99" s="67">
        <v>2</v>
      </c>
      <c r="F99" s="63"/>
      <c r="G99" s="63"/>
      <c r="H99" s="63"/>
      <c r="I99" s="63"/>
      <c r="J99" s="63"/>
      <c r="K99" s="63"/>
      <c r="L99" s="63"/>
      <c r="M99" s="63"/>
    </row>
    <row r="100" spans="1:13" s="1" customFormat="1">
      <c r="A100" s="64">
        <v>44411</v>
      </c>
      <c r="B100" s="65">
        <v>4171</v>
      </c>
      <c r="C100" s="66">
        <v>111878</v>
      </c>
      <c r="D100" s="67">
        <v>3.5</v>
      </c>
      <c r="E100" s="67">
        <v>2</v>
      </c>
      <c r="F100" s="63"/>
      <c r="G100" s="63"/>
      <c r="H100" s="63"/>
      <c r="I100" s="63"/>
      <c r="J100" s="63"/>
      <c r="K100" s="63"/>
      <c r="L100" s="63"/>
      <c r="M100" s="63"/>
    </row>
    <row r="101" spans="1:13" s="1" customFormat="1">
      <c r="A101" s="64">
        <v>44412</v>
      </c>
      <c r="B101" s="65">
        <v>936</v>
      </c>
      <c r="C101" s="66">
        <v>145576</v>
      </c>
      <c r="D101" s="67">
        <v>3.5</v>
      </c>
      <c r="E101" s="67">
        <v>2</v>
      </c>
      <c r="F101" s="63"/>
      <c r="G101" s="63"/>
      <c r="H101" s="63"/>
      <c r="I101" s="63"/>
      <c r="J101" s="63"/>
      <c r="K101" s="63"/>
      <c r="L101" s="63"/>
      <c r="M101" s="63"/>
    </row>
    <row r="102" spans="1:13" s="1" customFormat="1">
      <c r="A102" s="64">
        <v>44413</v>
      </c>
      <c r="B102" s="65">
        <v>3886</v>
      </c>
      <c r="C102" s="66">
        <v>671513</v>
      </c>
      <c r="D102" s="67">
        <v>3.5</v>
      </c>
      <c r="E102" s="67">
        <v>2</v>
      </c>
      <c r="F102" s="63"/>
      <c r="G102" s="63"/>
      <c r="H102" s="63"/>
      <c r="I102" s="63"/>
      <c r="J102" s="63"/>
      <c r="K102" s="63"/>
      <c r="L102" s="63"/>
      <c r="M102" s="63"/>
    </row>
    <row r="103" spans="1:13" s="1" customFormat="1">
      <c r="A103" s="64">
        <v>44414</v>
      </c>
      <c r="B103" s="65">
        <v>1497</v>
      </c>
      <c r="C103" s="66">
        <v>250243</v>
      </c>
      <c r="D103" s="67">
        <v>3.5</v>
      </c>
      <c r="E103" s="67">
        <v>2</v>
      </c>
      <c r="F103" s="63"/>
      <c r="G103" s="63"/>
      <c r="H103" s="63"/>
      <c r="I103" s="63"/>
      <c r="J103" s="63"/>
      <c r="K103" s="63"/>
      <c r="L103" s="63"/>
      <c r="M103" s="63"/>
    </row>
    <row r="104" spans="1:13" s="1" customFormat="1">
      <c r="A104" s="64">
        <v>44415</v>
      </c>
      <c r="B104" s="65">
        <v>5827</v>
      </c>
      <c r="C104" s="66">
        <f>SUM(C97:C103)/7</f>
        <v>210791.42857142858</v>
      </c>
      <c r="D104" s="67">
        <v>3.5</v>
      </c>
      <c r="E104" s="67">
        <v>2</v>
      </c>
      <c r="F104" s="63"/>
      <c r="G104" s="63"/>
      <c r="H104" s="63"/>
      <c r="I104" s="63"/>
      <c r="J104" s="63"/>
      <c r="K104" s="63"/>
      <c r="L104" s="63"/>
      <c r="M104" s="63"/>
    </row>
    <row r="105" spans="1:13" s="1" customFormat="1">
      <c r="A105" s="64">
        <v>44416</v>
      </c>
      <c r="B105" s="65">
        <v>2002</v>
      </c>
      <c r="C105" s="66">
        <f>SUM(C101:C104)/4</f>
        <v>319530.85714285716</v>
      </c>
      <c r="D105" s="67">
        <v>3.5</v>
      </c>
      <c r="E105" s="67">
        <v>2</v>
      </c>
      <c r="F105" s="63"/>
      <c r="G105" s="63"/>
      <c r="H105" s="63"/>
      <c r="I105" s="63"/>
      <c r="J105" s="63"/>
      <c r="K105" s="63"/>
      <c r="L105" s="63"/>
      <c r="M105" s="63"/>
    </row>
    <row r="106" spans="1:13" s="1" customFormat="1">
      <c r="A106" s="64">
        <v>44417</v>
      </c>
      <c r="B106" s="65">
        <v>4132</v>
      </c>
      <c r="C106" s="66">
        <f>SUM(C102:C105)/4</f>
        <v>363019.57142857148</v>
      </c>
      <c r="D106" s="67">
        <v>3.5</v>
      </c>
      <c r="E106" s="67">
        <v>2</v>
      </c>
      <c r="F106" s="63"/>
      <c r="G106" s="63"/>
      <c r="H106" s="63"/>
      <c r="I106" s="63"/>
      <c r="J106" s="63"/>
      <c r="K106" s="63"/>
      <c r="L106" s="63"/>
      <c r="M106" s="63"/>
    </row>
    <row r="107" spans="1:13" s="1" customFormat="1">
      <c r="A107" s="64">
        <v>44418</v>
      </c>
      <c r="B107" s="65">
        <v>1466</v>
      </c>
      <c r="C107" s="66">
        <f>SUM(C103:C106)/4</f>
        <v>285896.21428571432</v>
      </c>
      <c r="D107" s="67">
        <v>3.5</v>
      </c>
      <c r="E107" s="67">
        <v>2</v>
      </c>
      <c r="F107" s="63"/>
      <c r="G107" s="63"/>
      <c r="H107" s="63"/>
      <c r="I107" s="63"/>
      <c r="J107" s="63"/>
      <c r="K107" s="63"/>
      <c r="L107" s="63"/>
      <c r="M107" s="63"/>
    </row>
    <row r="108" spans="1:13" s="1" customFormat="1">
      <c r="A108" s="64">
        <v>44419</v>
      </c>
      <c r="B108" s="65">
        <v>3609</v>
      </c>
      <c r="C108" s="66">
        <f>SUM(C104:C107)/4</f>
        <v>294809.51785714284</v>
      </c>
      <c r="D108" s="67">
        <v>3.5</v>
      </c>
      <c r="E108" s="67">
        <v>2</v>
      </c>
      <c r="F108" s="63"/>
      <c r="G108" s="63"/>
      <c r="H108" s="63"/>
      <c r="I108" s="63"/>
      <c r="J108" s="63"/>
      <c r="K108" s="63"/>
      <c r="L108" s="63"/>
      <c r="M108" s="63"/>
    </row>
    <row r="109" spans="1:13" s="1" customFormat="1">
      <c r="A109" s="64">
        <v>44420</v>
      </c>
      <c r="B109" s="65">
        <v>1521</v>
      </c>
      <c r="C109" s="66">
        <f>SUM(C105:C108)/4</f>
        <v>315814.04017857148</v>
      </c>
      <c r="D109" s="67">
        <v>3.5</v>
      </c>
      <c r="E109" s="67">
        <v>2</v>
      </c>
      <c r="F109" s="63"/>
      <c r="G109" s="63"/>
      <c r="H109" s="63"/>
      <c r="I109" s="63"/>
      <c r="J109" s="63"/>
      <c r="K109" s="63"/>
      <c r="L109" s="63"/>
      <c r="M109" s="63"/>
    </row>
    <row r="110" spans="1:13" s="1" customFormat="1">
      <c r="A110" s="64">
        <v>44421</v>
      </c>
      <c r="B110" s="65">
        <v>3399</v>
      </c>
      <c r="C110" s="66">
        <v>93993</v>
      </c>
      <c r="D110" s="67">
        <v>3.5</v>
      </c>
      <c r="E110" s="67">
        <v>2</v>
      </c>
      <c r="F110" s="63"/>
      <c r="G110" s="63"/>
      <c r="H110" s="63"/>
      <c r="I110" s="63"/>
      <c r="J110" s="63"/>
      <c r="K110" s="63"/>
      <c r="L110" s="63"/>
      <c r="M110" s="63"/>
    </row>
    <row r="111" spans="1:13" s="1" customFormat="1">
      <c r="A111" s="64">
        <v>44422</v>
      </c>
      <c r="B111" s="65">
        <v>4915</v>
      </c>
      <c r="C111" s="66">
        <v>85608</v>
      </c>
      <c r="D111" s="67">
        <v>3.5</v>
      </c>
      <c r="E111" s="67">
        <v>2</v>
      </c>
      <c r="F111" s="63"/>
      <c r="G111" s="63"/>
      <c r="H111" s="63"/>
      <c r="I111" s="63"/>
      <c r="J111" s="63"/>
      <c r="K111" s="63"/>
      <c r="L111" s="63"/>
      <c r="M111" s="63"/>
    </row>
    <row r="112" spans="1:13" s="1" customFormat="1">
      <c r="A112" s="64">
        <v>44423</v>
      </c>
      <c r="B112" s="65">
        <v>3975</v>
      </c>
      <c r="C112" s="66">
        <f>SUM(C108:C111)/4</f>
        <v>197556.13950892858</v>
      </c>
      <c r="D112" s="67">
        <v>3.5</v>
      </c>
      <c r="E112" s="67">
        <v>2</v>
      </c>
      <c r="F112" s="63"/>
      <c r="G112" s="63"/>
      <c r="H112" s="63"/>
      <c r="I112" s="63"/>
      <c r="J112" s="63"/>
      <c r="K112" s="63"/>
      <c r="L112" s="63"/>
      <c r="M112" s="63"/>
    </row>
    <row r="113" spans="1:13" s="1" customFormat="1">
      <c r="A113" s="64">
        <v>44424</v>
      </c>
      <c r="B113" s="65">
        <v>2855</v>
      </c>
      <c r="C113" s="66">
        <v>194435</v>
      </c>
      <c r="D113" s="67">
        <v>3.5</v>
      </c>
      <c r="E113" s="67">
        <v>2</v>
      </c>
      <c r="F113" s="63"/>
      <c r="G113" s="63"/>
      <c r="H113" s="63"/>
      <c r="I113" s="63"/>
      <c r="J113" s="63"/>
      <c r="K113" s="63"/>
      <c r="L113" s="63"/>
      <c r="M113" s="63"/>
    </row>
    <row r="114" spans="1:13" s="1" customFormat="1">
      <c r="A114" s="64">
        <v>44425</v>
      </c>
      <c r="B114" s="65">
        <v>3740</v>
      </c>
      <c r="C114" s="66">
        <v>126157</v>
      </c>
      <c r="D114" s="67">
        <v>3.5</v>
      </c>
      <c r="E114" s="67">
        <v>2</v>
      </c>
      <c r="F114" s="63"/>
      <c r="G114" s="63"/>
      <c r="H114" s="63"/>
      <c r="I114" s="63"/>
      <c r="J114" s="63"/>
      <c r="K114" s="63"/>
      <c r="L114" s="63"/>
      <c r="M114" s="63"/>
    </row>
    <row r="115" spans="1:13" s="1" customFormat="1">
      <c r="A115" s="64">
        <v>44426</v>
      </c>
      <c r="B115" s="65">
        <v>3873</v>
      </c>
      <c r="C115" s="66">
        <f>SUM(C111:C114)/4</f>
        <v>150939.03487723216</v>
      </c>
      <c r="D115" s="67">
        <v>3.5</v>
      </c>
      <c r="E115" s="67">
        <v>2</v>
      </c>
      <c r="F115" s="63"/>
      <c r="G115" s="63"/>
      <c r="H115" s="63"/>
      <c r="I115" s="63"/>
      <c r="J115" s="63"/>
      <c r="K115" s="63"/>
      <c r="L115" s="63"/>
      <c r="M115" s="63"/>
    </row>
    <row r="116" spans="1:13" s="1" customFormat="1">
      <c r="A116" s="64">
        <v>44427</v>
      </c>
      <c r="B116" s="65">
        <v>4307</v>
      </c>
      <c r="C116" s="66">
        <v>142223</v>
      </c>
      <c r="D116" s="67">
        <v>3.5</v>
      </c>
      <c r="E116" s="67">
        <v>2</v>
      </c>
      <c r="F116" s="63"/>
      <c r="G116" s="63"/>
      <c r="H116" s="63"/>
      <c r="I116" s="63"/>
      <c r="J116" s="63"/>
      <c r="K116" s="63"/>
      <c r="L116" s="63"/>
      <c r="M116" s="63"/>
    </row>
    <row r="117" spans="1:13" s="1" customFormat="1">
      <c r="A117" s="64">
        <v>44428</v>
      </c>
      <c r="B117" s="65">
        <v>3504</v>
      </c>
      <c r="C117" s="66">
        <v>116523</v>
      </c>
      <c r="D117" s="67">
        <v>3.5</v>
      </c>
      <c r="E117" s="67">
        <v>2</v>
      </c>
      <c r="F117" s="63"/>
      <c r="G117" s="63"/>
      <c r="H117" s="63"/>
      <c r="I117" s="63"/>
      <c r="J117" s="63"/>
      <c r="K117" s="63"/>
      <c r="L117" s="63"/>
      <c r="M117" s="63"/>
    </row>
    <row r="118" spans="1:13" s="1" customFormat="1">
      <c r="A118" s="64">
        <v>44429</v>
      </c>
      <c r="B118" s="65">
        <v>4084</v>
      </c>
      <c r="C118" s="66">
        <v>95516</v>
      </c>
      <c r="D118" s="67">
        <v>3.5</v>
      </c>
      <c r="E118" s="67">
        <v>2</v>
      </c>
      <c r="F118" s="63"/>
      <c r="G118" s="63"/>
      <c r="H118" s="63"/>
      <c r="I118" s="63"/>
      <c r="J118" s="63"/>
      <c r="K118" s="63"/>
      <c r="L118" s="63"/>
      <c r="M118" s="63"/>
    </row>
    <row r="119" spans="1:13" s="1" customFormat="1">
      <c r="A119" s="64">
        <v>44430</v>
      </c>
      <c r="B119" s="65">
        <v>4193</v>
      </c>
      <c r="C119" s="66">
        <v>61574</v>
      </c>
      <c r="D119" s="67">
        <v>3.5</v>
      </c>
      <c r="E119" s="67">
        <v>2</v>
      </c>
      <c r="F119" s="63"/>
      <c r="G119" s="63"/>
      <c r="H119" s="63"/>
      <c r="I119" s="63"/>
      <c r="J119" s="63"/>
      <c r="K119" s="63"/>
      <c r="L119" s="63"/>
      <c r="M119" s="63"/>
    </row>
    <row r="120" spans="1:13" s="1" customFormat="1">
      <c r="A120" s="64">
        <v>44431</v>
      </c>
      <c r="B120" s="65">
        <v>4251</v>
      </c>
      <c r="C120" s="66">
        <v>58817</v>
      </c>
      <c r="D120" s="67">
        <v>5</v>
      </c>
      <c r="E120" s="67">
        <v>1</v>
      </c>
      <c r="F120" s="63"/>
      <c r="G120" s="63"/>
      <c r="H120" s="63"/>
      <c r="I120" s="63"/>
      <c r="J120" s="63"/>
      <c r="K120" s="63"/>
      <c r="L120" s="63"/>
      <c r="M120" s="63"/>
    </row>
    <row r="121" spans="1:13" s="1" customFormat="1">
      <c r="A121" s="64">
        <v>44432</v>
      </c>
      <c r="B121" s="65">
        <v>4634</v>
      </c>
      <c r="C121" s="66">
        <v>37746</v>
      </c>
      <c r="D121" s="67">
        <v>5</v>
      </c>
      <c r="E121" s="67">
        <v>1</v>
      </c>
      <c r="F121" s="63"/>
      <c r="G121" s="63"/>
      <c r="H121" s="63"/>
      <c r="I121" s="63"/>
      <c r="J121" s="63"/>
      <c r="K121" s="63"/>
      <c r="L121" s="63"/>
      <c r="M121" s="63"/>
    </row>
    <row r="122" spans="1:13" s="1" customFormat="1">
      <c r="A122" s="64">
        <v>44433</v>
      </c>
      <c r="B122" s="65">
        <v>5294</v>
      </c>
      <c r="C122" s="66">
        <v>57982</v>
      </c>
      <c r="D122" s="67">
        <v>5</v>
      </c>
      <c r="E122" s="67">
        <v>1</v>
      </c>
      <c r="F122" s="63"/>
      <c r="G122" s="63"/>
      <c r="H122" s="63"/>
      <c r="I122" s="63"/>
      <c r="J122" s="63"/>
      <c r="K122" s="63"/>
      <c r="L122" s="63"/>
      <c r="M122" s="63"/>
    </row>
    <row r="123" spans="1:13" s="1" customFormat="1">
      <c r="A123" s="64">
        <v>44434</v>
      </c>
      <c r="B123" s="65">
        <v>3934</v>
      </c>
      <c r="C123" s="66">
        <v>51886</v>
      </c>
      <c r="D123" s="67">
        <v>5</v>
      </c>
      <c r="E123" s="67">
        <v>1</v>
      </c>
      <c r="F123" s="63"/>
      <c r="G123" s="63"/>
      <c r="H123" s="63"/>
      <c r="I123" s="63"/>
      <c r="J123" s="63"/>
      <c r="K123" s="63"/>
      <c r="L123" s="63"/>
      <c r="M123" s="63"/>
    </row>
    <row r="124" spans="1:13" s="1" customFormat="1">
      <c r="A124" s="64">
        <v>44435</v>
      </c>
      <c r="B124" s="65">
        <v>5383</v>
      </c>
      <c r="C124" s="66">
        <v>62349</v>
      </c>
      <c r="D124" s="67">
        <v>5</v>
      </c>
      <c r="E124" s="67">
        <v>1</v>
      </c>
      <c r="F124" s="63"/>
      <c r="G124" s="63"/>
      <c r="H124" s="63"/>
      <c r="I124" s="63"/>
      <c r="J124" s="63"/>
      <c r="K124" s="63"/>
      <c r="L124" s="63"/>
      <c r="M124" s="63"/>
    </row>
    <row r="125" spans="1:13" s="1" customFormat="1">
      <c r="A125" s="64">
        <v>44436</v>
      </c>
      <c r="B125" s="65">
        <v>5481</v>
      </c>
      <c r="C125" s="66">
        <v>39546</v>
      </c>
      <c r="D125" s="67">
        <v>5</v>
      </c>
      <c r="E125" s="67">
        <v>1</v>
      </c>
      <c r="F125" s="63"/>
      <c r="G125" s="63"/>
      <c r="H125" s="63"/>
      <c r="I125" s="63"/>
      <c r="J125" s="63"/>
      <c r="K125" s="63"/>
      <c r="L125" s="63"/>
      <c r="M125" s="63"/>
    </row>
    <row r="126" spans="1:13" s="1" customFormat="1">
      <c r="A126" s="64">
        <v>44437</v>
      </c>
      <c r="B126" s="65">
        <v>4957</v>
      </c>
      <c r="C126" s="66">
        <v>32603</v>
      </c>
      <c r="D126" s="67">
        <v>5</v>
      </c>
      <c r="E126" s="67">
        <v>1</v>
      </c>
      <c r="F126" s="63"/>
      <c r="G126" s="63"/>
      <c r="H126" s="63"/>
      <c r="I126" s="63"/>
      <c r="J126" s="63"/>
      <c r="K126" s="63"/>
      <c r="L126" s="63"/>
      <c r="M126" s="63"/>
    </row>
    <row r="127" spans="1:13" s="1" customFormat="1">
      <c r="A127" s="64">
        <v>44438</v>
      </c>
      <c r="B127" s="65">
        <v>5889</v>
      </c>
      <c r="C127" s="66">
        <v>30109</v>
      </c>
      <c r="D127" s="67">
        <v>5</v>
      </c>
      <c r="E127" s="67">
        <v>1</v>
      </c>
      <c r="F127" s="63"/>
      <c r="G127" s="63"/>
      <c r="H127" s="63"/>
      <c r="I127" s="63"/>
      <c r="J127" s="63"/>
      <c r="K127" s="63"/>
      <c r="L127" s="63"/>
      <c r="M127" s="63"/>
    </row>
    <row r="128" spans="1:13" s="1" customFormat="1">
      <c r="A128" s="64">
        <v>44439</v>
      </c>
      <c r="B128" s="65">
        <v>5444</v>
      </c>
      <c r="C128" s="66">
        <v>40212</v>
      </c>
      <c r="D128" s="67">
        <v>5</v>
      </c>
      <c r="E128" s="67">
        <v>1</v>
      </c>
      <c r="F128" s="63"/>
      <c r="G128" s="63"/>
      <c r="H128" s="63"/>
      <c r="I128" s="63"/>
      <c r="J128" s="63"/>
      <c r="K128" s="63"/>
      <c r="L128" s="63"/>
      <c r="M128" s="63"/>
    </row>
    <row r="129" spans="1:13" s="1" customFormat="1">
      <c r="A129" s="64">
        <v>44440</v>
      </c>
      <c r="B129" s="65">
        <v>5368</v>
      </c>
      <c r="C129" s="66">
        <v>33448</v>
      </c>
      <c r="D129" s="67">
        <v>5</v>
      </c>
      <c r="E129" s="67">
        <v>1</v>
      </c>
      <c r="F129" s="63"/>
      <c r="G129" s="63"/>
      <c r="H129" s="63"/>
      <c r="I129" s="63"/>
      <c r="J129" s="63"/>
      <c r="K129" s="63"/>
      <c r="L129" s="63"/>
      <c r="M129" s="63"/>
    </row>
    <row r="130" spans="1:13" s="1" customFormat="1">
      <c r="A130" s="64">
        <v>44441</v>
      </c>
      <c r="B130" s="65">
        <v>5964</v>
      </c>
      <c r="C130" s="66">
        <v>63341</v>
      </c>
      <c r="D130" s="67">
        <v>5</v>
      </c>
      <c r="E130" s="67">
        <v>1</v>
      </c>
      <c r="F130" s="63"/>
      <c r="G130" s="63"/>
      <c r="H130" s="63"/>
      <c r="I130" s="63"/>
      <c r="J130" s="63"/>
      <c r="K130" s="63"/>
      <c r="L130" s="63"/>
      <c r="M130" s="63"/>
    </row>
    <row r="131" spans="1:13" s="1" customFormat="1">
      <c r="A131" s="64">
        <v>44442</v>
      </c>
      <c r="B131" s="65">
        <v>8510</v>
      </c>
      <c r="C131" s="66">
        <f>SUM(C127:C130)/4</f>
        <v>41777.5</v>
      </c>
      <c r="D131" s="67">
        <v>5</v>
      </c>
      <c r="E131" s="67">
        <v>1</v>
      </c>
      <c r="F131" s="63"/>
      <c r="G131" s="63"/>
      <c r="H131" s="63"/>
      <c r="I131" s="63"/>
      <c r="J131" s="63"/>
      <c r="K131" s="63"/>
      <c r="L131" s="63"/>
      <c r="M131" s="63"/>
    </row>
    <row r="132" spans="1:13" s="1" customFormat="1">
      <c r="A132" s="64">
        <v>44443</v>
      </c>
      <c r="B132" s="65">
        <v>4104</v>
      </c>
      <c r="C132" s="66">
        <v>74998</v>
      </c>
      <c r="D132" s="67">
        <v>5</v>
      </c>
      <c r="E132" s="67">
        <v>1</v>
      </c>
      <c r="F132" s="63"/>
      <c r="G132" s="63"/>
      <c r="H132" s="63"/>
      <c r="I132" s="63"/>
      <c r="J132" s="63"/>
      <c r="K132" s="63"/>
      <c r="L132" s="63"/>
      <c r="M132" s="63"/>
    </row>
    <row r="133" spans="1:13" s="1" customFormat="1">
      <c r="A133" s="64">
        <v>44444</v>
      </c>
      <c r="B133" s="65">
        <v>6226</v>
      </c>
      <c r="C133" s="66">
        <v>87683</v>
      </c>
      <c r="D133" s="67">
        <v>5</v>
      </c>
      <c r="E133" s="67">
        <v>1</v>
      </c>
      <c r="F133" s="63"/>
      <c r="G133" s="63"/>
      <c r="H133" s="63"/>
      <c r="I133" s="63"/>
      <c r="J133" s="63"/>
      <c r="K133" s="63"/>
      <c r="L133" s="63"/>
      <c r="M133" s="63"/>
    </row>
    <row r="134" spans="1:13" s="1" customFormat="1">
      <c r="A134" s="64">
        <v>44445</v>
      </c>
      <c r="B134" s="65">
        <v>7122</v>
      </c>
      <c r="C134" s="66">
        <v>105781</v>
      </c>
      <c r="D134" s="67">
        <v>5</v>
      </c>
      <c r="E134" s="67">
        <v>1</v>
      </c>
      <c r="F134" s="63"/>
      <c r="G134" s="63"/>
      <c r="H134" s="63"/>
      <c r="I134" s="63"/>
      <c r="J134" s="63"/>
      <c r="K134" s="63"/>
      <c r="L134" s="63"/>
      <c r="M134" s="63"/>
    </row>
    <row r="135" spans="1:13" s="1" customFormat="1">
      <c r="A135" s="64">
        <v>44446</v>
      </c>
      <c r="B135" s="65">
        <v>7310</v>
      </c>
      <c r="C135" s="66">
        <v>161286</v>
      </c>
      <c r="D135" s="67">
        <v>5</v>
      </c>
      <c r="E135" s="67">
        <v>1</v>
      </c>
      <c r="F135" s="63"/>
      <c r="G135" s="63"/>
      <c r="H135" s="63"/>
      <c r="I135" s="63"/>
      <c r="J135" s="63"/>
      <c r="K135" s="63"/>
      <c r="L135" s="63"/>
      <c r="M135" s="63"/>
    </row>
    <row r="136" spans="1:13" s="1" customFormat="1">
      <c r="A136" s="64">
        <v>44447</v>
      </c>
      <c r="B136" s="65">
        <v>7308</v>
      </c>
      <c r="C136" s="66">
        <v>163548</v>
      </c>
      <c r="D136" s="67">
        <v>5</v>
      </c>
      <c r="E136" s="67">
        <v>1</v>
      </c>
      <c r="F136" s="63"/>
      <c r="G136" s="63"/>
      <c r="H136" s="63"/>
      <c r="I136" s="63"/>
      <c r="J136" s="63"/>
      <c r="K136" s="63"/>
      <c r="L136" s="63"/>
      <c r="M136" s="63"/>
    </row>
    <row r="137" spans="1:13" s="1" customFormat="1">
      <c r="A137" s="64">
        <v>44448</v>
      </c>
      <c r="B137" s="65">
        <v>5549</v>
      </c>
      <c r="C137" s="66">
        <v>188124</v>
      </c>
      <c r="D137" s="67">
        <v>5</v>
      </c>
      <c r="E137" s="67">
        <v>1</v>
      </c>
      <c r="F137" s="63"/>
      <c r="G137" s="63"/>
      <c r="H137" s="63"/>
      <c r="I137" s="63"/>
      <c r="J137" s="63"/>
      <c r="K137" s="63"/>
      <c r="L137" s="63"/>
      <c r="M137" s="63"/>
    </row>
    <row r="138" spans="1:13" s="1" customFormat="1">
      <c r="A138" s="64">
        <v>44449</v>
      </c>
      <c r="B138" s="65">
        <v>7539</v>
      </c>
      <c r="C138" s="66">
        <v>183699</v>
      </c>
      <c r="D138" s="67">
        <v>5</v>
      </c>
      <c r="E138" s="67">
        <v>1</v>
      </c>
      <c r="F138" s="63"/>
      <c r="G138" s="63"/>
      <c r="H138" s="63"/>
      <c r="I138" s="63"/>
      <c r="J138" s="63"/>
      <c r="K138" s="63"/>
      <c r="L138" s="63"/>
      <c r="M138" s="63"/>
    </row>
    <row r="139" spans="1:13" s="1" customFormat="1">
      <c r="A139" s="64">
        <v>44450</v>
      </c>
      <c r="B139" s="65">
        <v>5629</v>
      </c>
      <c r="C139" s="66">
        <v>214347</v>
      </c>
      <c r="D139" s="67">
        <v>5</v>
      </c>
      <c r="E139" s="67">
        <v>1</v>
      </c>
      <c r="F139" s="63"/>
      <c r="G139" s="63"/>
      <c r="H139" s="63"/>
      <c r="I139" s="63"/>
      <c r="J139" s="63"/>
      <c r="K139" s="63"/>
      <c r="L139" s="63"/>
      <c r="M139" s="63"/>
    </row>
    <row r="140" spans="1:13" s="1" customFormat="1">
      <c r="A140" s="64">
        <v>44451</v>
      </c>
      <c r="B140" s="65">
        <v>6158</v>
      </c>
      <c r="C140" s="66">
        <v>246332</v>
      </c>
      <c r="D140" s="67">
        <v>5</v>
      </c>
      <c r="E140" s="67">
        <v>1</v>
      </c>
      <c r="F140" s="63"/>
      <c r="G140" s="63"/>
      <c r="H140" s="63"/>
      <c r="I140" s="63"/>
      <c r="J140" s="63"/>
      <c r="K140" s="63"/>
      <c r="L140" s="63"/>
      <c r="M140" s="63"/>
    </row>
    <row r="141" spans="1:13" s="1" customFormat="1">
      <c r="A141" s="64">
        <v>44452</v>
      </c>
      <c r="B141" s="65">
        <v>5446</v>
      </c>
      <c r="C141" s="66">
        <v>174090</v>
      </c>
      <c r="D141" s="67">
        <v>5</v>
      </c>
      <c r="E141" s="67">
        <v>1</v>
      </c>
      <c r="F141" s="63"/>
      <c r="G141" s="63"/>
      <c r="H141" s="63"/>
      <c r="I141" s="63"/>
      <c r="J141" s="63"/>
      <c r="K141" s="63"/>
      <c r="L141" s="63"/>
      <c r="M141" s="63"/>
    </row>
    <row r="142" spans="1:13" s="1" customFormat="1">
      <c r="A142" s="64">
        <v>44453</v>
      </c>
      <c r="B142" s="65">
        <v>6315</v>
      </c>
      <c r="C142" s="66">
        <v>177119</v>
      </c>
      <c r="D142" s="67">
        <v>5</v>
      </c>
      <c r="E142" s="67">
        <v>1</v>
      </c>
      <c r="F142" s="63"/>
      <c r="G142" s="63"/>
      <c r="H142" s="63"/>
      <c r="I142" s="63"/>
      <c r="J142" s="63"/>
      <c r="K142" s="63"/>
      <c r="L142" s="63"/>
      <c r="M142" s="63"/>
    </row>
    <row r="143" spans="1:13" s="1" customFormat="1">
      <c r="A143" s="64">
        <v>44454</v>
      </c>
      <c r="B143" s="65">
        <v>5301</v>
      </c>
      <c r="C143" s="66">
        <v>148671</v>
      </c>
      <c r="D143" s="67">
        <v>5</v>
      </c>
      <c r="E143" s="67">
        <v>1</v>
      </c>
      <c r="F143" s="63"/>
      <c r="G143" s="63"/>
      <c r="H143" s="63"/>
      <c r="I143" s="63"/>
      <c r="J143" s="63"/>
      <c r="K143" s="63"/>
      <c r="L143" s="63"/>
      <c r="M143" s="63"/>
    </row>
    <row r="144" spans="1:13" s="1" customFormat="1">
      <c r="A144" s="64">
        <v>44455</v>
      </c>
      <c r="B144" s="65">
        <v>5735</v>
      </c>
      <c r="C144" s="66">
        <v>119193</v>
      </c>
      <c r="D144" s="67">
        <v>5</v>
      </c>
      <c r="E144" s="67">
        <v>1</v>
      </c>
      <c r="F144" s="63"/>
      <c r="G144" s="63"/>
      <c r="H144" s="63"/>
      <c r="I144" s="63"/>
      <c r="J144" s="63"/>
      <c r="K144" s="63"/>
      <c r="L144" s="63"/>
      <c r="M144" s="63"/>
    </row>
    <row r="145" spans="1:13" s="1" customFormat="1">
      <c r="A145" s="64">
        <v>44456</v>
      </c>
      <c r="B145" s="65">
        <v>5972</v>
      </c>
      <c r="C145" s="66">
        <v>78163</v>
      </c>
      <c r="D145" s="67">
        <v>5</v>
      </c>
      <c r="E145" s="67">
        <v>1</v>
      </c>
      <c r="F145" s="63"/>
      <c r="G145" s="63"/>
      <c r="H145" s="63"/>
      <c r="I145" s="63"/>
      <c r="J145" s="63"/>
      <c r="K145" s="63"/>
      <c r="L145" s="63"/>
      <c r="M145" s="63"/>
    </row>
    <row r="146" spans="1:13" s="1" customFormat="1">
      <c r="A146" s="64">
        <v>44457</v>
      </c>
      <c r="B146" s="65">
        <v>4273</v>
      </c>
      <c r="C146" s="66">
        <v>86403</v>
      </c>
      <c r="D146" s="67">
        <v>5</v>
      </c>
      <c r="E146" s="67">
        <v>1</v>
      </c>
      <c r="F146" s="63"/>
      <c r="G146" s="63"/>
      <c r="H146" s="63"/>
      <c r="I146" s="63"/>
      <c r="J146" s="63"/>
      <c r="K146" s="63"/>
      <c r="L146" s="63"/>
      <c r="M146" s="63"/>
    </row>
    <row r="147" spans="1:13" s="1" customFormat="1">
      <c r="A147" s="64">
        <v>44458</v>
      </c>
      <c r="B147" s="65">
        <v>5496</v>
      </c>
      <c r="C147" s="66">
        <v>87666</v>
      </c>
      <c r="D147" s="67">
        <v>5</v>
      </c>
      <c r="E147" s="67">
        <v>1</v>
      </c>
      <c r="F147" s="63"/>
      <c r="G147" s="63"/>
      <c r="H147" s="63"/>
      <c r="I147" s="63"/>
      <c r="J147" s="63"/>
      <c r="K147" s="63"/>
      <c r="L147" s="63"/>
      <c r="M147" s="63"/>
    </row>
    <row r="148" spans="1:13" s="1" customFormat="1">
      <c r="A148" s="64">
        <v>44459</v>
      </c>
      <c r="B148" s="65">
        <v>5172</v>
      </c>
      <c r="C148" s="66">
        <v>30117</v>
      </c>
      <c r="D148" s="67">
        <v>5</v>
      </c>
      <c r="E148" s="67">
        <v>1</v>
      </c>
      <c r="F148" s="63"/>
      <c r="G148" s="63"/>
      <c r="H148" s="63"/>
      <c r="I148" s="63"/>
      <c r="J148" s="63"/>
      <c r="K148" s="63"/>
      <c r="L148" s="63"/>
      <c r="M148" s="63"/>
    </row>
    <row r="149" spans="1:13" s="1" customFormat="1">
      <c r="A149" s="64">
        <v>44460</v>
      </c>
      <c r="B149" s="65">
        <v>6521</v>
      </c>
      <c r="C149" s="66">
        <v>71836</v>
      </c>
      <c r="D149" s="67">
        <v>5</v>
      </c>
      <c r="E149" s="67">
        <v>1</v>
      </c>
      <c r="F149" s="63"/>
      <c r="G149" s="63"/>
      <c r="H149" s="63"/>
      <c r="I149" s="63"/>
      <c r="J149" s="63"/>
      <c r="K149" s="63"/>
      <c r="L149" s="63"/>
      <c r="M149" s="63"/>
    </row>
    <row r="150" spans="1:13" s="1" customFormat="1">
      <c r="A150" s="64">
        <v>44461</v>
      </c>
      <c r="B150" s="65">
        <v>5435</v>
      </c>
      <c r="C150" s="66">
        <v>513377</v>
      </c>
      <c r="D150" s="67">
        <v>5</v>
      </c>
      <c r="E150" s="67">
        <v>1</v>
      </c>
      <c r="F150" s="63"/>
      <c r="G150" s="63"/>
      <c r="H150" s="63"/>
      <c r="I150" s="63"/>
      <c r="J150" s="63"/>
      <c r="K150" s="63"/>
      <c r="L150" s="63"/>
      <c r="M150" s="63"/>
    </row>
    <row r="151" spans="1:13" s="1" customFormat="1">
      <c r="A151" s="64">
        <v>44462</v>
      </c>
      <c r="B151" s="65">
        <v>5052</v>
      </c>
      <c r="C151" s="66">
        <v>67566</v>
      </c>
      <c r="D151" s="67">
        <v>5</v>
      </c>
      <c r="E151" s="67">
        <v>1</v>
      </c>
      <c r="F151" s="63"/>
      <c r="G151" s="63"/>
      <c r="H151" s="63"/>
      <c r="I151" s="63"/>
      <c r="J151" s="63"/>
      <c r="K151" s="63"/>
      <c r="L151" s="63"/>
      <c r="M151" s="63"/>
    </row>
    <row r="152" spans="1:13" s="1" customFormat="1">
      <c r="A152" s="64">
        <v>44463</v>
      </c>
      <c r="B152" s="65">
        <v>3786</v>
      </c>
      <c r="C152" s="66">
        <v>70899</v>
      </c>
      <c r="D152" s="67">
        <v>5</v>
      </c>
      <c r="E152" s="67">
        <v>1</v>
      </c>
      <c r="F152" s="63"/>
      <c r="G152" s="63"/>
      <c r="H152" s="63"/>
      <c r="I152" s="63"/>
      <c r="J152" s="63"/>
      <c r="K152" s="63"/>
      <c r="L152" s="63"/>
      <c r="M152" s="63"/>
    </row>
    <row r="153" spans="1:13" s="1" customFormat="1">
      <c r="A153" s="64">
        <v>44464</v>
      </c>
      <c r="B153" s="65">
        <v>4050</v>
      </c>
      <c r="C153" s="66">
        <v>134617</v>
      </c>
      <c r="D153" s="67">
        <v>5</v>
      </c>
      <c r="E153" s="67">
        <v>1</v>
      </c>
      <c r="F153" s="63"/>
      <c r="G153" s="63"/>
      <c r="H153" s="63"/>
      <c r="I153" s="63"/>
      <c r="J153" s="63"/>
      <c r="K153" s="63"/>
      <c r="L153" s="63"/>
      <c r="M153" s="63"/>
    </row>
    <row r="154" spans="1:13" s="1" customFormat="1">
      <c r="A154" s="64">
        <v>44465</v>
      </c>
      <c r="B154" s="65">
        <v>5121</v>
      </c>
      <c r="C154" s="66">
        <v>237373</v>
      </c>
      <c r="D154" s="67">
        <v>5</v>
      </c>
      <c r="E154" s="67">
        <v>1</v>
      </c>
      <c r="F154" s="63"/>
      <c r="G154" s="63"/>
      <c r="H154" s="63"/>
      <c r="I154" s="63"/>
      <c r="J154" s="63"/>
      <c r="K154" s="63"/>
      <c r="L154" s="63"/>
      <c r="M154" s="63"/>
    </row>
    <row r="155" spans="1:13" s="1" customFormat="1">
      <c r="A155" s="64">
        <v>44466</v>
      </c>
      <c r="B155" s="65">
        <v>4134</v>
      </c>
      <c r="C155" s="66">
        <v>205951</v>
      </c>
      <c r="D155" s="67">
        <v>5</v>
      </c>
      <c r="E155" s="67">
        <v>1</v>
      </c>
      <c r="F155" s="63"/>
      <c r="G155" s="63"/>
      <c r="H155" s="63"/>
      <c r="I155" s="63"/>
      <c r="J155" s="63"/>
      <c r="K155" s="63"/>
      <c r="L155" s="63"/>
      <c r="M155" s="63"/>
    </row>
    <row r="156" spans="1:13" s="1" customFormat="1">
      <c r="A156" s="64">
        <v>44467</v>
      </c>
      <c r="B156" s="65">
        <v>3749</v>
      </c>
      <c r="C156" s="66">
        <v>132884</v>
      </c>
      <c r="D156" s="67">
        <v>5</v>
      </c>
      <c r="E156" s="67">
        <v>1</v>
      </c>
      <c r="F156" s="63"/>
      <c r="G156" s="63"/>
      <c r="H156" s="63"/>
      <c r="I156" s="63"/>
      <c r="J156" s="63"/>
      <c r="K156" s="63"/>
      <c r="L156" s="63"/>
      <c r="M156" s="63"/>
    </row>
    <row r="157" spans="1:13" s="1" customFormat="1">
      <c r="A157" s="64">
        <v>44468</v>
      </c>
      <c r="B157" s="65">
        <v>4699</v>
      </c>
      <c r="C157" s="66">
        <v>325696</v>
      </c>
      <c r="D157" s="67">
        <v>5</v>
      </c>
      <c r="E157" s="67">
        <v>1</v>
      </c>
      <c r="F157" s="63"/>
      <c r="G157" s="63"/>
      <c r="H157" s="63"/>
      <c r="I157" s="63"/>
      <c r="J157" s="63"/>
      <c r="K157" s="63"/>
      <c r="L157" s="63"/>
      <c r="M157" s="63"/>
    </row>
    <row r="158" spans="1:13" s="1" customFormat="1">
      <c r="A158" s="64">
        <v>44469</v>
      </c>
      <c r="B158" s="65">
        <v>4372</v>
      </c>
      <c r="C158" s="66">
        <v>251678</v>
      </c>
      <c r="D158" s="67">
        <v>5</v>
      </c>
      <c r="E158" s="67">
        <v>1</v>
      </c>
      <c r="F158" s="63"/>
      <c r="G158" s="63"/>
      <c r="H158" s="63"/>
      <c r="I158" s="63"/>
      <c r="J158" s="63"/>
      <c r="K158" s="63"/>
      <c r="L158" s="63"/>
      <c r="M158" s="63"/>
    </row>
    <row r="159" spans="1:13" s="1" customFormat="1">
      <c r="A159" s="64">
        <v>44470</v>
      </c>
      <c r="B159" s="65">
        <v>3670</v>
      </c>
      <c r="C159" s="66">
        <v>157600</v>
      </c>
      <c r="D159" s="67">
        <v>2</v>
      </c>
      <c r="E159" s="67">
        <v>20</v>
      </c>
      <c r="F159" s="63"/>
      <c r="G159" s="63"/>
      <c r="H159" s="63"/>
      <c r="I159" s="63"/>
      <c r="J159" s="63"/>
      <c r="K159" s="63"/>
      <c r="L159" s="63"/>
      <c r="M159" s="63"/>
    </row>
    <row r="160" spans="1:13" s="1" customFormat="1">
      <c r="A160" s="64">
        <v>44471</v>
      </c>
      <c r="B160" s="65">
        <v>2723</v>
      </c>
      <c r="C160" s="66">
        <v>269621</v>
      </c>
      <c r="D160" s="67">
        <v>2</v>
      </c>
      <c r="E160" s="67">
        <v>20</v>
      </c>
      <c r="F160" s="63"/>
      <c r="G160" s="63"/>
      <c r="H160" s="63"/>
      <c r="I160" s="63"/>
      <c r="J160" s="63"/>
      <c r="K160" s="63"/>
      <c r="L160" s="63"/>
      <c r="M160" s="63"/>
    </row>
    <row r="161" spans="1:13" s="1" customFormat="1">
      <c r="A161" s="64">
        <v>44472</v>
      </c>
      <c r="B161" s="65">
        <v>2461</v>
      </c>
      <c r="C161" s="66">
        <v>233471</v>
      </c>
      <c r="D161" s="67">
        <v>2</v>
      </c>
      <c r="E161" s="67">
        <v>20</v>
      </c>
      <c r="F161" s="63"/>
      <c r="G161" s="63"/>
      <c r="H161" s="63"/>
      <c r="I161" s="63"/>
      <c r="J161" s="63"/>
      <c r="K161" s="63"/>
      <c r="L161" s="63"/>
      <c r="M161" s="63"/>
    </row>
    <row r="162" spans="1:13" s="1" customFormat="1">
      <c r="A162" s="64">
        <v>44473</v>
      </c>
      <c r="B162" s="65">
        <v>2490</v>
      </c>
      <c r="C162" s="66">
        <v>283448</v>
      </c>
      <c r="D162" s="67">
        <v>2</v>
      </c>
      <c r="E162" s="67">
        <v>20</v>
      </c>
      <c r="F162" s="63"/>
      <c r="G162" s="63"/>
      <c r="H162" s="63"/>
      <c r="I162" s="63"/>
      <c r="J162" s="63"/>
      <c r="K162" s="63"/>
      <c r="L162" s="63"/>
      <c r="M162" s="63"/>
    </row>
    <row r="163" spans="1:13" s="1" customFormat="1">
      <c r="A163" s="64">
        <v>44474</v>
      </c>
      <c r="B163" s="65">
        <v>1491</v>
      </c>
      <c r="C163" s="66">
        <v>225322</v>
      </c>
      <c r="D163" s="67">
        <v>2</v>
      </c>
      <c r="E163" s="67">
        <v>20</v>
      </c>
      <c r="F163" s="63"/>
      <c r="G163" s="63"/>
      <c r="H163" s="63"/>
      <c r="I163" s="63"/>
      <c r="J163" s="63"/>
      <c r="K163" s="63"/>
      <c r="L163" s="63"/>
      <c r="M163" s="63"/>
    </row>
    <row r="164" spans="1:13" s="1" customFormat="1">
      <c r="A164" s="64">
        <v>44475</v>
      </c>
      <c r="B164" s="65">
        <v>1960</v>
      </c>
      <c r="C164" s="66">
        <v>173924</v>
      </c>
      <c r="D164" s="67">
        <v>2</v>
      </c>
      <c r="E164" s="67">
        <v>20</v>
      </c>
      <c r="F164" s="63"/>
      <c r="G164" s="63"/>
      <c r="H164" s="63"/>
      <c r="I164" s="63"/>
      <c r="J164" s="63"/>
      <c r="K164" s="63"/>
      <c r="L164" s="63"/>
      <c r="M164" s="63"/>
    </row>
    <row r="165" spans="1:13" s="1" customFormat="1">
      <c r="A165" s="64">
        <v>44476</v>
      </c>
      <c r="B165" s="65">
        <v>1730</v>
      </c>
      <c r="C165" s="66">
        <v>128966</v>
      </c>
      <c r="D165" s="67">
        <v>2</v>
      </c>
      <c r="E165" s="67">
        <v>20</v>
      </c>
      <c r="F165" s="63"/>
      <c r="G165" s="63"/>
      <c r="H165" s="63"/>
      <c r="I165" s="63"/>
      <c r="J165" s="63"/>
      <c r="K165" s="63"/>
      <c r="L165" s="63"/>
      <c r="M165" s="63"/>
    </row>
    <row r="166" spans="1:13" s="1" customFormat="1">
      <c r="A166" s="64">
        <v>44477</v>
      </c>
      <c r="B166" s="65">
        <v>2215</v>
      </c>
      <c r="C166" s="66">
        <v>102080</v>
      </c>
      <c r="D166" s="67">
        <v>2</v>
      </c>
      <c r="E166" s="67">
        <v>20</v>
      </c>
      <c r="F166" s="63"/>
      <c r="G166" s="63"/>
      <c r="H166" s="63"/>
      <c r="I166" s="63"/>
      <c r="J166" s="63"/>
      <c r="K166" s="63"/>
      <c r="L166" s="63"/>
      <c r="M166" s="63"/>
    </row>
    <row r="167" spans="1:13" s="1" customFormat="1">
      <c r="A167" s="64">
        <v>44478</v>
      </c>
      <c r="B167" s="65">
        <v>1662</v>
      </c>
      <c r="C167" s="66">
        <v>80506</v>
      </c>
      <c r="D167" s="67">
        <v>2</v>
      </c>
      <c r="E167" s="67">
        <v>20</v>
      </c>
      <c r="F167" s="63"/>
      <c r="G167" s="63"/>
      <c r="H167" s="63"/>
      <c r="I167" s="63"/>
      <c r="J167" s="63"/>
      <c r="K167" s="63"/>
      <c r="L167" s="63"/>
      <c r="M167" s="63"/>
    </row>
    <row r="168" spans="1:13" s="1" customFormat="1">
      <c r="A168" s="64">
        <v>44479</v>
      </c>
      <c r="B168" s="65">
        <v>1067</v>
      </c>
      <c r="C168" s="66">
        <v>96186</v>
      </c>
      <c r="D168" s="67">
        <v>2</v>
      </c>
      <c r="E168" s="67">
        <v>20</v>
      </c>
      <c r="F168" s="63"/>
      <c r="G168" s="63"/>
      <c r="H168" s="63"/>
      <c r="I168" s="63"/>
      <c r="J168" s="63"/>
      <c r="K168" s="63"/>
      <c r="L168" s="63"/>
      <c r="M168" s="63"/>
    </row>
    <row r="169" spans="1:13" s="1" customFormat="1">
      <c r="A169" s="64">
        <v>44480</v>
      </c>
      <c r="B169" s="65">
        <v>1527</v>
      </c>
      <c r="C169" s="66">
        <v>56731</v>
      </c>
      <c r="D169" s="67">
        <v>2</v>
      </c>
      <c r="E169" s="67">
        <v>20</v>
      </c>
      <c r="F169" s="63"/>
      <c r="G169" s="63"/>
      <c r="H169" s="63"/>
      <c r="I169" s="63"/>
      <c r="J169" s="63"/>
      <c r="K169" s="63"/>
      <c r="L169" s="63"/>
      <c r="M169" s="63"/>
    </row>
    <row r="170" spans="1:13" s="1" customFormat="1">
      <c r="A170" s="64">
        <v>44481</v>
      </c>
      <c r="B170" s="65">
        <v>1018</v>
      </c>
      <c r="C170" s="66">
        <v>61728</v>
      </c>
      <c r="D170" s="67">
        <v>2</v>
      </c>
      <c r="E170" s="67">
        <v>20</v>
      </c>
      <c r="F170" s="63"/>
      <c r="G170" s="63"/>
      <c r="H170" s="63"/>
      <c r="I170" s="63"/>
      <c r="J170" s="63"/>
      <c r="K170" s="63"/>
      <c r="L170" s="63"/>
      <c r="M170" s="63"/>
    </row>
    <row r="171" spans="1:13" s="1" customFormat="1">
      <c r="A171" s="64">
        <v>44482</v>
      </c>
      <c r="B171" s="65">
        <v>1162</v>
      </c>
      <c r="C171" s="66">
        <v>51325</v>
      </c>
      <c r="D171" s="67">
        <v>2</v>
      </c>
      <c r="E171" s="67">
        <v>20</v>
      </c>
      <c r="F171" s="63"/>
      <c r="G171" s="63"/>
      <c r="H171" s="63"/>
      <c r="I171" s="63"/>
      <c r="J171" s="63"/>
      <c r="K171" s="63"/>
      <c r="L171" s="63"/>
      <c r="M171" s="63"/>
    </row>
    <row r="172" spans="1:13" s="1" customFormat="1">
      <c r="A172" s="64">
        <v>44483</v>
      </c>
      <c r="B172" s="65">
        <v>909</v>
      </c>
      <c r="C172" s="66">
        <v>36191</v>
      </c>
      <c r="D172" s="67">
        <v>2</v>
      </c>
      <c r="E172" s="67">
        <v>20</v>
      </c>
      <c r="F172" s="63"/>
      <c r="G172" s="63"/>
      <c r="H172" s="63"/>
      <c r="I172" s="63"/>
      <c r="J172" s="63"/>
      <c r="K172" s="63"/>
      <c r="L172" s="63"/>
      <c r="M172" s="63"/>
    </row>
    <row r="173" spans="1:13" s="1" customFormat="1">
      <c r="A173" s="64">
        <v>44484</v>
      </c>
      <c r="B173" s="65">
        <v>1131</v>
      </c>
      <c r="C173" s="66">
        <v>38759</v>
      </c>
      <c r="D173" s="67">
        <v>2</v>
      </c>
      <c r="E173" s="67">
        <v>20</v>
      </c>
      <c r="F173" s="63"/>
      <c r="G173" s="63"/>
      <c r="H173" s="63"/>
      <c r="I173" s="63"/>
      <c r="J173" s="63"/>
      <c r="K173" s="63"/>
      <c r="L173" s="63"/>
      <c r="M173" s="63"/>
    </row>
    <row r="174" spans="1:13" s="1" customFormat="1">
      <c r="A174" s="64">
        <v>44485</v>
      </c>
      <c r="B174" s="65">
        <v>790</v>
      </c>
      <c r="C174" s="66">
        <v>27716</v>
      </c>
      <c r="D174" s="67">
        <v>2</v>
      </c>
      <c r="E174" s="67">
        <v>20</v>
      </c>
      <c r="F174" s="63"/>
      <c r="G174" s="63"/>
      <c r="H174" s="63"/>
      <c r="I174" s="63"/>
      <c r="J174" s="63"/>
      <c r="K174" s="63"/>
      <c r="L174" s="63"/>
      <c r="M174" s="63"/>
    </row>
    <row r="175" spans="1:13" s="1" customFormat="1">
      <c r="A175" s="64">
        <v>44486</v>
      </c>
      <c r="B175" s="65">
        <v>1059</v>
      </c>
      <c r="C175" s="66">
        <v>25451</v>
      </c>
      <c r="D175" s="67">
        <v>2</v>
      </c>
      <c r="E175" s="67">
        <v>20</v>
      </c>
      <c r="F175" s="63"/>
      <c r="G175" s="63"/>
      <c r="H175" s="63"/>
      <c r="I175" s="63"/>
      <c r="J175" s="63"/>
      <c r="K175" s="63"/>
      <c r="L175" s="63"/>
      <c r="M175" s="63"/>
    </row>
    <row r="176" spans="1:13" s="1" customFormat="1">
      <c r="A176" s="64">
        <v>44487</v>
      </c>
      <c r="B176" s="65">
        <v>968</v>
      </c>
      <c r="C176" s="66">
        <v>15216</v>
      </c>
      <c r="D176" s="67">
        <v>2</v>
      </c>
      <c r="E176" s="67">
        <v>20</v>
      </c>
      <c r="F176" s="63"/>
      <c r="G176" s="63"/>
      <c r="H176" s="63"/>
      <c r="I176" s="63"/>
      <c r="J176" s="63"/>
      <c r="K176" s="63"/>
      <c r="L176" s="63"/>
      <c r="M176" s="63"/>
    </row>
    <row r="177" spans="1:13" s="1" customFormat="1">
      <c r="A177" s="64">
        <v>44488</v>
      </c>
      <c r="B177" s="65">
        <v>907</v>
      </c>
      <c r="C177" s="66">
        <v>23537</v>
      </c>
      <c r="D177" s="67">
        <v>2</v>
      </c>
      <c r="E177" s="67">
        <v>20</v>
      </c>
      <c r="F177" s="63"/>
      <c r="G177" s="63"/>
      <c r="H177" s="63"/>
      <c r="I177" s="63"/>
      <c r="J177" s="63"/>
      <c r="K177" s="63"/>
      <c r="L177" s="63"/>
      <c r="M177" s="63"/>
    </row>
    <row r="178" spans="1:13" s="1" customFormat="1">
      <c r="A178" s="64">
        <v>44489</v>
      </c>
      <c r="B178" s="65">
        <v>1347</v>
      </c>
      <c r="C178" s="66">
        <v>20939</v>
      </c>
      <c r="D178" s="67">
        <v>2</v>
      </c>
      <c r="E178" s="67">
        <v>20</v>
      </c>
      <c r="F178" s="63"/>
      <c r="G178" s="63"/>
      <c r="H178" s="63"/>
      <c r="I178" s="63"/>
      <c r="J178" s="63"/>
      <c r="K178" s="63"/>
      <c r="L178" s="63"/>
      <c r="M178" s="63"/>
    </row>
    <row r="179" spans="1:13" s="1" customFormat="1">
      <c r="A179" s="64">
        <v>44490</v>
      </c>
      <c r="B179" s="65">
        <v>1255</v>
      </c>
      <c r="C179" s="66">
        <v>21193</v>
      </c>
      <c r="D179" s="67">
        <v>2</v>
      </c>
      <c r="E179" s="67">
        <v>20</v>
      </c>
      <c r="F179" s="63"/>
      <c r="G179" s="63"/>
      <c r="H179" s="63"/>
      <c r="I179" s="63"/>
      <c r="J179" s="63"/>
      <c r="K179" s="63"/>
      <c r="L179" s="63"/>
      <c r="M179" s="63"/>
    </row>
    <row r="180" spans="1:13" s="1" customFormat="1">
      <c r="A180" s="64">
        <v>44491</v>
      </c>
      <c r="B180" s="65">
        <v>1205</v>
      </c>
      <c r="C180" s="66">
        <v>20223</v>
      </c>
      <c r="D180" s="67">
        <v>2</v>
      </c>
      <c r="E180" s="67">
        <v>20</v>
      </c>
      <c r="F180" s="63"/>
      <c r="G180" s="63"/>
      <c r="H180" s="63"/>
      <c r="I180" s="63"/>
      <c r="J180" s="63"/>
      <c r="K180" s="63"/>
      <c r="L180" s="63"/>
      <c r="M180" s="63"/>
    </row>
    <row r="181" spans="1:13" s="1" customFormat="1">
      <c r="A181" s="64">
        <v>44492</v>
      </c>
      <c r="B181" s="65">
        <v>749</v>
      </c>
      <c r="C181" s="66">
        <v>23382</v>
      </c>
      <c r="D181" s="67">
        <v>2</v>
      </c>
      <c r="E181" s="67">
        <v>20</v>
      </c>
      <c r="F181" s="63"/>
      <c r="G181" s="63"/>
      <c r="H181" s="63"/>
      <c r="I181" s="63"/>
      <c r="J181" s="63"/>
      <c r="K181" s="63"/>
      <c r="L181" s="63"/>
      <c r="M181" s="63"/>
    </row>
    <row r="182" spans="1:13" s="1" customFormat="1">
      <c r="A182" s="64">
        <v>44493</v>
      </c>
      <c r="B182" s="65">
        <v>966</v>
      </c>
      <c r="C182" s="66">
        <v>16741</v>
      </c>
      <c r="D182" s="67">
        <v>2</v>
      </c>
      <c r="E182" s="67">
        <v>20</v>
      </c>
      <c r="F182" s="63"/>
      <c r="G182" s="63"/>
      <c r="H182" s="63"/>
      <c r="I182" s="63"/>
      <c r="J182" s="63"/>
      <c r="K182" s="63"/>
      <c r="L182" s="63"/>
      <c r="M182" s="63"/>
    </row>
    <row r="183" spans="1:13" s="1" customFormat="1">
      <c r="A183" s="64">
        <v>44494</v>
      </c>
      <c r="B183" s="65">
        <v>969</v>
      </c>
      <c r="C183" s="66">
        <v>7922</v>
      </c>
      <c r="D183" s="67">
        <v>1.5</v>
      </c>
      <c r="E183" s="67">
        <v>30</v>
      </c>
      <c r="F183" s="63"/>
      <c r="G183" s="63"/>
      <c r="H183" s="63"/>
      <c r="I183" s="63"/>
      <c r="J183" s="63"/>
      <c r="K183" s="63"/>
      <c r="L183" s="63"/>
      <c r="M183" s="63"/>
    </row>
    <row r="184" spans="1:13" s="1" customFormat="1">
      <c r="A184" s="64">
        <v>44495</v>
      </c>
      <c r="B184" s="65">
        <v>783</v>
      </c>
      <c r="C184" s="66">
        <v>23506</v>
      </c>
      <c r="D184" s="67">
        <v>1.5</v>
      </c>
      <c r="E184" s="67">
        <v>30</v>
      </c>
      <c r="F184" s="63"/>
      <c r="G184" s="63"/>
      <c r="H184" s="63"/>
      <c r="I184" s="63"/>
      <c r="J184" s="63"/>
      <c r="K184" s="63"/>
      <c r="L184" s="63"/>
      <c r="M184" s="63"/>
    </row>
    <row r="185" spans="1:13" s="1" customFormat="1">
      <c r="A185" s="64">
        <v>44496</v>
      </c>
      <c r="B185" s="65">
        <v>1140</v>
      </c>
      <c r="C185" s="66">
        <v>23035</v>
      </c>
      <c r="D185" s="67">
        <v>1.5</v>
      </c>
      <c r="E185" s="67">
        <v>30</v>
      </c>
      <c r="F185" s="63"/>
      <c r="G185" s="63"/>
      <c r="H185" s="63"/>
      <c r="I185" s="63"/>
      <c r="J185" s="63"/>
      <c r="K185" s="63"/>
      <c r="L185" s="63"/>
      <c r="M185" s="63"/>
    </row>
    <row r="186" spans="1:13" s="1" customFormat="1">
      <c r="A186" s="64">
        <v>44497</v>
      </c>
      <c r="B186" s="65">
        <v>1069</v>
      </c>
      <c r="C186" s="66">
        <v>36248</v>
      </c>
      <c r="D186" s="67">
        <v>1.5</v>
      </c>
      <c r="E186" s="67">
        <v>30</v>
      </c>
      <c r="F186" s="63"/>
      <c r="G186" s="63"/>
      <c r="H186" s="63"/>
      <c r="I186" s="63"/>
      <c r="J186" s="63"/>
      <c r="K186" s="63"/>
      <c r="L186" s="63"/>
      <c r="M186" s="63"/>
    </row>
    <row r="187" spans="1:13" s="1" customFormat="1">
      <c r="A187" s="64">
        <v>44498</v>
      </c>
      <c r="B187" s="65">
        <v>977</v>
      </c>
      <c r="C187" s="66">
        <v>68863</v>
      </c>
      <c r="D187" s="67">
        <v>1.5</v>
      </c>
      <c r="E187" s="67">
        <v>30</v>
      </c>
      <c r="F187" s="63"/>
      <c r="G187" s="63"/>
      <c r="H187" s="63"/>
      <c r="I187" s="63"/>
      <c r="J187" s="63"/>
      <c r="K187" s="63"/>
      <c r="L187" s="63"/>
      <c r="M187" s="63"/>
    </row>
    <row r="188" spans="1:13" s="1" customFormat="1">
      <c r="A188" s="64">
        <v>44499</v>
      </c>
      <c r="B188" s="65">
        <v>1042</v>
      </c>
      <c r="C188" s="66">
        <v>68996</v>
      </c>
      <c r="D188" s="67">
        <v>1.5</v>
      </c>
      <c r="E188" s="67">
        <v>30</v>
      </c>
      <c r="F188" s="63"/>
      <c r="G188" s="63"/>
      <c r="H188" s="63"/>
      <c r="I188" s="63"/>
      <c r="J188" s="63"/>
      <c r="K188" s="63"/>
      <c r="L188" s="63"/>
      <c r="M188" s="63"/>
    </row>
    <row r="189" spans="1:13" s="1" customFormat="1">
      <c r="A189" s="64">
        <v>44500</v>
      </c>
      <c r="B189" s="65">
        <v>1041</v>
      </c>
      <c r="C189" s="66">
        <v>32272</v>
      </c>
      <c r="D189" s="67">
        <v>1.5</v>
      </c>
      <c r="E189" s="67">
        <v>30</v>
      </c>
      <c r="F189" s="63"/>
      <c r="G189" s="63"/>
      <c r="H189" s="63"/>
      <c r="I189" s="63"/>
      <c r="J189" s="63"/>
      <c r="K189" s="63"/>
      <c r="L189" s="63"/>
      <c r="M189" s="63"/>
    </row>
    <row r="190" spans="1:13" s="1" customFormat="1">
      <c r="A190" s="64">
        <v>44501</v>
      </c>
      <c r="B190" s="65">
        <v>927</v>
      </c>
      <c r="C190" s="66">
        <v>27746</v>
      </c>
      <c r="D190" s="67">
        <v>1.5</v>
      </c>
      <c r="E190" s="67">
        <v>30</v>
      </c>
      <c r="F190" s="63"/>
      <c r="G190" s="63"/>
      <c r="H190" s="63"/>
      <c r="I190" s="63"/>
      <c r="J190" s="63"/>
      <c r="K190" s="63"/>
      <c r="L190" s="63"/>
      <c r="M190" s="63"/>
    </row>
    <row r="191" spans="1:13" s="1" customFormat="1">
      <c r="A191" s="64">
        <v>44502</v>
      </c>
      <c r="B191" s="65">
        <v>682</v>
      </c>
      <c r="C191" s="66">
        <v>29989</v>
      </c>
      <c r="D191" s="67">
        <v>1.5</v>
      </c>
      <c r="E191" s="67">
        <v>30</v>
      </c>
      <c r="F191" s="63"/>
      <c r="G191" s="63"/>
      <c r="H191" s="63"/>
      <c r="I191" s="63"/>
      <c r="J191" s="63"/>
      <c r="K191" s="63"/>
      <c r="L191" s="63"/>
      <c r="M191" s="63"/>
    </row>
    <row r="192" spans="1:13" s="1" customFormat="1">
      <c r="A192" s="64">
        <v>44503</v>
      </c>
      <c r="B192" s="65">
        <v>985</v>
      </c>
      <c r="C192" s="66">
        <v>26850</v>
      </c>
      <c r="D192" s="67">
        <v>1.5</v>
      </c>
      <c r="E192" s="67">
        <v>30</v>
      </c>
      <c r="F192" s="63"/>
      <c r="G192" s="63"/>
      <c r="H192" s="63"/>
      <c r="I192" s="63"/>
      <c r="J192" s="63"/>
      <c r="K192" s="63"/>
      <c r="L192" s="63"/>
      <c r="M192" s="63"/>
    </row>
    <row r="193" spans="1:13" s="1" customFormat="1">
      <c r="A193" s="64">
        <v>44504</v>
      </c>
      <c r="B193" s="65">
        <v>981</v>
      </c>
      <c r="C193" s="66">
        <v>24424</v>
      </c>
      <c r="D193" s="67">
        <v>1.5</v>
      </c>
      <c r="E193" s="67">
        <v>30</v>
      </c>
      <c r="F193" s="63"/>
      <c r="G193" s="63"/>
      <c r="H193" s="63"/>
      <c r="I193" s="63"/>
      <c r="J193" s="63"/>
      <c r="K193" s="63"/>
      <c r="L193" s="63"/>
      <c r="M193" s="63"/>
    </row>
    <row r="194" spans="1:13" s="1" customFormat="1">
      <c r="A194" s="64">
        <v>44505</v>
      </c>
      <c r="B194" s="65">
        <v>912</v>
      </c>
      <c r="C194" s="66">
        <v>21597</v>
      </c>
      <c r="D194" s="67">
        <v>1.5</v>
      </c>
      <c r="E194" s="67">
        <v>30</v>
      </c>
      <c r="F194" s="63"/>
      <c r="G194" s="63"/>
      <c r="H194" s="63"/>
      <c r="I194" s="63"/>
      <c r="J194" s="63"/>
      <c r="K194" s="63"/>
      <c r="L194" s="63"/>
      <c r="M194" s="63"/>
    </row>
    <row r="195" spans="1:13" s="1" customFormat="1">
      <c r="A195" s="64">
        <v>44506</v>
      </c>
      <c r="B195" s="65">
        <v>986</v>
      </c>
      <c r="C195" s="66">
        <v>26246</v>
      </c>
      <c r="D195" s="67">
        <v>1.5</v>
      </c>
      <c r="E195" s="67">
        <v>30</v>
      </c>
      <c r="F195" s="63"/>
      <c r="G195" s="63"/>
      <c r="H195" s="63"/>
      <c r="I195" s="63"/>
      <c r="J195" s="63"/>
      <c r="K195" s="63"/>
      <c r="L195" s="63"/>
      <c r="M195" s="63"/>
    </row>
    <row r="196" spans="1:13" s="1" customFormat="1">
      <c r="A196" s="64">
        <v>44507</v>
      </c>
      <c r="B196" s="65">
        <v>1009</v>
      </c>
      <c r="C196" s="66">
        <v>13830</v>
      </c>
      <c r="D196" s="67">
        <v>1.5</v>
      </c>
      <c r="E196" s="67">
        <v>30</v>
      </c>
      <c r="F196" s="63"/>
      <c r="G196" s="63"/>
      <c r="H196" s="63"/>
      <c r="I196" s="63"/>
      <c r="J196" s="63"/>
      <c r="K196" s="63"/>
      <c r="L196" s="63"/>
      <c r="M196" s="63"/>
    </row>
    <row r="197" spans="1:13" s="1" customFormat="1">
      <c r="A197" s="64">
        <v>44508</v>
      </c>
      <c r="B197" s="65">
        <v>1316</v>
      </c>
      <c r="C197" s="66">
        <v>5541</v>
      </c>
      <c r="D197" s="67">
        <v>1.5</v>
      </c>
      <c r="E197" s="67">
        <v>30</v>
      </c>
      <c r="F197" s="63"/>
      <c r="G197" s="63"/>
      <c r="H197" s="63"/>
      <c r="I197" s="63"/>
      <c r="J197" s="63"/>
      <c r="K197" s="63"/>
      <c r="L197" s="63"/>
      <c r="M197" s="63"/>
    </row>
    <row r="198" spans="1:13" s="1" customFormat="1">
      <c r="A198" s="64">
        <v>44509</v>
      </c>
      <c r="B198" s="65">
        <v>1276</v>
      </c>
      <c r="C198" s="66">
        <v>20730</v>
      </c>
      <c r="D198" s="67">
        <v>1.5</v>
      </c>
      <c r="E198" s="67">
        <v>30</v>
      </c>
      <c r="F198" s="63"/>
      <c r="G198" s="63"/>
      <c r="H198" s="63"/>
      <c r="I198" s="63"/>
      <c r="J198" s="63"/>
      <c r="K198" s="63"/>
      <c r="L198" s="63"/>
      <c r="M198" s="63"/>
    </row>
    <row r="199" spans="1:13" s="1" customFormat="1">
      <c r="A199" s="64">
        <v>44510</v>
      </c>
      <c r="B199" s="65">
        <v>1414</v>
      </c>
      <c r="C199" s="66">
        <v>15926</v>
      </c>
      <c r="D199" s="67">
        <v>1.5</v>
      </c>
      <c r="E199" s="67">
        <v>30</v>
      </c>
      <c r="F199" s="63"/>
      <c r="G199" s="63"/>
      <c r="H199" s="63"/>
      <c r="I199" s="63"/>
      <c r="J199" s="63"/>
      <c r="K199" s="63"/>
      <c r="L199" s="63"/>
      <c r="M199" s="63"/>
    </row>
    <row r="200" spans="1:13" s="1" customFormat="1">
      <c r="A200" s="64">
        <v>44511</v>
      </c>
      <c r="B200" s="65">
        <v>1185</v>
      </c>
      <c r="C200" s="66">
        <v>16297</v>
      </c>
      <c r="D200" s="67">
        <v>1.5</v>
      </c>
      <c r="E200" s="67">
        <v>30</v>
      </c>
      <c r="F200" s="63"/>
      <c r="G200" s="63"/>
      <c r="H200" s="63"/>
      <c r="I200" s="63"/>
      <c r="J200" s="63"/>
      <c r="K200" s="63"/>
      <c r="L200" s="63"/>
      <c r="M200" s="63"/>
    </row>
    <row r="201" spans="1:13" s="1" customFormat="1">
      <c r="A201" s="64">
        <v>44512</v>
      </c>
      <c r="B201" s="65">
        <v>1388</v>
      </c>
      <c r="C201" s="66">
        <v>46409</v>
      </c>
      <c r="D201" s="67">
        <v>1.5</v>
      </c>
      <c r="E201" s="67">
        <v>30</v>
      </c>
      <c r="F201" s="63"/>
      <c r="G201" s="63"/>
      <c r="H201" s="63"/>
      <c r="I201" s="63"/>
      <c r="J201" s="63"/>
      <c r="K201" s="63"/>
      <c r="L201" s="63"/>
      <c r="M201" s="63"/>
    </row>
    <row r="202" spans="1:13" s="1" customFormat="1">
      <c r="A202" s="64">
        <v>44513</v>
      </c>
      <c r="B202" s="65">
        <v>1240</v>
      </c>
      <c r="C202" s="66">
        <v>24596</v>
      </c>
      <c r="D202" s="67">
        <v>1.5</v>
      </c>
      <c r="E202" s="67">
        <v>30</v>
      </c>
      <c r="F202" s="63"/>
      <c r="G202" s="63"/>
      <c r="H202" s="63"/>
      <c r="I202" s="63"/>
      <c r="J202" s="63"/>
      <c r="K202" s="63"/>
      <c r="L202" s="63"/>
      <c r="M202" s="63"/>
    </row>
    <row r="203" spans="1:13" s="1" customFormat="1">
      <c r="A203" s="64">
        <v>44514</v>
      </c>
      <c r="B203" s="65">
        <v>985</v>
      </c>
      <c r="C203" s="66">
        <v>13743</v>
      </c>
      <c r="D203" s="67">
        <v>1.5</v>
      </c>
      <c r="E203" s="67">
        <v>30</v>
      </c>
      <c r="F203" s="63"/>
      <c r="G203" s="63"/>
      <c r="H203" s="63"/>
      <c r="I203" s="63"/>
      <c r="J203" s="63"/>
      <c r="K203" s="63"/>
      <c r="L203" s="63"/>
      <c r="M203" s="63"/>
    </row>
    <row r="204" spans="1:13" s="1" customFormat="1">
      <c r="A204" s="64">
        <v>44515</v>
      </c>
      <c r="B204" s="65">
        <v>1165</v>
      </c>
      <c r="C204" s="66">
        <v>4920</v>
      </c>
      <c r="D204" s="67">
        <v>1.5</v>
      </c>
      <c r="E204" s="67">
        <v>30</v>
      </c>
      <c r="F204" s="63"/>
      <c r="G204" s="63"/>
      <c r="H204" s="63"/>
      <c r="I204" s="63"/>
      <c r="J204" s="63"/>
      <c r="K204" s="63"/>
      <c r="L204" s="63"/>
      <c r="M204" s="63"/>
    </row>
    <row r="205" spans="1:13" s="1" customFormat="1">
      <c r="A205" s="64">
        <v>44516</v>
      </c>
      <c r="B205" s="65">
        <v>1183</v>
      </c>
      <c r="C205" s="66">
        <v>18184</v>
      </c>
      <c r="D205" s="67">
        <v>1.5</v>
      </c>
      <c r="E205" s="67">
        <v>30</v>
      </c>
      <c r="F205" s="63"/>
      <c r="G205" s="63"/>
      <c r="H205" s="63"/>
      <c r="I205" s="63"/>
      <c r="J205" s="63"/>
      <c r="K205" s="63"/>
      <c r="L205" s="63"/>
      <c r="M205" s="63"/>
    </row>
    <row r="206" spans="1:13" s="1" customFormat="1">
      <c r="A206" s="64">
        <v>44517</v>
      </c>
      <c r="B206" s="65">
        <v>1337</v>
      </c>
      <c r="C206" s="66">
        <v>39113</v>
      </c>
      <c r="D206" s="67">
        <v>1.5</v>
      </c>
      <c r="E206" s="67">
        <v>30</v>
      </c>
      <c r="F206" s="63"/>
      <c r="G206" s="63"/>
      <c r="H206" s="63"/>
      <c r="I206" s="63"/>
      <c r="J206" s="63"/>
      <c r="K206" s="63"/>
      <c r="L206" s="63"/>
      <c r="M206" s="63"/>
    </row>
    <row r="207" spans="1:13" s="1" customFormat="1">
      <c r="A207" s="64">
        <v>44518</v>
      </c>
      <c r="B207" s="65">
        <v>1609</v>
      </c>
      <c r="C207" s="66">
        <v>18451</v>
      </c>
      <c r="D207" s="67">
        <v>1.5</v>
      </c>
      <c r="E207" s="67">
        <v>30</v>
      </c>
      <c r="F207" s="63"/>
      <c r="G207" s="63"/>
      <c r="H207" s="63"/>
      <c r="I207" s="63"/>
      <c r="J207" s="63"/>
      <c r="K207" s="63"/>
      <c r="L207" s="63"/>
      <c r="M207" s="63"/>
    </row>
    <row r="208" spans="1:13" s="1" customFormat="1">
      <c r="A208" s="64">
        <v>44519</v>
      </c>
      <c r="B208" s="65">
        <v>1339</v>
      </c>
      <c r="C208" s="66">
        <v>19214</v>
      </c>
      <c r="D208" s="67">
        <v>1.5</v>
      </c>
      <c r="E208" s="67">
        <v>30</v>
      </c>
      <c r="F208" s="63"/>
      <c r="G208" s="63"/>
      <c r="H208" s="63"/>
      <c r="I208" s="63"/>
      <c r="J208" s="63"/>
      <c r="K208" s="63"/>
      <c r="L208" s="63"/>
      <c r="M208" s="63"/>
    </row>
    <row r="209" spans="1:13" s="1" customFormat="1">
      <c r="A209" s="64">
        <v>44520</v>
      </c>
      <c r="B209" s="86">
        <v>1046</v>
      </c>
      <c r="C209" s="66">
        <v>18328</v>
      </c>
      <c r="D209" s="67">
        <v>1</v>
      </c>
      <c r="E209" s="67">
        <v>50</v>
      </c>
      <c r="F209" s="63"/>
      <c r="G209" s="63"/>
      <c r="H209" s="63"/>
      <c r="I209" s="63"/>
      <c r="J209" s="63"/>
      <c r="K209" s="63"/>
      <c r="L209" s="63"/>
      <c r="M209" s="63"/>
    </row>
    <row r="210" spans="1:13" s="1" customFormat="1">
      <c r="A210" s="64">
        <v>44521</v>
      </c>
      <c r="B210" s="86">
        <v>1265</v>
      </c>
      <c r="C210" s="66">
        <v>9881</v>
      </c>
      <c r="D210" s="67">
        <v>1</v>
      </c>
      <c r="E210" s="67">
        <v>50</v>
      </c>
      <c r="F210" s="63"/>
      <c r="G210" s="63"/>
      <c r="H210" s="63"/>
      <c r="I210" s="63"/>
      <c r="J210" s="63"/>
      <c r="K210" s="63"/>
      <c r="L210" s="63"/>
      <c r="M210" s="63"/>
    </row>
    <row r="211" spans="1:13" s="1" customFormat="1">
      <c r="A211" s="64">
        <v>44522</v>
      </c>
      <c r="B211" s="86">
        <v>1547</v>
      </c>
      <c r="C211" s="66">
        <v>7754</v>
      </c>
      <c r="D211" s="67">
        <v>1</v>
      </c>
      <c r="E211" s="67">
        <v>50</v>
      </c>
      <c r="F211" s="63"/>
      <c r="G211" s="63"/>
      <c r="H211" s="63"/>
      <c r="I211" s="63"/>
      <c r="J211" s="63"/>
      <c r="K211" s="63"/>
      <c r="L211" s="63"/>
      <c r="M211" s="63"/>
    </row>
    <row r="212" spans="1:13" s="1" customFormat="1">
      <c r="A212" s="64">
        <v>44523</v>
      </c>
      <c r="B212" s="86">
        <v>1204</v>
      </c>
      <c r="C212" s="66">
        <v>23182</v>
      </c>
      <c r="D212" s="67">
        <v>1</v>
      </c>
      <c r="E212" s="67">
        <v>50</v>
      </c>
      <c r="F212" s="63"/>
      <c r="G212" s="63"/>
      <c r="H212" s="63"/>
      <c r="I212" s="63"/>
      <c r="J212" s="63"/>
      <c r="K212" s="63"/>
      <c r="L212" s="63"/>
      <c r="M212" s="63"/>
    </row>
    <row r="213" spans="1:13" s="1" customFormat="1">
      <c r="A213" s="3"/>
    </row>
    <row r="214" spans="1:13" s="1" customFormat="1">
      <c r="A214" s="3"/>
    </row>
  </sheetData>
  <mergeCells count="4">
    <mergeCell ref="W2:W10"/>
    <mergeCell ref="J13:L13"/>
    <mergeCell ref="G13:I13"/>
    <mergeCell ref="G17:I1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A4F7-D704-4D51-BDD2-CAF06EDE9D7E}">
  <dimension ref="A1:K214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25" defaultRowHeight="14.25"/>
  <cols>
    <col min="1" max="1" width="13.125" style="44" customWidth="1"/>
    <col min="2" max="2" width="16.25" style="44" customWidth="1"/>
    <col min="3" max="3" width="11.75" style="44" bestFit="1" customWidth="1"/>
    <col min="4" max="4" width="24.75" style="45" customWidth="1"/>
    <col min="5" max="5" width="18.75" style="44" customWidth="1"/>
    <col min="6" max="6" width="14.875" style="44" customWidth="1"/>
    <col min="7" max="7" width="26.375" style="44" bestFit="1" customWidth="1"/>
    <col min="8" max="8" width="22.25" style="45" customWidth="1"/>
    <col min="9" max="9" width="22.875" style="45" customWidth="1"/>
    <col min="10" max="10" width="9.875" style="44" customWidth="1"/>
    <col min="11" max="11" width="10.875" style="44" customWidth="1"/>
    <col min="12" max="12" width="10.125" style="44" customWidth="1"/>
    <col min="13" max="16384" width="9.125" style="44"/>
  </cols>
  <sheetData>
    <row r="1" spans="1:11" ht="16.5">
      <c r="A1" s="51" t="s">
        <v>104</v>
      </c>
      <c r="B1" s="51"/>
      <c r="C1" s="51"/>
      <c r="D1" s="52"/>
      <c r="E1" s="51"/>
      <c r="F1" s="51">
        <f>D4/7200000*100000</f>
        <v>111.7638888888889</v>
      </c>
      <c r="G1" s="51"/>
      <c r="H1" s="52"/>
      <c r="I1" s="52"/>
      <c r="J1" s="53"/>
      <c r="K1" s="53"/>
    </row>
    <row r="2" spans="1:11">
      <c r="A2" s="53"/>
      <c r="B2" s="53"/>
      <c r="C2" s="53"/>
      <c r="E2" s="53"/>
      <c r="F2" s="53"/>
      <c r="G2" s="53"/>
      <c r="J2" s="54">
        <f>SUM(J6:J214)</f>
        <v>632469.07012503268</v>
      </c>
      <c r="K2" s="54"/>
    </row>
    <row r="3" spans="1:11" s="49" customFormat="1">
      <c r="A3" s="46" t="s">
        <v>14</v>
      </c>
      <c r="B3" s="47" t="s">
        <v>34</v>
      </c>
      <c r="C3" s="47" t="s">
        <v>102</v>
      </c>
      <c r="D3" s="48" t="s">
        <v>105</v>
      </c>
      <c r="E3" s="46" t="s">
        <v>32</v>
      </c>
      <c r="F3" s="46" t="s">
        <v>33</v>
      </c>
      <c r="G3" s="48" t="s">
        <v>31</v>
      </c>
      <c r="H3" s="48" t="s">
        <v>30</v>
      </c>
      <c r="I3" s="48" t="s">
        <v>29</v>
      </c>
      <c r="J3" s="48" t="s">
        <v>35</v>
      </c>
      <c r="K3" s="48" t="s">
        <v>80</v>
      </c>
    </row>
    <row r="4" spans="1:11" ht="15">
      <c r="A4" s="55">
        <v>44313</v>
      </c>
      <c r="B4" s="56">
        <v>0</v>
      </c>
      <c r="C4" s="56">
        <f>B4*4</f>
        <v>0</v>
      </c>
      <c r="D4" s="57">
        <v>8047</v>
      </c>
      <c r="E4" s="58">
        <v>2</v>
      </c>
      <c r="F4" s="58">
        <v>30</v>
      </c>
      <c r="G4" s="59"/>
      <c r="H4" s="60"/>
      <c r="I4" s="60">
        <f>B4</f>
        <v>0</v>
      </c>
      <c r="J4" s="60">
        <f t="shared" ref="J4:J67" si="0">SQRT((I4-B4)^2/209)</f>
        <v>0</v>
      </c>
      <c r="K4" s="60">
        <f t="shared" ref="K4:K67" si="1">H4-B4</f>
        <v>0</v>
      </c>
    </row>
    <row r="5" spans="1:11" ht="15">
      <c r="A5" s="55">
        <v>44314</v>
      </c>
      <c r="B5" s="56">
        <v>0</v>
      </c>
      <c r="C5" s="56">
        <f t="shared" ref="C5:C68" si="2">B5*4</f>
        <v>0</v>
      </c>
      <c r="D5" s="57">
        <v>7995.7619047619037</v>
      </c>
      <c r="E5" s="58">
        <v>2</v>
      </c>
      <c r="F5" s="58">
        <v>30</v>
      </c>
      <c r="G5" s="59"/>
      <c r="H5" s="60"/>
      <c r="I5" s="60">
        <f>B5</f>
        <v>0</v>
      </c>
      <c r="J5" s="60">
        <f t="shared" si="0"/>
        <v>0</v>
      </c>
      <c r="K5" s="60">
        <f t="shared" si="1"/>
        <v>0</v>
      </c>
    </row>
    <row r="6" spans="1:11" ht="15">
      <c r="A6" s="55">
        <v>44315</v>
      </c>
      <c r="B6" s="56">
        <v>1</v>
      </c>
      <c r="C6" s="56">
        <f t="shared" si="2"/>
        <v>4</v>
      </c>
      <c r="D6" s="57">
        <v>8043.3809523809514</v>
      </c>
      <c r="E6" s="58">
        <v>2</v>
      </c>
      <c r="F6" s="58">
        <v>30</v>
      </c>
      <c r="G6" s="59">
        <f t="shared" ref="G6:G37" si="3">10.4+B5-0.6276*(B5-B4)</f>
        <v>10.4</v>
      </c>
      <c r="H6" s="60">
        <f t="shared" ref="H6:H69" si="4">0.674*D4+1.112*E4-0.786*F4</f>
        <v>5402.322000000001</v>
      </c>
      <c r="I6" s="60">
        <f>SUM(G6:H6)</f>
        <v>5412.7220000000007</v>
      </c>
      <c r="J6" s="60">
        <f t="shared" si="0"/>
        <v>374.33663818222419</v>
      </c>
      <c r="K6" s="60">
        <f t="shared" si="1"/>
        <v>5401.322000000001</v>
      </c>
    </row>
    <row r="7" spans="1:11" ht="15">
      <c r="A7" s="55">
        <v>44316</v>
      </c>
      <c r="B7" s="56">
        <v>2</v>
      </c>
      <c r="C7" s="56">
        <f t="shared" si="2"/>
        <v>8</v>
      </c>
      <c r="D7" s="57">
        <v>7520.4285714285697</v>
      </c>
      <c r="E7" s="58">
        <v>2</v>
      </c>
      <c r="F7" s="58">
        <v>30</v>
      </c>
      <c r="G7" s="59">
        <f t="shared" si="3"/>
        <v>10.772400000000001</v>
      </c>
      <c r="H7" s="60">
        <f t="shared" si="4"/>
        <v>5367.7875238095239</v>
      </c>
      <c r="I7" s="60">
        <f t="shared" ref="I7:I70" si="5">SUM(G7:H7)</f>
        <v>5378.5599238095238</v>
      </c>
      <c r="J7" s="60">
        <f t="shared" si="0"/>
        <v>371.90442651417283</v>
      </c>
      <c r="K7" s="60">
        <f t="shared" si="1"/>
        <v>5365.7875238095239</v>
      </c>
    </row>
    <row r="8" spans="1:11" ht="15">
      <c r="A8" s="55">
        <v>44317</v>
      </c>
      <c r="B8" s="56">
        <v>3</v>
      </c>
      <c r="C8" s="56">
        <f t="shared" si="2"/>
        <v>12</v>
      </c>
      <c r="D8" s="57">
        <v>7054.8571428571404</v>
      </c>
      <c r="E8" s="58">
        <v>2</v>
      </c>
      <c r="F8" s="58">
        <v>30</v>
      </c>
      <c r="G8" s="59">
        <f t="shared" si="3"/>
        <v>11.772400000000001</v>
      </c>
      <c r="H8" s="60">
        <f t="shared" si="4"/>
        <v>5399.8827619047615</v>
      </c>
      <c r="I8" s="60">
        <f t="shared" si="5"/>
        <v>5411.6551619047614</v>
      </c>
      <c r="J8" s="60">
        <f t="shared" si="0"/>
        <v>374.12450055534288</v>
      </c>
      <c r="K8" s="60">
        <f t="shared" si="1"/>
        <v>5396.8827619047615</v>
      </c>
    </row>
    <row r="9" spans="1:11" ht="15">
      <c r="A9" s="55">
        <v>44318</v>
      </c>
      <c r="B9" s="56">
        <v>0</v>
      </c>
      <c r="C9" s="56">
        <f t="shared" si="2"/>
        <v>0</v>
      </c>
      <c r="D9" s="57">
        <v>6443.1428571428551</v>
      </c>
      <c r="E9" s="58">
        <v>2</v>
      </c>
      <c r="F9" s="58">
        <v>30</v>
      </c>
      <c r="G9" s="59">
        <f t="shared" si="3"/>
        <v>12.772400000000001</v>
      </c>
      <c r="H9" s="60">
        <f t="shared" si="4"/>
        <v>5047.4128571428564</v>
      </c>
      <c r="I9" s="60">
        <f t="shared" si="5"/>
        <v>5060.1852571428562</v>
      </c>
      <c r="J9" s="60">
        <f t="shared" si="0"/>
        <v>350.02033322075857</v>
      </c>
      <c r="K9" s="60">
        <f t="shared" si="1"/>
        <v>5047.4128571428564</v>
      </c>
    </row>
    <row r="10" spans="1:11" ht="15">
      <c r="A10" s="55">
        <v>44319</v>
      </c>
      <c r="B10" s="56">
        <v>0</v>
      </c>
      <c r="C10" s="56">
        <f t="shared" si="2"/>
        <v>0</v>
      </c>
      <c r="D10" s="57">
        <v>3423.5714285714266</v>
      </c>
      <c r="E10" s="58">
        <v>2</v>
      </c>
      <c r="F10" s="58">
        <v>30</v>
      </c>
      <c r="G10" s="59">
        <f t="shared" si="3"/>
        <v>12.2828</v>
      </c>
      <c r="H10" s="60">
        <f t="shared" si="4"/>
        <v>4733.6177142857132</v>
      </c>
      <c r="I10" s="60">
        <f t="shared" si="5"/>
        <v>4745.9005142857131</v>
      </c>
      <c r="J10" s="60">
        <f t="shared" si="0"/>
        <v>328.280802980087</v>
      </c>
      <c r="K10" s="60">
        <f t="shared" si="1"/>
        <v>4733.6177142857132</v>
      </c>
    </row>
    <row r="11" spans="1:11" ht="15">
      <c r="A11" s="55">
        <v>44320</v>
      </c>
      <c r="B11" s="56">
        <v>3</v>
      </c>
      <c r="C11" s="56">
        <f t="shared" si="2"/>
        <v>12</v>
      </c>
      <c r="D11" s="57">
        <v>1041.999999999998</v>
      </c>
      <c r="E11" s="58">
        <v>2</v>
      </c>
      <c r="F11" s="58">
        <v>30</v>
      </c>
      <c r="G11" s="59">
        <f t="shared" si="3"/>
        <v>10.4</v>
      </c>
      <c r="H11" s="60">
        <f t="shared" si="4"/>
        <v>4321.3222857142846</v>
      </c>
      <c r="I11" s="60">
        <f t="shared" si="5"/>
        <v>4331.7222857142842</v>
      </c>
      <c r="J11" s="60">
        <f t="shared" si="0"/>
        <v>299.42398150879853</v>
      </c>
      <c r="K11" s="60">
        <f t="shared" si="1"/>
        <v>4318.3222857142846</v>
      </c>
    </row>
    <row r="12" spans="1:11" ht="15">
      <c r="A12" s="55">
        <v>44321</v>
      </c>
      <c r="B12" s="56">
        <v>1</v>
      </c>
      <c r="C12" s="56">
        <f t="shared" si="2"/>
        <v>4</v>
      </c>
      <c r="D12" s="57">
        <v>1556.3809523809509</v>
      </c>
      <c r="E12" s="58">
        <v>2</v>
      </c>
      <c r="F12" s="58">
        <v>30</v>
      </c>
      <c r="G12" s="59">
        <f t="shared" si="3"/>
        <v>11.517200000000001</v>
      </c>
      <c r="H12" s="60">
        <f t="shared" si="4"/>
        <v>2286.1311428571421</v>
      </c>
      <c r="I12" s="60">
        <f t="shared" si="5"/>
        <v>2297.6483428571419</v>
      </c>
      <c r="J12" s="60">
        <f t="shared" si="0"/>
        <v>158.86248771683367</v>
      </c>
      <c r="K12" s="60">
        <f t="shared" si="1"/>
        <v>2285.1311428571421</v>
      </c>
    </row>
    <row r="13" spans="1:11" ht="15">
      <c r="A13" s="55">
        <v>44322</v>
      </c>
      <c r="B13" s="56">
        <v>0</v>
      </c>
      <c r="C13" s="56">
        <f t="shared" si="2"/>
        <v>0</v>
      </c>
      <c r="D13" s="57">
        <v>1734.4761904761897</v>
      </c>
      <c r="E13" s="58">
        <v>2</v>
      </c>
      <c r="F13" s="58">
        <v>30</v>
      </c>
      <c r="G13" s="59">
        <f t="shared" si="3"/>
        <v>12.655200000000001</v>
      </c>
      <c r="H13" s="60">
        <f t="shared" si="4"/>
        <v>680.95199999999863</v>
      </c>
      <c r="I13" s="60">
        <f t="shared" si="5"/>
        <v>693.60719999999867</v>
      </c>
      <c r="J13" s="60">
        <f t="shared" si="0"/>
        <v>47.977813248164829</v>
      </c>
      <c r="K13" s="60">
        <f t="shared" si="1"/>
        <v>680.95199999999863</v>
      </c>
    </row>
    <row r="14" spans="1:11" ht="15">
      <c r="A14" s="55">
        <v>44323</v>
      </c>
      <c r="B14" s="56">
        <v>2</v>
      </c>
      <c r="C14" s="56">
        <f t="shared" si="2"/>
        <v>8</v>
      </c>
      <c r="D14" s="57">
        <v>1906.1428571428571</v>
      </c>
      <c r="E14" s="58">
        <v>2</v>
      </c>
      <c r="F14" s="58">
        <v>30</v>
      </c>
      <c r="G14" s="59">
        <f t="shared" si="3"/>
        <v>11.0276</v>
      </c>
      <c r="H14" s="60">
        <f t="shared" si="4"/>
        <v>1027.644761904761</v>
      </c>
      <c r="I14" s="60">
        <f t="shared" si="5"/>
        <v>1038.6723619047609</v>
      </c>
      <c r="J14" s="60">
        <f t="shared" si="0"/>
        <v>71.708126701972901</v>
      </c>
      <c r="K14" s="60">
        <f t="shared" si="1"/>
        <v>1025.644761904761</v>
      </c>
    </row>
    <row r="15" spans="1:11" ht="15">
      <c r="A15" s="55">
        <v>44324</v>
      </c>
      <c r="B15" s="56">
        <v>1</v>
      </c>
      <c r="C15" s="56">
        <f t="shared" si="2"/>
        <v>4</v>
      </c>
      <c r="D15" s="57">
        <v>1982.2857142857142</v>
      </c>
      <c r="E15" s="58">
        <v>2</v>
      </c>
      <c r="F15" s="58">
        <v>30</v>
      </c>
      <c r="G15" s="59">
        <f t="shared" si="3"/>
        <v>11.1448</v>
      </c>
      <c r="H15" s="60">
        <f t="shared" si="4"/>
        <v>1147.680952380952</v>
      </c>
      <c r="I15" s="60">
        <f t="shared" si="5"/>
        <v>1158.8257523809521</v>
      </c>
      <c r="J15" s="60">
        <f t="shared" si="0"/>
        <v>80.088481955852473</v>
      </c>
      <c r="K15" s="60">
        <f t="shared" si="1"/>
        <v>1146.680952380952</v>
      </c>
    </row>
    <row r="16" spans="1:11" ht="15">
      <c r="A16" s="55">
        <v>44325</v>
      </c>
      <c r="B16" s="56">
        <v>0</v>
      </c>
      <c r="C16" s="56">
        <f t="shared" si="2"/>
        <v>0</v>
      </c>
      <c r="D16" s="57">
        <v>1963.5714285714287</v>
      </c>
      <c r="E16" s="58">
        <v>2</v>
      </c>
      <c r="F16" s="58">
        <v>30</v>
      </c>
      <c r="G16" s="59">
        <f t="shared" si="3"/>
        <v>12.0276</v>
      </c>
      <c r="H16" s="60">
        <f t="shared" si="4"/>
        <v>1263.3842857142859</v>
      </c>
      <c r="I16" s="60">
        <f t="shared" si="5"/>
        <v>1275.4118857142857</v>
      </c>
      <c r="J16" s="60">
        <f t="shared" si="0"/>
        <v>88.222084873527649</v>
      </c>
      <c r="K16" s="60">
        <f t="shared" si="1"/>
        <v>1263.3842857142859</v>
      </c>
    </row>
    <row r="17" spans="1:11" ht="15">
      <c r="A17" s="55">
        <v>44326</v>
      </c>
      <c r="B17" s="56">
        <v>0</v>
      </c>
      <c r="C17" s="56">
        <f t="shared" si="2"/>
        <v>0</v>
      </c>
      <c r="D17" s="57">
        <v>1787</v>
      </c>
      <c r="E17" s="58">
        <v>2</v>
      </c>
      <c r="F17" s="58">
        <v>30</v>
      </c>
      <c r="G17" s="59">
        <f t="shared" si="3"/>
        <v>11.0276</v>
      </c>
      <c r="H17" s="60">
        <f t="shared" si="4"/>
        <v>1314.7045714285714</v>
      </c>
      <c r="I17" s="60">
        <f t="shared" si="5"/>
        <v>1325.7321714285713</v>
      </c>
      <c r="J17" s="60">
        <f t="shared" si="0"/>
        <v>91.702811818972123</v>
      </c>
      <c r="K17" s="60">
        <f t="shared" si="1"/>
        <v>1314.7045714285714</v>
      </c>
    </row>
    <row r="18" spans="1:11" ht="15">
      <c r="A18" s="55">
        <v>44327</v>
      </c>
      <c r="B18" s="56">
        <v>3</v>
      </c>
      <c r="C18" s="56">
        <f t="shared" si="2"/>
        <v>12</v>
      </c>
      <c r="D18" s="57">
        <v>1437.1428571428571</v>
      </c>
      <c r="E18" s="58">
        <v>2</v>
      </c>
      <c r="F18" s="58">
        <v>30</v>
      </c>
      <c r="G18" s="59">
        <f t="shared" si="3"/>
        <v>10.4</v>
      </c>
      <c r="H18" s="60">
        <f t="shared" si="4"/>
        <v>1302.091142857143</v>
      </c>
      <c r="I18" s="60">
        <f t="shared" si="5"/>
        <v>1312.4911428571431</v>
      </c>
      <c r="J18" s="60">
        <f t="shared" si="0"/>
        <v>90.579396381880201</v>
      </c>
      <c r="K18" s="60">
        <f t="shared" si="1"/>
        <v>1299.091142857143</v>
      </c>
    </row>
    <row r="19" spans="1:11" ht="15">
      <c r="A19" s="55">
        <v>44328</v>
      </c>
      <c r="B19" s="56">
        <v>0</v>
      </c>
      <c r="C19" s="56">
        <f t="shared" si="2"/>
        <v>0</v>
      </c>
      <c r="D19" s="57">
        <v>970.57142857142856</v>
      </c>
      <c r="E19" s="58">
        <v>2</v>
      </c>
      <c r="F19" s="58">
        <v>30</v>
      </c>
      <c r="G19" s="59">
        <f t="shared" si="3"/>
        <v>11.517200000000001</v>
      </c>
      <c r="H19" s="60">
        <f t="shared" si="4"/>
        <v>1183.0820000000001</v>
      </c>
      <c r="I19" s="60">
        <f t="shared" si="5"/>
        <v>1194.5992000000001</v>
      </c>
      <c r="J19" s="60">
        <f t="shared" si="0"/>
        <v>82.632154516284174</v>
      </c>
      <c r="K19" s="60">
        <f t="shared" si="1"/>
        <v>1183.0820000000001</v>
      </c>
    </row>
    <row r="20" spans="1:11" ht="15">
      <c r="A20" s="55">
        <v>44329</v>
      </c>
      <c r="B20" s="56">
        <v>0</v>
      </c>
      <c r="C20" s="56">
        <f t="shared" si="2"/>
        <v>0</v>
      </c>
      <c r="D20" s="57">
        <v>822</v>
      </c>
      <c r="E20" s="58">
        <v>2</v>
      </c>
      <c r="F20" s="58">
        <v>30</v>
      </c>
      <c r="G20" s="59">
        <f t="shared" si="3"/>
        <v>12.2828</v>
      </c>
      <c r="H20" s="60">
        <f t="shared" si="4"/>
        <v>947.27828571428574</v>
      </c>
      <c r="I20" s="60">
        <f t="shared" si="5"/>
        <v>959.5610857142857</v>
      </c>
      <c r="J20" s="60">
        <f t="shared" si="0"/>
        <v>66.374228195160569</v>
      </c>
      <c r="K20" s="60">
        <f t="shared" si="1"/>
        <v>947.27828571428574</v>
      </c>
    </row>
    <row r="21" spans="1:11" ht="15">
      <c r="A21" s="55">
        <v>44330</v>
      </c>
      <c r="B21" s="56">
        <v>0</v>
      </c>
      <c r="C21" s="56">
        <f t="shared" si="2"/>
        <v>0</v>
      </c>
      <c r="D21" s="57">
        <v>831.42857142857144</v>
      </c>
      <c r="E21" s="58">
        <v>2</v>
      </c>
      <c r="F21" s="58">
        <v>30</v>
      </c>
      <c r="G21" s="59">
        <f t="shared" si="3"/>
        <v>10.4</v>
      </c>
      <c r="H21" s="60">
        <f t="shared" si="4"/>
        <v>632.80914285714289</v>
      </c>
      <c r="I21" s="60">
        <f t="shared" si="5"/>
        <v>643.20914285714287</v>
      </c>
      <c r="J21" s="60">
        <f t="shared" si="0"/>
        <v>44.491706740518602</v>
      </c>
      <c r="K21" s="60">
        <f t="shared" si="1"/>
        <v>632.80914285714289</v>
      </c>
    </row>
    <row r="22" spans="1:11" ht="15">
      <c r="A22" s="55">
        <v>44331</v>
      </c>
      <c r="B22" s="56">
        <v>0</v>
      </c>
      <c r="C22" s="56">
        <f t="shared" si="2"/>
        <v>0</v>
      </c>
      <c r="D22" s="57">
        <v>899</v>
      </c>
      <c r="E22" s="58">
        <v>2</v>
      </c>
      <c r="F22" s="58">
        <v>30</v>
      </c>
      <c r="G22" s="59">
        <f t="shared" si="3"/>
        <v>10.4</v>
      </c>
      <c r="H22" s="60">
        <f t="shared" si="4"/>
        <v>532.67200000000003</v>
      </c>
      <c r="I22" s="60">
        <f t="shared" si="5"/>
        <v>543.072</v>
      </c>
      <c r="J22" s="60">
        <f t="shared" si="0"/>
        <v>37.56507573206769</v>
      </c>
      <c r="K22" s="60">
        <f t="shared" si="1"/>
        <v>532.67200000000003</v>
      </c>
    </row>
    <row r="23" spans="1:11" ht="15">
      <c r="A23" s="55">
        <v>44332</v>
      </c>
      <c r="B23" s="56">
        <v>0</v>
      </c>
      <c r="C23" s="56">
        <f t="shared" si="2"/>
        <v>0</v>
      </c>
      <c r="D23" s="57">
        <v>902.84453781512696</v>
      </c>
      <c r="E23" s="58">
        <v>2</v>
      </c>
      <c r="F23" s="58">
        <v>30</v>
      </c>
      <c r="G23" s="59">
        <f t="shared" si="3"/>
        <v>10.4</v>
      </c>
      <c r="H23" s="60">
        <f t="shared" si="4"/>
        <v>539.02685714285724</v>
      </c>
      <c r="I23" s="60">
        <f t="shared" si="5"/>
        <v>549.42685714285722</v>
      </c>
      <c r="J23" s="60">
        <f t="shared" si="0"/>
        <v>38.004650392219389</v>
      </c>
      <c r="K23" s="60">
        <f t="shared" si="1"/>
        <v>539.02685714285724</v>
      </c>
    </row>
    <row r="24" spans="1:11" ht="15">
      <c r="A24" s="55">
        <v>44333</v>
      </c>
      <c r="B24" s="56">
        <v>2</v>
      </c>
      <c r="C24" s="56">
        <f t="shared" si="2"/>
        <v>8</v>
      </c>
      <c r="D24" s="57">
        <v>871.26050420168235</v>
      </c>
      <c r="E24" s="58">
        <v>2</v>
      </c>
      <c r="F24" s="58">
        <v>30</v>
      </c>
      <c r="G24" s="59">
        <f t="shared" si="3"/>
        <v>10.4</v>
      </c>
      <c r="H24" s="60">
        <f t="shared" si="4"/>
        <v>584.57000000000005</v>
      </c>
      <c r="I24" s="60">
        <f t="shared" si="5"/>
        <v>594.97</v>
      </c>
      <c r="J24" s="60">
        <f t="shared" si="0"/>
        <v>41.016592563866631</v>
      </c>
      <c r="K24" s="60">
        <f t="shared" si="1"/>
        <v>582.57000000000005</v>
      </c>
    </row>
    <row r="25" spans="1:11" ht="15">
      <c r="A25" s="55">
        <v>44334</v>
      </c>
      <c r="B25" s="56">
        <v>1</v>
      </c>
      <c r="C25" s="56">
        <f t="shared" si="2"/>
        <v>4</v>
      </c>
      <c r="D25" s="57">
        <v>632.39075630252353</v>
      </c>
      <c r="E25" s="58">
        <v>2</v>
      </c>
      <c r="F25" s="58">
        <v>30</v>
      </c>
      <c r="G25" s="59">
        <f t="shared" si="3"/>
        <v>11.1448</v>
      </c>
      <c r="H25" s="60">
        <f t="shared" si="4"/>
        <v>587.16121848739556</v>
      </c>
      <c r="I25" s="60">
        <f t="shared" si="5"/>
        <v>598.30601848739559</v>
      </c>
      <c r="J25" s="60">
        <f t="shared" si="0"/>
        <v>41.316521234198852</v>
      </c>
      <c r="K25" s="60">
        <f t="shared" si="1"/>
        <v>586.16121848739556</v>
      </c>
    </row>
    <row r="26" spans="1:11" ht="15">
      <c r="A26" s="55">
        <v>44335</v>
      </c>
      <c r="B26" s="56">
        <v>1</v>
      </c>
      <c r="C26" s="56">
        <f t="shared" si="2"/>
        <v>4</v>
      </c>
      <c r="D26" s="57">
        <v>566.09243697479337</v>
      </c>
      <c r="E26" s="58">
        <v>2</v>
      </c>
      <c r="F26" s="58">
        <v>30</v>
      </c>
      <c r="G26" s="59">
        <f t="shared" si="3"/>
        <v>12.0276</v>
      </c>
      <c r="H26" s="60">
        <f t="shared" si="4"/>
        <v>565.87357983193397</v>
      </c>
      <c r="I26" s="60">
        <f t="shared" si="5"/>
        <v>577.90117983193397</v>
      </c>
      <c r="J26" s="60">
        <f t="shared" si="0"/>
        <v>39.905089031115217</v>
      </c>
      <c r="K26" s="60">
        <f t="shared" si="1"/>
        <v>564.87357983193397</v>
      </c>
    </row>
    <row r="27" spans="1:11" ht="15">
      <c r="A27" s="55">
        <v>44336</v>
      </c>
      <c r="B27" s="56">
        <v>3</v>
      </c>
      <c r="C27" s="56">
        <f t="shared" si="2"/>
        <v>12</v>
      </c>
      <c r="D27" s="57">
        <v>518.07983193277744</v>
      </c>
      <c r="E27" s="58">
        <v>2</v>
      </c>
      <c r="F27" s="58">
        <v>30</v>
      </c>
      <c r="G27" s="59">
        <f t="shared" si="3"/>
        <v>11.4</v>
      </c>
      <c r="H27" s="60">
        <f t="shared" si="4"/>
        <v>404.87536974790089</v>
      </c>
      <c r="I27" s="60">
        <f t="shared" si="5"/>
        <v>416.27536974790087</v>
      </c>
      <c r="J27" s="60">
        <f t="shared" si="0"/>
        <v>28.586855081422303</v>
      </c>
      <c r="K27" s="60">
        <f t="shared" si="1"/>
        <v>401.87536974790089</v>
      </c>
    </row>
    <row r="28" spans="1:11" ht="15">
      <c r="A28" s="55">
        <v>44337</v>
      </c>
      <c r="B28" s="56">
        <v>0</v>
      </c>
      <c r="C28" s="56">
        <f t="shared" si="2"/>
        <v>0</v>
      </c>
      <c r="D28" s="57">
        <v>318.49579831933289</v>
      </c>
      <c r="E28" s="58">
        <v>2</v>
      </c>
      <c r="F28" s="58">
        <v>30</v>
      </c>
      <c r="G28" s="59">
        <f t="shared" si="3"/>
        <v>12.1448</v>
      </c>
      <c r="H28" s="60">
        <f t="shared" si="4"/>
        <v>360.19030252101078</v>
      </c>
      <c r="I28" s="60">
        <f t="shared" si="5"/>
        <v>372.33510252101075</v>
      </c>
      <c r="J28" s="60">
        <f t="shared" si="0"/>
        <v>25.754957581884089</v>
      </c>
      <c r="K28" s="60">
        <f t="shared" si="1"/>
        <v>360.19030252101078</v>
      </c>
    </row>
    <row r="29" spans="1:11" ht="15">
      <c r="A29" s="55">
        <v>44338</v>
      </c>
      <c r="B29" s="56">
        <v>0</v>
      </c>
      <c r="C29" s="56">
        <f t="shared" si="2"/>
        <v>0</v>
      </c>
      <c r="D29" s="57">
        <v>203.91176470588834</v>
      </c>
      <c r="E29" s="58">
        <v>2</v>
      </c>
      <c r="F29" s="58">
        <v>30</v>
      </c>
      <c r="G29" s="59">
        <f t="shared" si="3"/>
        <v>12.2828</v>
      </c>
      <c r="H29" s="60">
        <f t="shared" si="4"/>
        <v>327.82980672269201</v>
      </c>
      <c r="I29" s="60">
        <f t="shared" si="5"/>
        <v>340.11260672269202</v>
      </c>
      <c r="J29" s="60">
        <f t="shared" si="0"/>
        <v>23.526080941328001</v>
      </c>
      <c r="K29" s="60">
        <f t="shared" si="1"/>
        <v>327.82980672269201</v>
      </c>
    </row>
    <row r="30" spans="1:11" ht="15">
      <c r="A30" s="55">
        <v>44339</v>
      </c>
      <c r="B30" s="56">
        <v>0</v>
      </c>
      <c r="C30" s="56">
        <f t="shared" si="2"/>
        <v>0</v>
      </c>
      <c r="D30" s="57">
        <v>203.91176470588834</v>
      </c>
      <c r="E30" s="58">
        <v>2</v>
      </c>
      <c r="F30" s="58">
        <v>30</v>
      </c>
      <c r="G30" s="59">
        <f t="shared" si="3"/>
        <v>10.4</v>
      </c>
      <c r="H30" s="60">
        <f t="shared" si="4"/>
        <v>193.31016806723036</v>
      </c>
      <c r="I30" s="60">
        <f t="shared" si="5"/>
        <v>203.71016806723037</v>
      </c>
      <c r="J30" s="60">
        <f t="shared" si="0"/>
        <v>14.090926968869221</v>
      </c>
      <c r="K30" s="60">
        <f t="shared" si="1"/>
        <v>193.31016806723036</v>
      </c>
    </row>
    <row r="31" spans="1:11" ht="15">
      <c r="A31" s="55">
        <v>44340</v>
      </c>
      <c r="B31" s="56">
        <v>1</v>
      </c>
      <c r="C31" s="56">
        <f t="shared" si="2"/>
        <v>4</v>
      </c>
      <c r="D31" s="57">
        <v>203.91176470588834</v>
      </c>
      <c r="E31" s="58">
        <v>2</v>
      </c>
      <c r="F31" s="58">
        <v>30</v>
      </c>
      <c r="G31" s="59">
        <f t="shared" si="3"/>
        <v>10.4</v>
      </c>
      <c r="H31" s="60">
        <f t="shared" si="4"/>
        <v>116.08052941176875</v>
      </c>
      <c r="I31" s="60">
        <f t="shared" si="5"/>
        <v>126.48052941176876</v>
      </c>
      <c r="J31" s="60">
        <f t="shared" si="0"/>
        <v>8.6796697127692841</v>
      </c>
      <c r="K31" s="60">
        <f t="shared" si="1"/>
        <v>115.08052941176875</v>
      </c>
    </row>
    <row r="32" spans="1:11" ht="15">
      <c r="A32" s="55">
        <v>44341</v>
      </c>
      <c r="B32" s="56">
        <v>1</v>
      </c>
      <c r="C32" s="56">
        <f t="shared" si="2"/>
        <v>4</v>
      </c>
      <c r="D32" s="57">
        <v>203.91176470588834</v>
      </c>
      <c r="E32" s="58">
        <v>2</v>
      </c>
      <c r="F32" s="58">
        <v>30</v>
      </c>
      <c r="G32" s="59">
        <f t="shared" si="3"/>
        <v>10.772400000000001</v>
      </c>
      <c r="H32" s="60">
        <f t="shared" si="4"/>
        <v>116.08052941176875</v>
      </c>
      <c r="I32" s="60">
        <f t="shared" si="5"/>
        <v>126.85292941176876</v>
      </c>
      <c r="J32" s="60">
        <f t="shared" si="0"/>
        <v>8.705429159403657</v>
      </c>
      <c r="K32" s="60">
        <f t="shared" si="1"/>
        <v>115.08052941176875</v>
      </c>
    </row>
    <row r="33" spans="1:11" ht="15">
      <c r="A33" s="55">
        <v>44342</v>
      </c>
      <c r="B33" s="56">
        <v>0</v>
      </c>
      <c r="C33" s="56">
        <f t="shared" si="2"/>
        <v>0</v>
      </c>
      <c r="D33" s="57">
        <v>203.91176470588834</v>
      </c>
      <c r="E33" s="58">
        <v>2</v>
      </c>
      <c r="F33" s="58">
        <v>30</v>
      </c>
      <c r="G33" s="59">
        <f t="shared" si="3"/>
        <v>11.4</v>
      </c>
      <c r="H33" s="60">
        <f t="shared" si="4"/>
        <v>116.08052941176875</v>
      </c>
      <c r="I33" s="60">
        <f t="shared" si="5"/>
        <v>127.48052941176876</v>
      </c>
      <c r="J33" s="60">
        <f t="shared" si="0"/>
        <v>8.8180126055424992</v>
      </c>
      <c r="K33" s="60">
        <f t="shared" si="1"/>
        <v>116.08052941176875</v>
      </c>
    </row>
    <row r="34" spans="1:11" ht="15">
      <c r="A34" s="55">
        <v>44343</v>
      </c>
      <c r="B34" s="56">
        <v>36</v>
      </c>
      <c r="C34" s="56">
        <f t="shared" si="2"/>
        <v>144</v>
      </c>
      <c r="D34" s="57">
        <v>203.91176470588834</v>
      </c>
      <c r="E34" s="58">
        <v>2</v>
      </c>
      <c r="F34" s="58">
        <v>30</v>
      </c>
      <c r="G34" s="59">
        <f t="shared" si="3"/>
        <v>11.0276</v>
      </c>
      <c r="H34" s="60">
        <f t="shared" si="4"/>
        <v>116.08052941176875</v>
      </c>
      <c r="I34" s="60">
        <f t="shared" si="5"/>
        <v>127.10812941176874</v>
      </c>
      <c r="J34" s="60">
        <f t="shared" si="0"/>
        <v>6.3020810889902563</v>
      </c>
      <c r="K34" s="60">
        <f t="shared" si="1"/>
        <v>80.080529411768751</v>
      </c>
    </row>
    <row r="35" spans="1:11" ht="15">
      <c r="A35" s="55">
        <v>44344</v>
      </c>
      <c r="B35" s="56">
        <v>0</v>
      </c>
      <c r="C35" s="56">
        <f t="shared" si="2"/>
        <v>0</v>
      </c>
      <c r="D35" s="57">
        <v>203.91176470588834</v>
      </c>
      <c r="E35" s="58">
        <v>2</v>
      </c>
      <c r="F35" s="58">
        <v>30</v>
      </c>
      <c r="G35" s="59">
        <f t="shared" si="3"/>
        <v>23.806399999999996</v>
      </c>
      <c r="H35" s="60">
        <f t="shared" si="4"/>
        <v>116.08052941176875</v>
      </c>
      <c r="I35" s="60">
        <f t="shared" si="5"/>
        <v>139.88692941176873</v>
      </c>
      <c r="J35" s="60">
        <f t="shared" si="0"/>
        <v>9.6761812379933048</v>
      </c>
      <c r="K35" s="60">
        <f t="shared" si="1"/>
        <v>116.08052941176875</v>
      </c>
    </row>
    <row r="36" spans="1:11" ht="15">
      <c r="A36" s="55">
        <v>44345</v>
      </c>
      <c r="B36" s="56">
        <v>0</v>
      </c>
      <c r="C36" s="56">
        <f t="shared" si="2"/>
        <v>0</v>
      </c>
      <c r="D36" s="57">
        <v>203.91176470588834</v>
      </c>
      <c r="E36" s="58">
        <v>2</v>
      </c>
      <c r="F36" s="58">
        <v>30</v>
      </c>
      <c r="G36" s="59">
        <f t="shared" si="3"/>
        <v>32.993600000000001</v>
      </c>
      <c r="H36" s="60">
        <f t="shared" si="4"/>
        <v>116.08052941176875</v>
      </c>
      <c r="I36" s="60">
        <f t="shared" si="5"/>
        <v>149.07412941176875</v>
      </c>
      <c r="J36" s="60">
        <f t="shared" si="0"/>
        <v>10.311673150236345</v>
      </c>
      <c r="K36" s="60">
        <f t="shared" si="1"/>
        <v>116.08052941176875</v>
      </c>
    </row>
    <row r="37" spans="1:11" ht="15">
      <c r="A37" s="55">
        <v>44346</v>
      </c>
      <c r="B37" s="56">
        <v>51</v>
      </c>
      <c r="C37" s="56">
        <f t="shared" si="2"/>
        <v>204</v>
      </c>
      <c r="D37" s="57">
        <v>203.91176470588834</v>
      </c>
      <c r="E37" s="58">
        <v>2</v>
      </c>
      <c r="F37" s="58">
        <v>30</v>
      </c>
      <c r="G37" s="59">
        <f t="shared" si="3"/>
        <v>10.4</v>
      </c>
      <c r="H37" s="60">
        <f t="shared" si="4"/>
        <v>116.08052941176875</v>
      </c>
      <c r="I37" s="60">
        <f t="shared" si="5"/>
        <v>126.48052941176876</v>
      </c>
      <c r="J37" s="60">
        <f t="shared" si="0"/>
        <v>5.2210973934389102</v>
      </c>
      <c r="K37" s="60">
        <f t="shared" si="1"/>
        <v>65.080529411768751</v>
      </c>
    </row>
    <row r="38" spans="1:11" ht="15">
      <c r="A38" s="55">
        <v>44347</v>
      </c>
      <c r="B38" s="56">
        <v>0</v>
      </c>
      <c r="C38" s="56">
        <f t="shared" si="2"/>
        <v>0</v>
      </c>
      <c r="D38" s="57">
        <v>203.91176470588834</v>
      </c>
      <c r="E38" s="58">
        <v>2</v>
      </c>
      <c r="F38" s="58">
        <v>30</v>
      </c>
      <c r="G38" s="59">
        <f t="shared" ref="G38:G69" si="6">10.4+B37-0.6276*(B37-B36)</f>
        <v>29.392399999999995</v>
      </c>
      <c r="H38" s="60">
        <f t="shared" si="4"/>
        <v>116.08052941176875</v>
      </c>
      <c r="I38" s="60">
        <f t="shared" si="5"/>
        <v>145.47292941176875</v>
      </c>
      <c r="J38" s="60">
        <f t="shared" si="0"/>
        <v>10.062572937508893</v>
      </c>
      <c r="K38" s="60">
        <f t="shared" si="1"/>
        <v>116.08052941176875</v>
      </c>
    </row>
    <row r="39" spans="1:11" ht="15">
      <c r="A39" s="55">
        <v>44348</v>
      </c>
      <c r="B39" s="56">
        <v>0</v>
      </c>
      <c r="C39" s="56">
        <f t="shared" si="2"/>
        <v>0</v>
      </c>
      <c r="D39" s="57">
        <v>203.91176470588834</v>
      </c>
      <c r="E39" s="58">
        <v>2</v>
      </c>
      <c r="F39" s="58">
        <v>5</v>
      </c>
      <c r="G39" s="59">
        <f t="shared" si="6"/>
        <v>42.407600000000002</v>
      </c>
      <c r="H39" s="60">
        <f t="shared" si="4"/>
        <v>116.08052941176875</v>
      </c>
      <c r="I39" s="60">
        <f t="shared" si="5"/>
        <v>158.48812941176874</v>
      </c>
      <c r="J39" s="60">
        <f t="shared" si="0"/>
        <v>10.962853146519867</v>
      </c>
      <c r="K39" s="60">
        <f t="shared" si="1"/>
        <v>116.08052941176875</v>
      </c>
    </row>
    <row r="40" spans="1:11" ht="15">
      <c r="A40" s="55">
        <v>44349</v>
      </c>
      <c r="B40" s="56">
        <v>33</v>
      </c>
      <c r="C40" s="56">
        <f t="shared" si="2"/>
        <v>132</v>
      </c>
      <c r="D40" s="57">
        <v>203.91176470588834</v>
      </c>
      <c r="E40" s="58">
        <v>2</v>
      </c>
      <c r="F40" s="58">
        <v>5</v>
      </c>
      <c r="G40" s="59">
        <f t="shared" si="6"/>
        <v>10.4</v>
      </c>
      <c r="H40" s="60">
        <f t="shared" si="4"/>
        <v>116.08052941176875</v>
      </c>
      <c r="I40" s="60">
        <f t="shared" si="5"/>
        <v>126.48052941176876</v>
      </c>
      <c r="J40" s="60">
        <f t="shared" si="0"/>
        <v>6.4661834283978452</v>
      </c>
      <c r="K40" s="60">
        <f t="shared" si="1"/>
        <v>83.080529411768751</v>
      </c>
    </row>
    <row r="41" spans="1:11" ht="15">
      <c r="A41" s="55">
        <v>44350</v>
      </c>
      <c r="B41" s="56">
        <v>0</v>
      </c>
      <c r="C41" s="56">
        <f t="shared" si="2"/>
        <v>0</v>
      </c>
      <c r="D41" s="57">
        <v>203.91176470588834</v>
      </c>
      <c r="E41" s="58">
        <v>2</v>
      </c>
      <c r="F41" s="58">
        <v>5</v>
      </c>
      <c r="G41" s="59">
        <f t="shared" si="6"/>
        <v>22.689199999999996</v>
      </c>
      <c r="H41" s="60">
        <f t="shared" si="4"/>
        <v>135.73052941176874</v>
      </c>
      <c r="I41" s="60">
        <f t="shared" si="5"/>
        <v>158.41972941176874</v>
      </c>
      <c r="J41" s="60">
        <f t="shared" si="0"/>
        <v>10.958121819587022</v>
      </c>
      <c r="K41" s="60">
        <f t="shared" si="1"/>
        <v>135.73052941176874</v>
      </c>
    </row>
    <row r="42" spans="1:11" ht="15">
      <c r="A42" s="55">
        <v>44351</v>
      </c>
      <c r="B42" s="56">
        <v>36</v>
      </c>
      <c r="C42" s="56">
        <f t="shared" si="2"/>
        <v>144</v>
      </c>
      <c r="D42" s="57">
        <v>203.91176470588834</v>
      </c>
      <c r="E42" s="58">
        <v>2</v>
      </c>
      <c r="F42" s="58">
        <v>5</v>
      </c>
      <c r="G42" s="59">
        <f t="shared" si="6"/>
        <v>31.110800000000005</v>
      </c>
      <c r="H42" s="60">
        <f t="shared" si="4"/>
        <v>135.73052941176874</v>
      </c>
      <c r="I42" s="60">
        <f t="shared" si="5"/>
        <v>166.84132941176875</v>
      </c>
      <c r="J42" s="60">
        <f t="shared" si="0"/>
        <v>9.0504840025586084</v>
      </c>
      <c r="K42" s="60">
        <f t="shared" si="1"/>
        <v>99.730529411768742</v>
      </c>
    </row>
    <row r="43" spans="1:11" ht="15">
      <c r="A43" s="55">
        <v>44352</v>
      </c>
      <c r="B43" s="56">
        <v>31</v>
      </c>
      <c r="C43" s="56">
        <f t="shared" si="2"/>
        <v>124</v>
      </c>
      <c r="D43" s="57">
        <v>203.91176470588834</v>
      </c>
      <c r="E43" s="58">
        <v>2</v>
      </c>
      <c r="F43" s="58">
        <v>5</v>
      </c>
      <c r="G43" s="59">
        <f t="shared" si="6"/>
        <v>23.806399999999996</v>
      </c>
      <c r="H43" s="60">
        <f t="shared" si="4"/>
        <v>135.73052941176874</v>
      </c>
      <c r="I43" s="60">
        <f t="shared" si="5"/>
        <v>159.53692941176874</v>
      </c>
      <c r="J43" s="60">
        <f t="shared" si="0"/>
        <v>8.8910853215053098</v>
      </c>
      <c r="K43" s="60">
        <f t="shared" si="1"/>
        <v>104.73052941176874</v>
      </c>
    </row>
    <row r="44" spans="1:11" ht="15">
      <c r="A44" s="55">
        <v>44353</v>
      </c>
      <c r="B44" s="56">
        <v>33</v>
      </c>
      <c r="C44" s="56">
        <f t="shared" si="2"/>
        <v>132</v>
      </c>
      <c r="D44" s="57">
        <v>203.91176470588834</v>
      </c>
      <c r="E44" s="58">
        <v>2</v>
      </c>
      <c r="F44" s="58">
        <v>5</v>
      </c>
      <c r="G44" s="59">
        <f t="shared" si="6"/>
        <v>44.537999999999997</v>
      </c>
      <c r="H44" s="60">
        <f t="shared" si="4"/>
        <v>135.73052941176874</v>
      </c>
      <c r="I44" s="60">
        <f t="shared" si="5"/>
        <v>180.26852941176872</v>
      </c>
      <c r="J44" s="60">
        <f t="shared" si="0"/>
        <v>10.186777186640684</v>
      </c>
      <c r="K44" s="60">
        <f t="shared" si="1"/>
        <v>102.73052941176874</v>
      </c>
    </row>
    <row r="45" spans="1:11" ht="15">
      <c r="A45" s="55">
        <v>44354</v>
      </c>
      <c r="B45" s="56">
        <v>69</v>
      </c>
      <c r="C45" s="56">
        <f t="shared" si="2"/>
        <v>276</v>
      </c>
      <c r="D45" s="57">
        <v>203.91176470588834</v>
      </c>
      <c r="E45" s="58">
        <v>2</v>
      </c>
      <c r="F45" s="58">
        <v>5</v>
      </c>
      <c r="G45" s="59">
        <f t="shared" si="6"/>
        <v>42.144799999999996</v>
      </c>
      <c r="H45" s="60">
        <f t="shared" si="4"/>
        <v>135.73052941176874</v>
      </c>
      <c r="I45" s="60">
        <f t="shared" si="5"/>
        <v>177.87532941176875</v>
      </c>
      <c r="J45" s="60">
        <f t="shared" si="0"/>
        <v>7.5310640112303888</v>
      </c>
      <c r="K45" s="60">
        <f t="shared" si="1"/>
        <v>66.730529411768742</v>
      </c>
    </row>
    <row r="46" spans="1:11" ht="15">
      <c r="A46" s="55">
        <v>44355</v>
      </c>
      <c r="B46" s="56">
        <v>39</v>
      </c>
      <c r="C46" s="56">
        <f t="shared" si="2"/>
        <v>156</v>
      </c>
      <c r="D46" s="57">
        <v>203.91176470588834</v>
      </c>
      <c r="E46" s="58">
        <v>2</v>
      </c>
      <c r="F46" s="58">
        <v>5</v>
      </c>
      <c r="G46" s="59">
        <f t="shared" si="6"/>
        <v>56.806400000000004</v>
      </c>
      <c r="H46" s="60">
        <f t="shared" si="4"/>
        <v>135.73052941176874</v>
      </c>
      <c r="I46" s="60">
        <f t="shared" si="5"/>
        <v>192.53692941176874</v>
      </c>
      <c r="J46" s="60">
        <f t="shared" si="0"/>
        <v>10.620371481170496</v>
      </c>
      <c r="K46" s="60">
        <f t="shared" si="1"/>
        <v>96.730529411768742</v>
      </c>
    </row>
    <row r="47" spans="1:11" ht="15">
      <c r="A47" s="55">
        <v>44356</v>
      </c>
      <c r="B47" s="56">
        <v>66</v>
      </c>
      <c r="C47" s="56">
        <f t="shared" si="2"/>
        <v>264</v>
      </c>
      <c r="D47" s="57">
        <v>203.91176470588834</v>
      </c>
      <c r="E47" s="58">
        <v>2</v>
      </c>
      <c r="F47" s="58">
        <v>5</v>
      </c>
      <c r="G47" s="59">
        <f t="shared" si="6"/>
        <v>68.228000000000009</v>
      </c>
      <c r="H47" s="60">
        <f t="shared" si="4"/>
        <v>135.73052941176874</v>
      </c>
      <c r="I47" s="60">
        <f t="shared" si="5"/>
        <v>203.95852941176875</v>
      </c>
      <c r="J47" s="60">
        <f t="shared" si="0"/>
        <v>9.5427910207813724</v>
      </c>
      <c r="K47" s="60">
        <f t="shared" si="1"/>
        <v>69.730529411768742</v>
      </c>
    </row>
    <row r="48" spans="1:11" ht="15">
      <c r="A48" s="55">
        <v>44357</v>
      </c>
      <c r="B48" s="56">
        <v>45</v>
      </c>
      <c r="C48" s="56">
        <f t="shared" si="2"/>
        <v>180</v>
      </c>
      <c r="D48" s="57">
        <v>203.91176470588834</v>
      </c>
      <c r="E48" s="58">
        <v>2</v>
      </c>
      <c r="F48" s="58">
        <v>5</v>
      </c>
      <c r="G48" s="59">
        <f t="shared" si="6"/>
        <v>59.454800000000006</v>
      </c>
      <c r="H48" s="60">
        <f t="shared" si="4"/>
        <v>135.73052941176874</v>
      </c>
      <c r="I48" s="60">
        <f t="shared" si="5"/>
        <v>195.18532941176875</v>
      </c>
      <c r="J48" s="60">
        <f t="shared" si="0"/>
        <v>10.388536461461143</v>
      </c>
      <c r="K48" s="60">
        <f t="shared" si="1"/>
        <v>90.730529411768742</v>
      </c>
    </row>
    <row r="49" spans="1:11" ht="15">
      <c r="A49" s="55">
        <v>44358</v>
      </c>
      <c r="B49" s="56">
        <v>58</v>
      </c>
      <c r="C49" s="56">
        <f t="shared" si="2"/>
        <v>232</v>
      </c>
      <c r="D49" s="57">
        <v>203.91176470588834</v>
      </c>
      <c r="E49" s="58">
        <v>2</v>
      </c>
      <c r="F49" s="58">
        <v>5</v>
      </c>
      <c r="G49" s="59">
        <f t="shared" si="6"/>
        <v>68.579599999999999</v>
      </c>
      <c r="H49" s="60">
        <f t="shared" si="4"/>
        <v>135.73052941176874</v>
      </c>
      <c r="I49" s="60">
        <f t="shared" si="5"/>
        <v>204.31012941176874</v>
      </c>
      <c r="J49" s="60">
        <f t="shared" si="0"/>
        <v>10.120483272423762</v>
      </c>
      <c r="K49" s="60">
        <f t="shared" si="1"/>
        <v>77.730529411768742</v>
      </c>
    </row>
    <row r="50" spans="1:11" ht="15">
      <c r="A50" s="55">
        <v>44359</v>
      </c>
      <c r="B50" s="56">
        <v>84</v>
      </c>
      <c r="C50" s="56">
        <f t="shared" si="2"/>
        <v>336</v>
      </c>
      <c r="D50" s="57">
        <v>203.91176470588834</v>
      </c>
      <c r="E50" s="58">
        <v>2</v>
      </c>
      <c r="F50" s="58">
        <v>5</v>
      </c>
      <c r="G50" s="59">
        <f t="shared" si="6"/>
        <v>60.241200000000006</v>
      </c>
      <c r="H50" s="60">
        <f t="shared" si="4"/>
        <v>135.73052941176874</v>
      </c>
      <c r="I50" s="60">
        <f t="shared" si="5"/>
        <v>195.97172941176876</v>
      </c>
      <c r="J50" s="60">
        <f t="shared" si="0"/>
        <v>7.7452464778218815</v>
      </c>
      <c r="K50" s="60">
        <f t="shared" si="1"/>
        <v>51.730529411768742</v>
      </c>
    </row>
    <row r="51" spans="1:11" ht="15">
      <c r="A51" s="55">
        <v>44360</v>
      </c>
      <c r="B51" s="56">
        <v>95</v>
      </c>
      <c r="C51" s="56">
        <f t="shared" si="2"/>
        <v>380</v>
      </c>
      <c r="D51" s="57">
        <v>203.91176470588834</v>
      </c>
      <c r="E51" s="58">
        <v>2</v>
      </c>
      <c r="F51" s="58">
        <v>5</v>
      </c>
      <c r="G51" s="59">
        <f t="shared" si="6"/>
        <v>78.082400000000007</v>
      </c>
      <c r="H51" s="60">
        <f t="shared" si="4"/>
        <v>135.73052941176874</v>
      </c>
      <c r="I51" s="60">
        <f t="shared" si="5"/>
        <v>213.81292941176875</v>
      </c>
      <c r="J51" s="60">
        <f t="shared" si="0"/>
        <v>8.218462176841939</v>
      </c>
      <c r="K51" s="60">
        <f t="shared" si="1"/>
        <v>40.730529411768742</v>
      </c>
    </row>
    <row r="52" spans="1:11" ht="15">
      <c r="A52" s="55">
        <v>44361</v>
      </c>
      <c r="B52" s="56">
        <v>86</v>
      </c>
      <c r="C52" s="56">
        <f t="shared" si="2"/>
        <v>344</v>
      </c>
      <c r="D52" s="57">
        <v>203.91176470588834</v>
      </c>
      <c r="E52" s="58">
        <v>2</v>
      </c>
      <c r="F52" s="58">
        <v>5</v>
      </c>
      <c r="G52" s="59">
        <f t="shared" si="6"/>
        <v>98.496400000000008</v>
      </c>
      <c r="H52" s="60">
        <f t="shared" si="4"/>
        <v>135.73052941176874</v>
      </c>
      <c r="I52" s="60">
        <f t="shared" si="5"/>
        <v>234.22692941176877</v>
      </c>
      <c r="J52" s="60">
        <f t="shared" si="0"/>
        <v>10.253071100857612</v>
      </c>
      <c r="K52" s="60">
        <f t="shared" si="1"/>
        <v>49.730529411768742</v>
      </c>
    </row>
    <row r="53" spans="1:11" ht="15">
      <c r="A53" s="55">
        <v>44362</v>
      </c>
      <c r="B53" s="56">
        <v>90</v>
      </c>
      <c r="C53" s="56">
        <f t="shared" si="2"/>
        <v>360</v>
      </c>
      <c r="D53" s="57">
        <v>203.91176470588834</v>
      </c>
      <c r="E53" s="58">
        <v>2</v>
      </c>
      <c r="F53" s="58">
        <v>5</v>
      </c>
      <c r="G53" s="59">
        <f t="shared" si="6"/>
        <v>102.0484</v>
      </c>
      <c r="H53" s="60">
        <f t="shared" si="4"/>
        <v>135.73052941176874</v>
      </c>
      <c r="I53" s="60">
        <f t="shared" si="5"/>
        <v>237.77892941176873</v>
      </c>
      <c r="J53" s="60">
        <f t="shared" si="0"/>
        <v>10.22208229287641</v>
      </c>
      <c r="K53" s="60">
        <f t="shared" si="1"/>
        <v>45.730529411768742</v>
      </c>
    </row>
    <row r="54" spans="1:11" ht="15">
      <c r="A54" s="55">
        <v>44363</v>
      </c>
      <c r="B54" s="56">
        <v>100</v>
      </c>
      <c r="C54" s="56">
        <f t="shared" si="2"/>
        <v>400</v>
      </c>
      <c r="D54" s="57">
        <v>203.91176470588834</v>
      </c>
      <c r="E54" s="58">
        <v>2</v>
      </c>
      <c r="F54" s="58">
        <v>5</v>
      </c>
      <c r="G54" s="59">
        <f t="shared" si="6"/>
        <v>97.889600000000002</v>
      </c>
      <c r="H54" s="60">
        <f t="shared" si="4"/>
        <v>135.73052941176874</v>
      </c>
      <c r="I54" s="60">
        <f t="shared" si="5"/>
        <v>233.62012941176874</v>
      </c>
      <c r="J54" s="60">
        <f t="shared" si="0"/>
        <v>9.2426976177777131</v>
      </c>
      <c r="K54" s="60">
        <f t="shared" si="1"/>
        <v>35.730529411768742</v>
      </c>
    </row>
    <row r="55" spans="1:11" ht="15">
      <c r="A55" s="55">
        <v>44364</v>
      </c>
      <c r="B55" s="56">
        <v>137</v>
      </c>
      <c r="C55" s="56">
        <f t="shared" si="2"/>
        <v>548</v>
      </c>
      <c r="D55" s="57">
        <v>203.91176470588834</v>
      </c>
      <c r="E55" s="58">
        <v>2</v>
      </c>
      <c r="F55" s="58">
        <v>5</v>
      </c>
      <c r="G55" s="59">
        <f t="shared" si="6"/>
        <v>104.12400000000001</v>
      </c>
      <c r="H55" s="60">
        <f t="shared" si="4"/>
        <v>135.73052941176874</v>
      </c>
      <c r="I55" s="60">
        <f t="shared" si="5"/>
        <v>239.85452941176874</v>
      </c>
      <c r="J55" s="60">
        <f t="shared" si="0"/>
        <v>7.1145965668259024</v>
      </c>
      <c r="K55" s="60">
        <f t="shared" si="1"/>
        <v>-1.2694705882312576</v>
      </c>
    </row>
    <row r="56" spans="1:11" ht="15">
      <c r="A56" s="55">
        <v>44365</v>
      </c>
      <c r="B56" s="56">
        <v>149</v>
      </c>
      <c r="C56" s="56">
        <f t="shared" si="2"/>
        <v>596</v>
      </c>
      <c r="D56" s="57">
        <v>203.91176470585924</v>
      </c>
      <c r="E56" s="58">
        <v>2</v>
      </c>
      <c r="F56" s="58">
        <v>5</v>
      </c>
      <c r="G56" s="59">
        <f t="shared" si="6"/>
        <v>124.1788</v>
      </c>
      <c r="H56" s="60">
        <f t="shared" si="4"/>
        <v>135.73052941176874</v>
      </c>
      <c r="I56" s="60">
        <f t="shared" si="5"/>
        <v>259.90932941176874</v>
      </c>
      <c r="J56" s="60">
        <f t="shared" si="0"/>
        <v>7.6717587331807477</v>
      </c>
      <c r="K56" s="60">
        <f t="shared" si="1"/>
        <v>-13.269470588231258</v>
      </c>
    </row>
    <row r="57" spans="1:11" ht="15">
      <c r="A57" s="55">
        <v>44366</v>
      </c>
      <c r="B57" s="56">
        <v>135</v>
      </c>
      <c r="C57" s="56">
        <f t="shared" si="2"/>
        <v>540</v>
      </c>
      <c r="D57" s="57">
        <v>3263.6862745097792</v>
      </c>
      <c r="E57" s="58">
        <v>3</v>
      </c>
      <c r="F57" s="58">
        <v>3</v>
      </c>
      <c r="G57" s="59">
        <f t="shared" si="6"/>
        <v>151.86879999999999</v>
      </c>
      <c r="H57" s="60">
        <f t="shared" si="4"/>
        <v>135.73052941176874</v>
      </c>
      <c r="I57" s="60">
        <f t="shared" si="5"/>
        <v>287.59932941176874</v>
      </c>
      <c r="J57" s="60">
        <f t="shared" si="0"/>
        <v>10.555516333038412</v>
      </c>
      <c r="K57" s="60">
        <f t="shared" si="1"/>
        <v>0.73052941176874242</v>
      </c>
    </row>
    <row r="58" spans="1:11" ht="15">
      <c r="A58" s="55">
        <v>44367</v>
      </c>
      <c r="B58" s="56">
        <v>137</v>
      </c>
      <c r="C58" s="56">
        <f t="shared" si="2"/>
        <v>548</v>
      </c>
      <c r="D58" s="57">
        <v>6323.4607843136992</v>
      </c>
      <c r="E58" s="58">
        <v>3</v>
      </c>
      <c r="F58" s="58">
        <v>3</v>
      </c>
      <c r="G58" s="59">
        <f t="shared" si="6"/>
        <v>154.18639999999999</v>
      </c>
      <c r="H58" s="60">
        <f t="shared" si="4"/>
        <v>135.73052941174913</v>
      </c>
      <c r="I58" s="60">
        <f t="shared" si="5"/>
        <v>289.91692941174915</v>
      </c>
      <c r="J58" s="60">
        <f t="shared" si="0"/>
        <v>10.577485184409445</v>
      </c>
      <c r="K58" s="60">
        <f t="shared" si="1"/>
        <v>-1.2694705882508686</v>
      </c>
    </row>
    <row r="59" spans="1:11" ht="15">
      <c r="A59" s="55">
        <v>44368</v>
      </c>
      <c r="B59" s="56">
        <v>166</v>
      </c>
      <c r="C59" s="56">
        <f t="shared" si="2"/>
        <v>664</v>
      </c>
      <c r="D59" s="57">
        <v>9383.2352941176214</v>
      </c>
      <c r="E59" s="58">
        <v>3</v>
      </c>
      <c r="F59" s="58">
        <v>3</v>
      </c>
      <c r="G59" s="59">
        <f t="shared" si="6"/>
        <v>146.1448</v>
      </c>
      <c r="H59" s="60">
        <f t="shared" si="4"/>
        <v>2200.7025490195911</v>
      </c>
      <c r="I59" s="60">
        <f t="shared" si="5"/>
        <v>2346.8473490195911</v>
      </c>
      <c r="J59" s="60">
        <f t="shared" si="0"/>
        <v>150.85236548008365</v>
      </c>
      <c r="K59" s="60">
        <f t="shared" si="1"/>
        <v>2034.7025490195911</v>
      </c>
    </row>
    <row r="60" spans="1:11" ht="15">
      <c r="A60" s="55">
        <v>44369</v>
      </c>
      <c r="B60" s="56">
        <v>136</v>
      </c>
      <c r="C60" s="56">
        <f t="shared" si="2"/>
        <v>544</v>
      </c>
      <c r="D60" s="57">
        <v>9354.1050420167794</v>
      </c>
      <c r="E60" s="58">
        <v>3</v>
      </c>
      <c r="F60" s="58">
        <v>3</v>
      </c>
      <c r="G60" s="59">
        <f t="shared" si="6"/>
        <v>158.1996</v>
      </c>
      <c r="H60" s="60">
        <f t="shared" si="4"/>
        <v>4262.9905686274333</v>
      </c>
      <c r="I60" s="60">
        <f t="shared" si="5"/>
        <v>4421.1901686274332</v>
      </c>
      <c r="J60" s="60">
        <f t="shared" si="0"/>
        <v>296.41280200562989</v>
      </c>
      <c r="K60" s="60">
        <f t="shared" si="1"/>
        <v>4126.9905686274333</v>
      </c>
    </row>
    <row r="61" spans="1:11" ht="15">
      <c r="A61" s="55">
        <v>44370</v>
      </c>
      <c r="B61" s="56">
        <v>152</v>
      </c>
      <c r="C61" s="56">
        <f t="shared" si="2"/>
        <v>608</v>
      </c>
      <c r="D61" s="57">
        <v>26753.546218487369</v>
      </c>
      <c r="E61" s="58">
        <v>3</v>
      </c>
      <c r="F61" s="58">
        <v>3</v>
      </c>
      <c r="G61" s="59">
        <f t="shared" si="6"/>
        <v>165.22800000000001</v>
      </c>
      <c r="H61" s="60">
        <f t="shared" si="4"/>
        <v>6325.2785882352773</v>
      </c>
      <c r="I61" s="60">
        <f t="shared" si="5"/>
        <v>6490.5065882352774</v>
      </c>
      <c r="J61" s="60">
        <f t="shared" si="0"/>
        <v>438.44366863927468</v>
      </c>
      <c r="K61" s="60">
        <f t="shared" si="1"/>
        <v>6173.2785882352773</v>
      </c>
    </row>
    <row r="62" spans="1:11" ht="15">
      <c r="A62" s="55">
        <v>44371</v>
      </c>
      <c r="B62" s="56">
        <v>207</v>
      </c>
      <c r="C62" s="56">
        <f t="shared" si="2"/>
        <v>828</v>
      </c>
      <c r="D62" s="57">
        <v>51428.701680672239</v>
      </c>
      <c r="E62" s="58">
        <v>3</v>
      </c>
      <c r="F62" s="58">
        <v>3</v>
      </c>
      <c r="G62" s="59">
        <f t="shared" si="6"/>
        <v>152.35840000000002</v>
      </c>
      <c r="H62" s="60">
        <f t="shared" si="4"/>
        <v>6305.6447983193102</v>
      </c>
      <c r="I62" s="60">
        <f t="shared" si="5"/>
        <v>6458.0031983193103</v>
      </c>
      <c r="J62" s="60">
        <f t="shared" si="0"/>
        <v>432.39093259505597</v>
      </c>
      <c r="K62" s="60">
        <f t="shared" si="1"/>
        <v>6098.6447983193102</v>
      </c>
    </row>
    <row r="63" spans="1:11" ht="15">
      <c r="A63" s="55">
        <v>44372</v>
      </c>
      <c r="B63" s="56">
        <v>165</v>
      </c>
      <c r="C63" s="56">
        <f t="shared" si="2"/>
        <v>660</v>
      </c>
      <c r="D63" s="57">
        <v>73261.928571428565</v>
      </c>
      <c r="E63" s="58">
        <v>3</v>
      </c>
      <c r="F63" s="58">
        <v>3</v>
      </c>
      <c r="G63" s="59">
        <f t="shared" si="6"/>
        <v>182.88200000000001</v>
      </c>
      <c r="H63" s="60">
        <f t="shared" si="4"/>
        <v>18032.868151260485</v>
      </c>
      <c r="I63" s="60">
        <f t="shared" si="5"/>
        <v>18215.750151260487</v>
      </c>
      <c r="J63" s="60">
        <f t="shared" si="0"/>
        <v>1248.5964963259614</v>
      </c>
      <c r="K63" s="60">
        <f t="shared" si="1"/>
        <v>17867.868151260485</v>
      </c>
    </row>
    <row r="64" spans="1:11" ht="15">
      <c r="A64" s="55">
        <v>44373</v>
      </c>
      <c r="B64" s="56">
        <v>621</v>
      </c>
      <c r="C64" s="56">
        <f t="shared" si="2"/>
        <v>2484</v>
      </c>
      <c r="D64" s="57">
        <v>92035.380952380961</v>
      </c>
      <c r="E64" s="58">
        <v>3</v>
      </c>
      <c r="F64" s="58">
        <v>3</v>
      </c>
      <c r="G64" s="59">
        <f t="shared" si="6"/>
        <v>201.75920000000002</v>
      </c>
      <c r="H64" s="60">
        <f t="shared" si="4"/>
        <v>34663.922932773094</v>
      </c>
      <c r="I64" s="60">
        <f t="shared" si="5"/>
        <v>34865.682132773094</v>
      </c>
      <c r="J64" s="60">
        <f t="shared" si="0"/>
        <v>2368.754194173529</v>
      </c>
      <c r="K64" s="60">
        <f t="shared" si="1"/>
        <v>34042.922932773094</v>
      </c>
    </row>
    <row r="65" spans="1:11" ht="15">
      <c r="A65" s="55">
        <v>44374</v>
      </c>
      <c r="B65" s="56">
        <v>230</v>
      </c>
      <c r="C65" s="56">
        <f t="shared" si="2"/>
        <v>920</v>
      </c>
      <c r="D65" s="57">
        <v>88946.476190476198</v>
      </c>
      <c r="E65" s="58">
        <v>3</v>
      </c>
      <c r="F65" s="58">
        <v>3</v>
      </c>
      <c r="G65" s="59">
        <f t="shared" si="6"/>
        <v>345.21439999999996</v>
      </c>
      <c r="H65" s="60">
        <f t="shared" si="4"/>
        <v>49379.517857142862</v>
      </c>
      <c r="I65" s="60">
        <f t="shared" si="5"/>
        <v>49724.732257142859</v>
      </c>
      <c r="J65" s="60">
        <f t="shared" si="0"/>
        <v>3423.6222187444482</v>
      </c>
      <c r="K65" s="60">
        <f t="shared" si="1"/>
        <v>49149.517857142862</v>
      </c>
    </row>
    <row r="66" spans="1:11" ht="15">
      <c r="A66" s="55">
        <v>44375</v>
      </c>
      <c r="B66" s="56">
        <v>218</v>
      </c>
      <c r="C66" s="56">
        <f t="shared" si="2"/>
        <v>872</v>
      </c>
      <c r="D66" s="57">
        <v>95002.5</v>
      </c>
      <c r="E66" s="58">
        <v>3</v>
      </c>
      <c r="F66" s="58">
        <v>3</v>
      </c>
      <c r="G66" s="59">
        <f t="shared" si="6"/>
        <v>485.79160000000002</v>
      </c>
      <c r="H66" s="60">
        <f t="shared" si="4"/>
        <v>62032.824761904776</v>
      </c>
      <c r="I66" s="60">
        <f t="shared" si="5"/>
        <v>62518.616361904773</v>
      </c>
      <c r="J66" s="60">
        <f t="shared" si="0"/>
        <v>4309.423744530096</v>
      </c>
      <c r="K66" s="60">
        <f t="shared" si="1"/>
        <v>61814.824761904776</v>
      </c>
    </row>
    <row r="67" spans="1:11" ht="15">
      <c r="A67" s="55">
        <v>44376</v>
      </c>
      <c r="B67" s="56">
        <v>155</v>
      </c>
      <c r="C67" s="56">
        <f t="shared" si="2"/>
        <v>620</v>
      </c>
      <c r="D67" s="57">
        <v>104147.42857142857</v>
      </c>
      <c r="E67" s="58">
        <v>3</v>
      </c>
      <c r="F67" s="58">
        <v>3</v>
      </c>
      <c r="G67" s="59">
        <f t="shared" si="6"/>
        <v>235.93120000000002</v>
      </c>
      <c r="H67" s="60">
        <f t="shared" si="4"/>
        <v>59950.902952380966</v>
      </c>
      <c r="I67" s="60">
        <f t="shared" si="5"/>
        <v>60186.834152380965</v>
      </c>
      <c r="J67" s="60">
        <f t="shared" si="0"/>
        <v>4152.4887975611309</v>
      </c>
      <c r="K67" s="60">
        <f t="shared" si="1"/>
        <v>59795.902952380966</v>
      </c>
    </row>
    <row r="68" spans="1:11" ht="15">
      <c r="A68" s="55">
        <v>44377</v>
      </c>
      <c r="B68" s="56">
        <v>249</v>
      </c>
      <c r="C68" s="56">
        <f t="shared" si="2"/>
        <v>996</v>
      </c>
      <c r="D68" s="57">
        <v>86718.857142857145</v>
      </c>
      <c r="E68" s="58">
        <v>3</v>
      </c>
      <c r="F68" s="58">
        <v>3</v>
      </c>
      <c r="G68" s="59">
        <f t="shared" si="6"/>
        <v>204.93880000000001</v>
      </c>
      <c r="H68" s="60">
        <f t="shared" si="4"/>
        <v>64032.663000000008</v>
      </c>
      <c r="I68" s="60">
        <f t="shared" si="5"/>
        <v>64237.601800000011</v>
      </c>
      <c r="J68" s="60">
        <f t="shared" ref="J68:J131" si="7">SQRT((I68-B68)^2/209)</f>
        <v>4426.1841387626746</v>
      </c>
      <c r="K68" s="60">
        <f t="shared" ref="K68:K131" si="8">H68-B68</f>
        <v>63783.663000000008</v>
      </c>
    </row>
    <row r="69" spans="1:11" ht="15">
      <c r="A69" s="55">
        <v>44378</v>
      </c>
      <c r="B69" s="56">
        <v>464</v>
      </c>
      <c r="C69" s="56">
        <f t="shared" ref="C69:C132" si="9">B69*4</f>
        <v>1856</v>
      </c>
      <c r="D69" s="57">
        <v>62020.010989010982</v>
      </c>
      <c r="E69" s="58">
        <v>3</v>
      </c>
      <c r="F69" s="58">
        <v>3</v>
      </c>
      <c r="G69" s="59">
        <f t="shared" si="6"/>
        <v>200.40559999999996</v>
      </c>
      <c r="H69" s="60">
        <f t="shared" si="4"/>
        <v>70196.34485714286</v>
      </c>
      <c r="I69" s="60">
        <f t="shared" si="5"/>
        <v>70396.750457142858</v>
      </c>
      <c r="J69" s="60">
        <f t="shared" si="7"/>
        <v>4837.3494989142564</v>
      </c>
      <c r="K69" s="60">
        <f t="shared" si="8"/>
        <v>69732.34485714286</v>
      </c>
    </row>
    <row r="70" spans="1:11" ht="15">
      <c r="A70" s="55">
        <v>44379</v>
      </c>
      <c r="B70" s="56">
        <v>419</v>
      </c>
      <c r="C70" s="56">
        <f t="shared" si="9"/>
        <v>1676</v>
      </c>
      <c r="D70" s="57">
        <v>40163.093406593391</v>
      </c>
      <c r="E70" s="58">
        <v>3</v>
      </c>
      <c r="F70" s="58">
        <v>3</v>
      </c>
      <c r="G70" s="59">
        <f t="shared" ref="G70:G101" si="10">10.4+B69-0.6276*(B69-B68)</f>
        <v>339.46600000000001</v>
      </c>
      <c r="H70" s="60">
        <f t="shared" ref="H70:H133" si="11">0.674*D68+1.112*E68-0.786*F68</f>
        <v>58449.487714285722</v>
      </c>
      <c r="I70" s="60">
        <f t="shared" si="5"/>
        <v>58788.953714285723</v>
      </c>
      <c r="J70" s="60">
        <f t="shared" si="7"/>
        <v>4037.5341239364743</v>
      </c>
      <c r="K70" s="60">
        <f t="shared" si="8"/>
        <v>58030.487714285722</v>
      </c>
    </row>
    <row r="71" spans="1:11" ht="15">
      <c r="A71" s="55">
        <v>44380</v>
      </c>
      <c r="B71" s="56">
        <v>714</v>
      </c>
      <c r="C71" s="56">
        <f t="shared" si="9"/>
        <v>2856</v>
      </c>
      <c r="D71" s="57">
        <v>18306.175824175803</v>
      </c>
      <c r="E71" s="58">
        <v>3</v>
      </c>
      <c r="F71" s="58">
        <v>3</v>
      </c>
      <c r="G71" s="59">
        <f t="shared" si="10"/>
        <v>457.642</v>
      </c>
      <c r="H71" s="60">
        <f t="shared" si="11"/>
        <v>41802.465406593408</v>
      </c>
      <c r="I71" s="60">
        <f t="shared" ref="I71:I134" si="12">SUM(G71:H71)</f>
        <v>42260.107406593408</v>
      </c>
      <c r="J71" s="60">
        <f t="shared" si="7"/>
        <v>2873.8043410474111</v>
      </c>
      <c r="K71" s="60">
        <f t="shared" si="8"/>
        <v>41088.465406593408</v>
      </c>
    </row>
    <row r="72" spans="1:11" ht="15">
      <c r="A72" s="55">
        <v>44381</v>
      </c>
      <c r="B72" s="56">
        <v>599</v>
      </c>
      <c r="C72" s="56">
        <f t="shared" si="9"/>
        <v>2396</v>
      </c>
      <c r="D72" s="57">
        <v>18311.615384615357</v>
      </c>
      <c r="E72" s="58">
        <v>3</v>
      </c>
      <c r="F72" s="58">
        <v>3</v>
      </c>
      <c r="G72" s="59">
        <f t="shared" si="10"/>
        <v>539.25799999999992</v>
      </c>
      <c r="H72" s="60">
        <f t="shared" si="11"/>
        <v>27070.902956043945</v>
      </c>
      <c r="I72" s="60">
        <f t="shared" si="12"/>
        <v>27610.160956043946</v>
      </c>
      <c r="J72" s="60">
        <f t="shared" si="7"/>
        <v>1868.4010719110186</v>
      </c>
      <c r="K72" s="60">
        <f t="shared" si="8"/>
        <v>26471.902956043945</v>
      </c>
    </row>
    <row r="73" spans="1:11" ht="15">
      <c r="A73" s="55">
        <v>44382</v>
      </c>
      <c r="B73" s="56">
        <v>641</v>
      </c>
      <c r="C73" s="56">
        <f t="shared" si="9"/>
        <v>2564</v>
      </c>
      <c r="D73" s="57">
        <v>9172.1263736263409</v>
      </c>
      <c r="E73" s="58">
        <v>3</v>
      </c>
      <c r="F73" s="58">
        <v>3</v>
      </c>
      <c r="G73" s="59">
        <f t="shared" si="10"/>
        <v>681.57399999999996</v>
      </c>
      <c r="H73" s="60">
        <f t="shared" si="11"/>
        <v>12339.340505494491</v>
      </c>
      <c r="I73" s="60">
        <f t="shared" si="12"/>
        <v>13020.914505494491</v>
      </c>
      <c r="J73" s="60">
        <f t="shared" si="7"/>
        <v>856.33659248759625</v>
      </c>
      <c r="K73" s="60">
        <f t="shared" si="8"/>
        <v>11698.340505494491</v>
      </c>
    </row>
    <row r="74" spans="1:11" ht="15">
      <c r="A74" s="55">
        <v>44383</v>
      </c>
      <c r="B74" s="56">
        <v>710</v>
      </c>
      <c r="C74" s="56">
        <f t="shared" si="9"/>
        <v>2840</v>
      </c>
      <c r="D74" s="57">
        <v>32.637362637324259</v>
      </c>
      <c r="E74" s="58">
        <v>3</v>
      </c>
      <c r="F74" s="58">
        <v>3</v>
      </c>
      <c r="G74" s="59">
        <f t="shared" si="10"/>
        <v>625.04079999999999</v>
      </c>
      <c r="H74" s="60">
        <f t="shared" si="11"/>
        <v>12343.006769230751</v>
      </c>
      <c r="I74" s="60">
        <f t="shared" si="12"/>
        <v>12968.047569230752</v>
      </c>
      <c r="J74" s="60">
        <f t="shared" si="7"/>
        <v>847.90688023952896</v>
      </c>
      <c r="K74" s="60">
        <f t="shared" si="8"/>
        <v>11633.006769230751</v>
      </c>
    </row>
    <row r="75" spans="1:11" ht="15">
      <c r="A75" s="55">
        <v>44384</v>
      </c>
      <c r="B75" s="56">
        <v>766</v>
      </c>
      <c r="C75" s="56">
        <f t="shared" si="9"/>
        <v>3064</v>
      </c>
      <c r="D75" s="57">
        <v>38.076923076878302</v>
      </c>
      <c r="E75" s="58">
        <v>3</v>
      </c>
      <c r="F75" s="58">
        <v>3</v>
      </c>
      <c r="G75" s="59">
        <f t="shared" si="10"/>
        <v>677.09559999999999</v>
      </c>
      <c r="H75" s="60">
        <f t="shared" si="11"/>
        <v>6182.9911758241542</v>
      </c>
      <c r="I75" s="60">
        <f t="shared" si="12"/>
        <v>6860.0867758241538</v>
      </c>
      <c r="J75" s="60">
        <f t="shared" si="7"/>
        <v>421.536796689254</v>
      </c>
      <c r="K75" s="60">
        <f t="shared" si="8"/>
        <v>5416.9911758241542</v>
      </c>
    </row>
    <row r="76" spans="1:11" ht="15">
      <c r="A76" s="55">
        <v>44385</v>
      </c>
      <c r="B76" s="56">
        <v>915</v>
      </c>
      <c r="C76" s="56">
        <f t="shared" si="9"/>
        <v>3660</v>
      </c>
      <c r="D76" s="57">
        <v>38.076923076878302</v>
      </c>
      <c r="E76" s="58">
        <v>3</v>
      </c>
      <c r="F76" s="58">
        <v>3</v>
      </c>
      <c r="G76" s="59">
        <f t="shared" si="10"/>
        <v>741.25440000000003</v>
      </c>
      <c r="H76" s="60">
        <f t="shared" si="11"/>
        <v>22.975582417556549</v>
      </c>
      <c r="I76" s="60">
        <f t="shared" si="12"/>
        <v>764.22998241755658</v>
      </c>
      <c r="J76" s="60">
        <f t="shared" si="7"/>
        <v>10.428980187911849</v>
      </c>
      <c r="K76" s="60">
        <f t="shared" si="8"/>
        <v>-892.02441758244345</v>
      </c>
    </row>
    <row r="77" spans="1:11" ht="15">
      <c r="A77" s="55">
        <v>44386</v>
      </c>
      <c r="B77" s="56">
        <v>1229</v>
      </c>
      <c r="C77" s="56">
        <f t="shared" si="9"/>
        <v>4916</v>
      </c>
      <c r="D77" s="57">
        <v>38.076923076878302</v>
      </c>
      <c r="E77" s="58">
        <v>3.5</v>
      </c>
      <c r="F77" s="58">
        <v>2</v>
      </c>
      <c r="G77" s="59">
        <f t="shared" si="10"/>
        <v>831.88760000000002</v>
      </c>
      <c r="H77" s="60">
        <f t="shared" si="11"/>
        <v>26.64184615381598</v>
      </c>
      <c r="I77" s="60">
        <f t="shared" si="12"/>
        <v>858.52944615381602</v>
      </c>
      <c r="J77" s="60">
        <f t="shared" si="7"/>
        <v>25.625984053188088</v>
      </c>
      <c r="K77" s="60">
        <f t="shared" si="8"/>
        <v>-1202.358153846184</v>
      </c>
    </row>
    <row r="78" spans="1:11" ht="15">
      <c r="A78" s="55">
        <v>44387</v>
      </c>
      <c r="B78" s="56">
        <v>1320</v>
      </c>
      <c r="C78" s="56">
        <f t="shared" si="9"/>
        <v>5280</v>
      </c>
      <c r="D78" s="57">
        <v>38.076923076878302</v>
      </c>
      <c r="E78" s="58">
        <v>3.5</v>
      </c>
      <c r="F78" s="58">
        <v>2</v>
      </c>
      <c r="G78" s="59">
        <f t="shared" si="10"/>
        <v>1042.3336000000002</v>
      </c>
      <c r="H78" s="60">
        <f t="shared" si="11"/>
        <v>26.64184615381598</v>
      </c>
      <c r="I78" s="60">
        <f t="shared" si="12"/>
        <v>1068.9754461538162</v>
      </c>
      <c r="J78" s="60">
        <f t="shared" si="7"/>
        <v>17.363731468093363</v>
      </c>
      <c r="K78" s="60">
        <f t="shared" si="8"/>
        <v>-1293.358153846184</v>
      </c>
    </row>
    <row r="79" spans="1:11" ht="15">
      <c r="A79" s="55">
        <v>44388</v>
      </c>
      <c r="B79" s="56">
        <v>1397</v>
      </c>
      <c r="C79" s="56">
        <f t="shared" si="9"/>
        <v>5588</v>
      </c>
      <c r="D79" s="57">
        <v>38.076923076878302</v>
      </c>
      <c r="E79" s="58">
        <v>3.5</v>
      </c>
      <c r="F79" s="58">
        <v>2</v>
      </c>
      <c r="G79" s="59">
        <f t="shared" si="10"/>
        <v>1273.2884000000001</v>
      </c>
      <c r="H79" s="60">
        <f t="shared" si="11"/>
        <v>27.983846153815978</v>
      </c>
      <c r="I79" s="60">
        <f t="shared" si="12"/>
        <v>1301.272246153816</v>
      </c>
      <c r="J79" s="60">
        <f t="shared" si="7"/>
        <v>6.6216271928816726</v>
      </c>
      <c r="K79" s="60">
        <f t="shared" si="8"/>
        <v>-1369.0161538461841</v>
      </c>
    </row>
    <row r="80" spans="1:11" ht="15">
      <c r="A80" s="55">
        <v>44389</v>
      </c>
      <c r="B80" s="56">
        <v>1764</v>
      </c>
      <c r="C80" s="56">
        <f t="shared" si="9"/>
        <v>7056</v>
      </c>
      <c r="D80" s="57">
        <v>38.076923076878302</v>
      </c>
      <c r="E80" s="58">
        <v>3.5</v>
      </c>
      <c r="F80" s="58">
        <v>2</v>
      </c>
      <c r="G80" s="59">
        <f t="shared" si="10"/>
        <v>1359.0748000000001</v>
      </c>
      <c r="H80" s="60">
        <f t="shared" si="11"/>
        <v>27.983846153815978</v>
      </c>
      <c r="I80" s="60">
        <f t="shared" si="12"/>
        <v>1387.058646153816</v>
      </c>
      <c r="J80" s="60">
        <f t="shared" si="7"/>
        <v>26.073578648466555</v>
      </c>
      <c r="K80" s="60">
        <f t="shared" si="8"/>
        <v>-1736.0161538461841</v>
      </c>
    </row>
    <row r="81" spans="1:11" ht="15">
      <c r="A81" s="55">
        <v>44390</v>
      </c>
      <c r="B81" s="56">
        <v>1802</v>
      </c>
      <c r="C81" s="56">
        <f t="shared" si="9"/>
        <v>7208</v>
      </c>
      <c r="D81" s="57">
        <v>38.076923076878302</v>
      </c>
      <c r="E81" s="58">
        <v>3.5</v>
      </c>
      <c r="F81" s="58">
        <v>2</v>
      </c>
      <c r="G81" s="59">
        <f t="shared" si="10"/>
        <v>1544.0708</v>
      </c>
      <c r="H81" s="60">
        <f t="shared" si="11"/>
        <v>27.983846153815978</v>
      </c>
      <c r="I81" s="60">
        <f t="shared" si="12"/>
        <v>1572.0546461538158</v>
      </c>
      <c r="J81" s="60">
        <f t="shared" si="7"/>
        <v>15.90565271542081</v>
      </c>
      <c r="K81" s="60">
        <f t="shared" si="8"/>
        <v>-1774.0161538461841</v>
      </c>
    </row>
    <row r="82" spans="1:11" ht="15">
      <c r="A82" s="55">
        <v>44391</v>
      </c>
      <c r="B82" s="56">
        <v>2229</v>
      </c>
      <c r="C82" s="56">
        <f t="shared" si="9"/>
        <v>8916</v>
      </c>
      <c r="D82" s="57">
        <v>32.637362637324202</v>
      </c>
      <c r="E82" s="58">
        <v>3.5</v>
      </c>
      <c r="F82" s="58">
        <v>2</v>
      </c>
      <c r="G82" s="59">
        <f t="shared" si="10"/>
        <v>1788.5512000000001</v>
      </c>
      <c r="H82" s="60">
        <f t="shared" si="11"/>
        <v>27.983846153815978</v>
      </c>
      <c r="I82" s="60">
        <f t="shared" si="12"/>
        <v>1816.535046153816</v>
      </c>
      <c r="J82" s="60">
        <f t="shared" si="7"/>
        <v>28.530797441325838</v>
      </c>
      <c r="K82" s="60">
        <f t="shared" si="8"/>
        <v>-2201.0161538461839</v>
      </c>
    </row>
    <row r="83" spans="1:11" ht="15">
      <c r="A83" s="55">
        <v>44392</v>
      </c>
      <c r="B83" s="56">
        <v>2691</v>
      </c>
      <c r="C83" s="56">
        <f t="shared" si="9"/>
        <v>10764</v>
      </c>
      <c r="D83" s="57">
        <v>115.76923076919878</v>
      </c>
      <c r="E83" s="58">
        <v>3.5</v>
      </c>
      <c r="F83" s="58">
        <v>2</v>
      </c>
      <c r="G83" s="59">
        <f t="shared" si="10"/>
        <v>1971.4148</v>
      </c>
      <c r="H83" s="60">
        <f t="shared" si="11"/>
        <v>27.983846153815978</v>
      </c>
      <c r="I83" s="60">
        <f t="shared" si="12"/>
        <v>1999.3986461538159</v>
      </c>
      <c r="J83" s="60">
        <f t="shared" si="7"/>
        <v>47.839065968476461</v>
      </c>
      <c r="K83" s="60">
        <f t="shared" si="8"/>
        <v>-2663.0161538461839</v>
      </c>
    </row>
    <row r="84" spans="1:11" ht="15">
      <c r="A84" s="55">
        <v>44393</v>
      </c>
      <c r="B84" s="56">
        <v>2436</v>
      </c>
      <c r="C84" s="56">
        <f t="shared" si="9"/>
        <v>9744</v>
      </c>
      <c r="D84" s="57">
        <v>198.90109890107331</v>
      </c>
      <c r="E84" s="58">
        <v>3.5</v>
      </c>
      <c r="F84" s="58">
        <v>2</v>
      </c>
      <c r="G84" s="59">
        <f t="shared" si="10"/>
        <v>2411.4488000000001</v>
      </c>
      <c r="H84" s="60">
        <f t="shared" si="11"/>
        <v>24.317582417556515</v>
      </c>
      <c r="I84" s="60">
        <f t="shared" si="12"/>
        <v>2435.7663824175565</v>
      </c>
      <c r="J84" s="60">
        <f t="shared" si="7"/>
        <v>1.615966607895648E-2</v>
      </c>
      <c r="K84" s="60">
        <f t="shared" si="8"/>
        <v>-2411.6824175824436</v>
      </c>
    </row>
    <row r="85" spans="1:11" ht="15">
      <c r="A85" s="55">
        <v>44394</v>
      </c>
      <c r="B85" s="56">
        <v>3420</v>
      </c>
      <c r="C85" s="56">
        <f t="shared" si="9"/>
        <v>13680</v>
      </c>
      <c r="D85" s="57">
        <v>282.03296703294785</v>
      </c>
      <c r="E85" s="58">
        <v>3.5</v>
      </c>
      <c r="F85" s="58">
        <v>2</v>
      </c>
      <c r="G85" s="59">
        <f t="shared" si="10"/>
        <v>2606.4380000000001</v>
      </c>
      <c r="H85" s="60">
        <f t="shared" si="11"/>
        <v>80.348461538439977</v>
      </c>
      <c r="I85" s="60">
        <f t="shared" si="12"/>
        <v>2686.7864615384401</v>
      </c>
      <c r="J85" s="60">
        <f t="shared" si="7"/>
        <v>50.717440965628548</v>
      </c>
      <c r="K85" s="60">
        <f t="shared" si="8"/>
        <v>-3339.65153846156</v>
      </c>
    </row>
    <row r="86" spans="1:11" ht="15">
      <c r="A86" s="55">
        <v>44395</v>
      </c>
      <c r="B86" s="56">
        <v>4083</v>
      </c>
      <c r="C86" s="56">
        <f t="shared" si="9"/>
        <v>16332</v>
      </c>
      <c r="D86" s="57">
        <v>365.16483516482236</v>
      </c>
      <c r="E86" s="58">
        <v>3.5</v>
      </c>
      <c r="F86" s="58">
        <v>2</v>
      </c>
      <c r="G86" s="59">
        <f t="shared" si="10"/>
        <v>2812.8416000000002</v>
      </c>
      <c r="H86" s="60">
        <f t="shared" si="11"/>
        <v>136.37934065932342</v>
      </c>
      <c r="I86" s="60">
        <f t="shared" si="12"/>
        <v>2949.2209406593238</v>
      </c>
      <c r="J86" s="60">
        <f t="shared" si="7"/>
        <v>78.425137417441817</v>
      </c>
      <c r="K86" s="60">
        <f t="shared" si="8"/>
        <v>-3946.6206593406764</v>
      </c>
    </row>
    <row r="87" spans="1:11" ht="15">
      <c r="A87" s="55">
        <v>44396</v>
      </c>
      <c r="B87" s="56">
        <v>3074</v>
      </c>
      <c r="C87" s="56">
        <f t="shared" si="9"/>
        <v>12296</v>
      </c>
      <c r="D87" s="57">
        <v>448.29670329669688</v>
      </c>
      <c r="E87" s="58">
        <v>3.5</v>
      </c>
      <c r="F87" s="58">
        <v>2</v>
      </c>
      <c r="G87" s="59">
        <f t="shared" si="10"/>
        <v>3677.3011999999999</v>
      </c>
      <c r="H87" s="60">
        <f t="shared" si="11"/>
        <v>192.41021978020686</v>
      </c>
      <c r="I87" s="60">
        <f t="shared" si="12"/>
        <v>3869.7114197802066</v>
      </c>
      <c r="J87" s="60">
        <f t="shared" si="7"/>
        <v>55.04050981253787</v>
      </c>
      <c r="K87" s="60">
        <f t="shared" si="8"/>
        <v>-2881.5897802197933</v>
      </c>
    </row>
    <row r="88" spans="1:11" ht="15">
      <c r="A88" s="55">
        <v>44397</v>
      </c>
      <c r="B88" s="56">
        <v>3322</v>
      </c>
      <c r="C88" s="56">
        <f t="shared" si="9"/>
        <v>13288</v>
      </c>
      <c r="D88" s="57">
        <v>323.59890109888511</v>
      </c>
      <c r="E88" s="58">
        <v>3.5</v>
      </c>
      <c r="F88" s="58">
        <v>2</v>
      </c>
      <c r="G88" s="59">
        <f t="shared" si="10"/>
        <v>3717.6484</v>
      </c>
      <c r="H88" s="60">
        <f t="shared" si="11"/>
        <v>248.44109890109027</v>
      </c>
      <c r="I88" s="60">
        <f t="shared" si="12"/>
        <v>3966.0894989010903</v>
      </c>
      <c r="J88" s="60">
        <f t="shared" si="7"/>
        <v>44.552602241413638</v>
      </c>
      <c r="K88" s="60">
        <f t="shared" si="8"/>
        <v>-3073.5589010989097</v>
      </c>
    </row>
    <row r="89" spans="1:11" ht="15">
      <c r="A89" s="55">
        <v>44398</v>
      </c>
      <c r="B89" s="56">
        <v>3558</v>
      </c>
      <c r="C89" s="56">
        <f t="shared" si="9"/>
        <v>14232</v>
      </c>
      <c r="D89" s="57">
        <v>354.77335164833806</v>
      </c>
      <c r="E89" s="58">
        <v>3.5</v>
      </c>
      <c r="F89" s="58">
        <v>2</v>
      </c>
      <c r="G89" s="59">
        <f t="shared" si="10"/>
        <v>3176.7552000000001</v>
      </c>
      <c r="H89" s="60">
        <f t="shared" si="11"/>
        <v>304.47197802197371</v>
      </c>
      <c r="I89" s="60">
        <f t="shared" si="12"/>
        <v>3481.2271780219739</v>
      </c>
      <c r="J89" s="60">
        <f t="shared" si="7"/>
        <v>5.3104871394015891</v>
      </c>
      <c r="K89" s="60">
        <f t="shared" si="8"/>
        <v>-3253.5280219780261</v>
      </c>
    </row>
    <row r="90" spans="1:11" ht="15">
      <c r="A90" s="55">
        <v>44399</v>
      </c>
      <c r="B90" s="56">
        <v>4473</v>
      </c>
      <c r="C90" s="56">
        <f t="shared" si="9"/>
        <v>17892</v>
      </c>
      <c r="D90" s="57">
        <v>3100</v>
      </c>
      <c r="E90" s="58">
        <v>3.5</v>
      </c>
      <c r="F90" s="58">
        <v>2</v>
      </c>
      <c r="G90" s="59">
        <f t="shared" si="10"/>
        <v>3420.2864</v>
      </c>
      <c r="H90" s="60">
        <f t="shared" si="11"/>
        <v>220.42565934064856</v>
      </c>
      <c r="I90" s="60">
        <f t="shared" si="12"/>
        <v>3640.7120593406485</v>
      </c>
      <c r="J90" s="60">
        <f t="shared" si="7"/>
        <v>57.570560665538274</v>
      </c>
      <c r="K90" s="60">
        <f t="shared" si="8"/>
        <v>-4252.574340659351</v>
      </c>
    </row>
    <row r="91" spans="1:11" ht="15">
      <c r="A91" s="55">
        <v>44400</v>
      </c>
      <c r="B91" s="56">
        <v>4913</v>
      </c>
      <c r="C91" s="56">
        <f t="shared" si="9"/>
        <v>19652</v>
      </c>
      <c r="D91" s="57">
        <v>3029</v>
      </c>
      <c r="E91" s="58">
        <v>3.5</v>
      </c>
      <c r="F91" s="58">
        <v>2</v>
      </c>
      <c r="G91" s="59">
        <f t="shared" si="10"/>
        <v>3909.1459999999997</v>
      </c>
      <c r="H91" s="60">
        <f t="shared" si="11"/>
        <v>241.43723901097985</v>
      </c>
      <c r="I91" s="60">
        <f t="shared" si="12"/>
        <v>4150.5832390109799</v>
      </c>
      <c r="J91" s="60">
        <f t="shared" si="7"/>
        <v>52.73747010700292</v>
      </c>
      <c r="K91" s="60">
        <f t="shared" si="8"/>
        <v>-4671.5627609890198</v>
      </c>
    </row>
    <row r="92" spans="1:11" ht="15">
      <c r="A92" s="55">
        <v>44401</v>
      </c>
      <c r="B92" s="56">
        <v>5546</v>
      </c>
      <c r="C92" s="56">
        <f t="shared" si="9"/>
        <v>22184</v>
      </c>
      <c r="D92" s="57">
        <v>16548</v>
      </c>
      <c r="E92" s="58">
        <v>3.5</v>
      </c>
      <c r="F92" s="58">
        <v>2</v>
      </c>
      <c r="G92" s="59">
        <f t="shared" si="10"/>
        <v>4647.2559999999994</v>
      </c>
      <c r="H92" s="60">
        <f t="shared" si="11"/>
        <v>2091.7199999999998</v>
      </c>
      <c r="I92" s="60">
        <f t="shared" si="12"/>
        <v>6738.9759999999987</v>
      </c>
      <c r="J92" s="60">
        <f t="shared" si="7"/>
        <v>82.519875424509337</v>
      </c>
      <c r="K92" s="60">
        <f t="shared" si="8"/>
        <v>-3454.28</v>
      </c>
    </row>
    <row r="93" spans="1:11" ht="15">
      <c r="A93" s="55">
        <v>44402</v>
      </c>
      <c r="B93" s="56">
        <v>4555</v>
      </c>
      <c r="C93" s="56">
        <f t="shared" si="9"/>
        <v>18220</v>
      </c>
      <c r="D93" s="57">
        <v>36094</v>
      </c>
      <c r="E93" s="58">
        <v>3.5</v>
      </c>
      <c r="F93" s="58">
        <v>2</v>
      </c>
      <c r="G93" s="59">
        <f t="shared" si="10"/>
        <v>5159.1291999999994</v>
      </c>
      <c r="H93" s="60">
        <f t="shared" si="11"/>
        <v>2043.8660000000002</v>
      </c>
      <c r="I93" s="60">
        <f t="shared" si="12"/>
        <v>7202.9951999999994</v>
      </c>
      <c r="J93" s="60">
        <f t="shared" si="7"/>
        <v>183.16565800879386</v>
      </c>
      <c r="K93" s="60">
        <f t="shared" si="8"/>
        <v>-2511.134</v>
      </c>
    </row>
    <row r="94" spans="1:11" ht="15">
      <c r="A94" s="55">
        <v>44403</v>
      </c>
      <c r="B94" s="56">
        <v>6097</v>
      </c>
      <c r="C94" s="56">
        <f t="shared" si="9"/>
        <v>24388</v>
      </c>
      <c r="D94" s="57">
        <v>47676</v>
      </c>
      <c r="E94" s="58">
        <v>3.5</v>
      </c>
      <c r="F94" s="58">
        <v>2</v>
      </c>
      <c r="G94" s="59">
        <f t="shared" si="10"/>
        <v>5187.3516</v>
      </c>
      <c r="H94" s="60">
        <f t="shared" si="11"/>
        <v>11155.672</v>
      </c>
      <c r="I94" s="60">
        <f t="shared" si="12"/>
        <v>16343.0236</v>
      </c>
      <c r="J94" s="60">
        <f t="shared" si="7"/>
        <v>708.73227212331483</v>
      </c>
      <c r="K94" s="60">
        <f t="shared" si="8"/>
        <v>5058.6720000000005</v>
      </c>
    </row>
    <row r="95" spans="1:11" ht="15">
      <c r="A95" s="55">
        <v>44404</v>
      </c>
      <c r="B95" s="56">
        <v>6622</v>
      </c>
      <c r="C95" s="56">
        <f t="shared" si="9"/>
        <v>26488</v>
      </c>
      <c r="D95" s="57">
        <v>39624</v>
      </c>
      <c r="E95" s="58">
        <v>3.5</v>
      </c>
      <c r="F95" s="58">
        <v>2</v>
      </c>
      <c r="G95" s="59">
        <f t="shared" si="10"/>
        <v>5139.6407999999992</v>
      </c>
      <c r="H95" s="60">
        <f t="shared" si="11"/>
        <v>24329.675999999999</v>
      </c>
      <c r="I95" s="60">
        <f t="shared" si="12"/>
        <v>29469.316800000001</v>
      </c>
      <c r="J95" s="60">
        <f t="shared" si="7"/>
        <v>1580.381949109036</v>
      </c>
      <c r="K95" s="60">
        <f t="shared" si="8"/>
        <v>17707.675999999999</v>
      </c>
    </row>
    <row r="96" spans="1:11" ht="15">
      <c r="A96" s="55">
        <v>44405</v>
      </c>
      <c r="B96" s="56">
        <v>4045</v>
      </c>
      <c r="C96" s="56">
        <f t="shared" si="9"/>
        <v>16180</v>
      </c>
      <c r="D96" s="57">
        <v>69211</v>
      </c>
      <c r="E96" s="58">
        <v>3.5</v>
      </c>
      <c r="F96" s="58">
        <v>2</v>
      </c>
      <c r="G96" s="59">
        <f t="shared" si="10"/>
        <v>6302.91</v>
      </c>
      <c r="H96" s="60">
        <f t="shared" si="11"/>
        <v>32135.944000000003</v>
      </c>
      <c r="I96" s="60">
        <f t="shared" si="12"/>
        <v>38438.854000000007</v>
      </c>
      <c r="J96" s="60">
        <f t="shared" si="7"/>
        <v>2379.0726279898054</v>
      </c>
      <c r="K96" s="60">
        <f t="shared" si="8"/>
        <v>28090.944000000003</v>
      </c>
    </row>
    <row r="97" spans="1:11" ht="15">
      <c r="A97" s="55">
        <v>44406</v>
      </c>
      <c r="B97" s="56">
        <v>2877</v>
      </c>
      <c r="C97" s="56">
        <f t="shared" si="9"/>
        <v>11508</v>
      </c>
      <c r="D97" s="57">
        <v>72646</v>
      </c>
      <c r="E97" s="58">
        <v>3.5</v>
      </c>
      <c r="F97" s="58">
        <v>2</v>
      </c>
      <c r="G97" s="59">
        <f t="shared" si="10"/>
        <v>5672.7252000000008</v>
      </c>
      <c r="H97" s="60">
        <f t="shared" si="11"/>
        <v>26708.896000000001</v>
      </c>
      <c r="I97" s="60">
        <f t="shared" si="12"/>
        <v>32381.621200000001</v>
      </c>
      <c r="J97" s="60">
        <f t="shared" si="7"/>
        <v>2040.8773234929622</v>
      </c>
      <c r="K97" s="60">
        <f t="shared" si="8"/>
        <v>23831.896000000001</v>
      </c>
    </row>
    <row r="98" spans="1:11" ht="15">
      <c r="A98" s="55">
        <v>44407</v>
      </c>
      <c r="B98" s="56">
        <v>1541</v>
      </c>
      <c r="C98" s="56">
        <f t="shared" si="9"/>
        <v>6164</v>
      </c>
      <c r="D98" s="57">
        <v>78122</v>
      </c>
      <c r="E98" s="58">
        <v>3.5</v>
      </c>
      <c r="F98" s="58">
        <v>2</v>
      </c>
      <c r="G98" s="59">
        <f t="shared" si="10"/>
        <v>3620.4368000000004</v>
      </c>
      <c r="H98" s="60">
        <f t="shared" si="11"/>
        <v>46650.534</v>
      </c>
      <c r="I98" s="60">
        <f t="shared" si="12"/>
        <v>50270.970800000003</v>
      </c>
      <c r="J98" s="60">
        <f t="shared" si="7"/>
        <v>3370.7225626131476</v>
      </c>
      <c r="K98" s="60">
        <f t="shared" si="8"/>
        <v>45109.534</v>
      </c>
    </row>
    <row r="99" spans="1:11" ht="15">
      <c r="A99" s="55">
        <v>44408</v>
      </c>
      <c r="B99" s="56">
        <v>4180</v>
      </c>
      <c r="C99" s="56">
        <f t="shared" si="9"/>
        <v>16720</v>
      </c>
      <c r="D99" s="57">
        <v>82709</v>
      </c>
      <c r="E99" s="58">
        <v>3.5</v>
      </c>
      <c r="F99" s="58">
        <v>2</v>
      </c>
      <c r="G99" s="59">
        <f t="shared" si="10"/>
        <v>2389.8735999999999</v>
      </c>
      <c r="H99" s="60">
        <f t="shared" si="11"/>
        <v>48965.724000000002</v>
      </c>
      <c r="I99" s="60">
        <f t="shared" si="12"/>
        <v>51355.597600000001</v>
      </c>
      <c r="J99" s="60">
        <f t="shared" si="7"/>
        <v>3263.2043201445676</v>
      </c>
      <c r="K99" s="60">
        <f t="shared" si="8"/>
        <v>44785.724000000002</v>
      </c>
    </row>
    <row r="100" spans="1:11" ht="15">
      <c r="A100" s="55">
        <v>44409</v>
      </c>
      <c r="B100" s="56">
        <v>2025</v>
      </c>
      <c r="C100" s="56">
        <f t="shared" si="9"/>
        <v>8100</v>
      </c>
      <c r="D100" s="57">
        <v>95500</v>
      </c>
      <c r="E100" s="58">
        <v>3.5</v>
      </c>
      <c r="F100" s="58">
        <v>2</v>
      </c>
      <c r="G100" s="59">
        <f t="shared" si="10"/>
        <v>2534.1635999999994</v>
      </c>
      <c r="H100" s="60">
        <f t="shared" si="11"/>
        <v>52656.548000000003</v>
      </c>
      <c r="I100" s="60">
        <f t="shared" si="12"/>
        <v>55190.711600000002</v>
      </c>
      <c r="J100" s="60">
        <f t="shared" si="7"/>
        <v>3677.5491695452347</v>
      </c>
      <c r="K100" s="60">
        <f t="shared" si="8"/>
        <v>50631.548000000003</v>
      </c>
    </row>
    <row r="101" spans="1:11" ht="15">
      <c r="A101" s="55">
        <v>44410</v>
      </c>
      <c r="B101" s="56">
        <v>2267</v>
      </c>
      <c r="C101" s="56">
        <f t="shared" si="9"/>
        <v>9068</v>
      </c>
      <c r="D101" s="57">
        <v>118121</v>
      </c>
      <c r="E101" s="58">
        <v>3.5</v>
      </c>
      <c r="F101" s="58">
        <v>2</v>
      </c>
      <c r="G101" s="59">
        <f t="shared" si="10"/>
        <v>3387.8780000000002</v>
      </c>
      <c r="H101" s="60">
        <f t="shared" si="11"/>
        <v>55748.186000000002</v>
      </c>
      <c r="I101" s="60">
        <f t="shared" si="12"/>
        <v>59136.063999999998</v>
      </c>
      <c r="J101" s="60">
        <f t="shared" si="7"/>
        <v>3933.7154115325484</v>
      </c>
      <c r="K101" s="60">
        <f t="shared" si="8"/>
        <v>53481.186000000002</v>
      </c>
    </row>
    <row r="102" spans="1:11" ht="15">
      <c r="A102" s="55">
        <v>44411</v>
      </c>
      <c r="B102" s="56">
        <v>4171</v>
      </c>
      <c r="C102" s="56">
        <f t="shared" si="9"/>
        <v>16684</v>
      </c>
      <c r="D102" s="57">
        <v>111878</v>
      </c>
      <c r="E102" s="58">
        <v>3.5</v>
      </c>
      <c r="F102" s="58">
        <v>2</v>
      </c>
      <c r="G102" s="59">
        <f t="shared" ref="G102:G133" si="13">10.4+B101-0.6276*(B101-B100)</f>
        <v>2125.5208000000002</v>
      </c>
      <c r="H102" s="60">
        <f t="shared" si="11"/>
        <v>64369.320000000007</v>
      </c>
      <c r="I102" s="60">
        <f t="shared" si="12"/>
        <v>66494.840800000005</v>
      </c>
      <c r="J102" s="60">
        <f t="shared" si="7"/>
        <v>4311.0302125046592</v>
      </c>
      <c r="K102" s="60">
        <f t="shared" si="8"/>
        <v>60198.320000000007</v>
      </c>
    </row>
    <row r="103" spans="1:11" ht="15">
      <c r="A103" s="55">
        <v>44412</v>
      </c>
      <c r="B103" s="56">
        <v>936</v>
      </c>
      <c r="C103" s="56">
        <f t="shared" si="9"/>
        <v>3744</v>
      </c>
      <c r="D103" s="57">
        <v>145576</v>
      </c>
      <c r="E103" s="58">
        <v>3.5</v>
      </c>
      <c r="F103" s="58">
        <v>2</v>
      </c>
      <c r="G103" s="59">
        <f t="shared" si="13"/>
        <v>2986.4495999999995</v>
      </c>
      <c r="H103" s="60">
        <f t="shared" si="11"/>
        <v>79615.874000000011</v>
      </c>
      <c r="I103" s="60">
        <f t="shared" si="12"/>
        <v>82602.323600000003</v>
      </c>
      <c r="J103" s="60">
        <f t="shared" si="7"/>
        <v>5648.9777244887364</v>
      </c>
      <c r="K103" s="60">
        <f t="shared" si="8"/>
        <v>78679.874000000011</v>
      </c>
    </row>
    <row r="104" spans="1:11" ht="15">
      <c r="A104" s="55">
        <v>44413</v>
      </c>
      <c r="B104" s="56">
        <v>3886</v>
      </c>
      <c r="C104" s="56">
        <f t="shared" si="9"/>
        <v>15544</v>
      </c>
      <c r="D104" s="57">
        <v>671513</v>
      </c>
      <c r="E104" s="58">
        <v>3.5</v>
      </c>
      <c r="F104" s="58">
        <v>2</v>
      </c>
      <c r="G104" s="59">
        <f t="shared" si="13"/>
        <v>2976.6860000000001</v>
      </c>
      <c r="H104" s="60">
        <f t="shared" si="11"/>
        <v>75408.092000000019</v>
      </c>
      <c r="I104" s="60">
        <f t="shared" si="12"/>
        <v>78384.77800000002</v>
      </c>
      <c r="J104" s="60">
        <f t="shared" si="7"/>
        <v>5153.1882282947736</v>
      </c>
      <c r="K104" s="60">
        <f t="shared" si="8"/>
        <v>71522.092000000019</v>
      </c>
    </row>
    <row r="105" spans="1:11" ht="15">
      <c r="A105" s="55">
        <v>44414</v>
      </c>
      <c r="B105" s="56">
        <v>1497</v>
      </c>
      <c r="C105" s="56">
        <f t="shared" si="9"/>
        <v>5988</v>
      </c>
      <c r="D105" s="57">
        <v>250243</v>
      </c>
      <c r="E105" s="58">
        <v>3.5</v>
      </c>
      <c r="F105" s="58">
        <v>2</v>
      </c>
      <c r="G105" s="59">
        <f t="shared" si="13"/>
        <v>2044.98</v>
      </c>
      <c r="H105" s="60">
        <f t="shared" si="11"/>
        <v>98120.544000000009</v>
      </c>
      <c r="I105" s="60">
        <f t="shared" si="12"/>
        <v>100165.524</v>
      </c>
      <c r="J105" s="60">
        <f t="shared" si="7"/>
        <v>6825.0445179116923</v>
      </c>
      <c r="K105" s="60">
        <f t="shared" si="8"/>
        <v>96623.544000000009</v>
      </c>
    </row>
    <row r="106" spans="1:11" ht="15">
      <c r="A106" s="55">
        <v>44415</v>
      </c>
      <c r="B106" s="56">
        <v>5827</v>
      </c>
      <c r="C106" s="56">
        <f t="shared" si="9"/>
        <v>23308</v>
      </c>
      <c r="D106" s="57">
        <v>210791.42857142858</v>
      </c>
      <c r="E106" s="58">
        <v>3.5</v>
      </c>
      <c r="F106" s="58">
        <v>2</v>
      </c>
      <c r="G106" s="59">
        <f t="shared" si="13"/>
        <v>3006.7364000000002</v>
      </c>
      <c r="H106" s="60">
        <f t="shared" si="11"/>
        <v>452602.08200000005</v>
      </c>
      <c r="I106" s="60">
        <f t="shared" si="12"/>
        <v>455608.81840000005</v>
      </c>
      <c r="J106" s="60">
        <f t="shared" si="7"/>
        <v>31112.058937126418</v>
      </c>
      <c r="K106" s="60">
        <f t="shared" si="8"/>
        <v>446775.08200000005</v>
      </c>
    </row>
    <row r="107" spans="1:11" ht="15">
      <c r="A107" s="55">
        <v>44416</v>
      </c>
      <c r="B107" s="56">
        <v>2002</v>
      </c>
      <c r="C107" s="56">
        <f t="shared" si="9"/>
        <v>8008</v>
      </c>
      <c r="D107" s="57">
        <v>319530.85714285716</v>
      </c>
      <c r="E107" s="58">
        <v>3.5</v>
      </c>
      <c r="F107" s="58">
        <v>2</v>
      </c>
      <c r="G107" s="59">
        <f t="shared" si="13"/>
        <v>3119.8919999999994</v>
      </c>
      <c r="H107" s="60">
        <f t="shared" si="11"/>
        <v>168666.10200000001</v>
      </c>
      <c r="I107" s="60">
        <f t="shared" si="12"/>
        <v>171785.99400000001</v>
      </c>
      <c r="J107" s="60">
        <f t="shared" si="7"/>
        <v>11744.204438275085</v>
      </c>
      <c r="K107" s="60">
        <f t="shared" si="8"/>
        <v>166664.10200000001</v>
      </c>
    </row>
    <row r="108" spans="1:11" ht="15">
      <c r="A108" s="55">
        <v>44417</v>
      </c>
      <c r="B108" s="56">
        <v>4132</v>
      </c>
      <c r="C108" s="56">
        <f t="shared" si="9"/>
        <v>16528</v>
      </c>
      <c r="D108" s="57">
        <v>363019.57142857148</v>
      </c>
      <c r="E108" s="58">
        <v>3.5</v>
      </c>
      <c r="F108" s="58">
        <v>2</v>
      </c>
      <c r="G108" s="59">
        <f t="shared" si="13"/>
        <v>4412.97</v>
      </c>
      <c r="H108" s="60">
        <f t="shared" si="11"/>
        <v>142075.74285714288</v>
      </c>
      <c r="I108" s="60">
        <f t="shared" si="12"/>
        <v>146488.71285714288</v>
      </c>
      <c r="J108" s="60">
        <f t="shared" si="7"/>
        <v>9847.0197311715328</v>
      </c>
      <c r="K108" s="60">
        <f t="shared" si="8"/>
        <v>137943.74285714288</v>
      </c>
    </row>
    <row r="109" spans="1:11" ht="15">
      <c r="A109" s="55">
        <v>44418</v>
      </c>
      <c r="B109" s="56">
        <v>1466</v>
      </c>
      <c r="C109" s="56">
        <f t="shared" si="9"/>
        <v>5864</v>
      </c>
      <c r="D109" s="57">
        <v>285896.21428571432</v>
      </c>
      <c r="E109" s="58">
        <v>3.5</v>
      </c>
      <c r="F109" s="58">
        <v>2</v>
      </c>
      <c r="G109" s="59">
        <f t="shared" si="13"/>
        <v>2805.6119999999996</v>
      </c>
      <c r="H109" s="60">
        <f t="shared" si="11"/>
        <v>215366.11771428573</v>
      </c>
      <c r="I109" s="60">
        <f t="shared" si="12"/>
        <v>218171.72971428573</v>
      </c>
      <c r="J109" s="60">
        <f t="shared" si="7"/>
        <v>14989.848764602364</v>
      </c>
      <c r="K109" s="60">
        <f t="shared" si="8"/>
        <v>213900.11771428573</v>
      </c>
    </row>
    <row r="110" spans="1:11" ht="15">
      <c r="A110" s="55">
        <v>44419</v>
      </c>
      <c r="B110" s="56">
        <v>3609</v>
      </c>
      <c r="C110" s="56">
        <f t="shared" si="9"/>
        <v>14436</v>
      </c>
      <c r="D110" s="57">
        <v>294809.51785714284</v>
      </c>
      <c r="E110" s="58">
        <v>3.5</v>
      </c>
      <c r="F110" s="58">
        <v>2</v>
      </c>
      <c r="G110" s="59">
        <f t="shared" si="13"/>
        <v>3149.5816000000004</v>
      </c>
      <c r="H110" s="60">
        <f t="shared" si="11"/>
        <v>244677.5111428572</v>
      </c>
      <c r="I110" s="60">
        <f t="shared" si="12"/>
        <v>247827.0927428572</v>
      </c>
      <c r="J110" s="60">
        <f t="shared" si="7"/>
        <v>16892.918708802077</v>
      </c>
      <c r="K110" s="60">
        <f t="shared" si="8"/>
        <v>241068.5111428572</v>
      </c>
    </row>
    <row r="111" spans="1:11" ht="15">
      <c r="A111" s="55">
        <v>44420</v>
      </c>
      <c r="B111" s="56">
        <v>1521</v>
      </c>
      <c r="C111" s="56">
        <f t="shared" si="9"/>
        <v>6084</v>
      </c>
      <c r="D111" s="57">
        <v>315814.04017857148</v>
      </c>
      <c r="E111" s="58">
        <v>3.5</v>
      </c>
      <c r="F111" s="58">
        <v>2</v>
      </c>
      <c r="G111" s="59">
        <f t="shared" si="13"/>
        <v>2274.4531999999999</v>
      </c>
      <c r="H111" s="60">
        <f t="shared" si="11"/>
        <v>192696.36842857147</v>
      </c>
      <c r="I111" s="60">
        <f t="shared" si="12"/>
        <v>194970.82162857146</v>
      </c>
      <c r="J111" s="60">
        <f t="shared" si="7"/>
        <v>13381.203965279508</v>
      </c>
      <c r="K111" s="60">
        <f t="shared" si="8"/>
        <v>191175.36842857147</v>
      </c>
    </row>
    <row r="112" spans="1:11" ht="15">
      <c r="A112" s="55">
        <v>44421</v>
      </c>
      <c r="B112" s="56">
        <v>3399</v>
      </c>
      <c r="C112" s="56">
        <f t="shared" si="9"/>
        <v>13596</v>
      </c>
      <c r="D112" s="57">
        <v>93993</v>
      </c>
      <c r="E112" s="58">
        <v>3.5</v>
      </c>
      <c r="F112" s="58">
        <v>2</v>
      </c>
      <c r="G112" s="59">
        <f t="shared" si="13"/>
        <v>2841.8288000000002</v>
      </c>
      <c r="H112" s="60">
        <f t="shared" si="11"/>
        <v>198703.9350357143</v>
      </c>
      <c r="I112" s="60">
        <f t="shared" si="12"/>
        <v>201545.76383571429</v>
      </c>
      <c r="J112" s="60">
        <f t="shared" si="7"/>
        <v>13706.098251341882</v>
      </c>
      <c r="K112" s="60">
        <f t="shared" si="8"/>
        <v>195304.9350357143</v>
      </c>
    </row>
    <row r="113" spans="1:11" ht="15">
      <c r="A113" s="55">
        <v>44422</v>
      </c>
      <c r="B113" s="56">
        <v>4915</v>
      </c>
      <c r="C113" s="56">
        <f t="shared" si="9"/>
        <v>19660</v>
      </c>
      <c r="D113" s="57">
        <v>85608</v>
      </c>
      <c r="E113" s="58">
        <v>3.5</v>
      </c>
      <c r="F113" s="58">
        <v>2</v>
      </c>
      <c r="G113" s="59">
        <f t="shared" si="13"/>
        <v>2230.7672000000002</v>
      </c>
      <c r="H113" s="60">
        <f t="shared" si="11"/>
        <v>212860.9830803572</v>
      </c>
      <c r="I113" s="60">
        <f t="shared" si="12"/>
        <v>215091.7502803572</v>
      </c>
      <c r="J113" s="60">
        <f t="shared" si="7"/>
        <v>14538.229813729113</v>
      </c>
      <c r="K113" s="60">
        <f t="shared" si="8"/>
        <v>207945.9830803572</v>
      </c>
    </row>
    <row r="114" spans="1:11" ht="15">
      <c r="A114" s="55">
        <v>44423</v>
      </c>
      <c r="B114" s="56">
        <v>3975</v>
      </c>
      <c r="C114" s="56">
        <f t="shared" si="9"/>
        <v>15900</v>
      </c>
      <c r="D114" s="57">
        <v>197556.13950892858</v>
      </c>
      <c r="E114" s="58">
        <v>3.5</v>
      </c>
      <c r="F114" s="58">
        <v>2</v>
      </c>
      <c r="G114" s="59">
        <f t="shared" si="13"/>
        <v>3973.9583999999995</v>
      </c>
      <c r="H114" s="60">
        <f t="shared" si="11"/>
        <v>63353.602000000006</v>
      </c>
      <c r="I114" s="60">
        <f t="shared" si="12"/>
        <v>67327.560400000002</v>
      </c>
      <c r="J114" s="60">
        <f t="shared" si="7"/>
        <v>4382.188235162912</v>
      </c>
      <c r="K114" s="60">
        <f t="shared" si="8"/>
        <v>59378.602000000006</v>
      </c>
    </row>
    <row r="115" spans="1:11" ht="15">
      <c r="A115" s="55">
        <v>44424</v>
      </c>
      <c r="B115" s="56">
        <v>2855</v>
      </c>
      <c r="C115" s="56">
        <f t="shared" si="9"/>
        <v>11420</v>
      </c>
      <c r="D115" s="57">
        <v>194435</v>
      </c>
      <c r="E115" s="58">
        <v>3.5</v>
      </c>
      <c r="F115" s="58">
        <v>2</v>
      </c>
      <c r="G115" s="59">
        <f t="shared" si="13"/>
        <v>4575.3440000000001</v>
      </c>
      <c r="H115" s="60">
        <f t="shared" si="11"/>
        <v>57702.112000000001</v>
      </c>
      <c r="I115" s="60">
        <f t="shared" si="12"/>
        <v>62277.455999999998</v>
      </c>
      <c r="J115" s="60">
        <f t="shared" si="7"/>
        <v>4110.3372293645407</v>
      </c>
      <c r="K115" s="60">
        <f t="shared" si="8"/>
        <v>54847.112000000001</v>
      </c>
    </row>
    <row r="116" spans="1:11" ht="15">
      <c r="A116" s="55">
        <v>44425</v>
      </c>
      <c r="B116" s="56">
        <v>3740</v>
      </c>
      <c r="C116" s="56">
        <f t="shared" si="9"/>
        <v>14960</v>
      </c>
      <c r="D116" s="57">
        <v>126157</v>
      </c>
      <c r="E116" s="58">
        <v>3.5</v>
      </c>
      <c r="F116" s="58">
        <v>2</v>
      </c>
      <c r="G116" s="59">
        <f t="shared" si="13"/>
        <v>3568.3119999999999</v>
      </c>
      <c r="H116" s="60">
        <f t="shared" si="11"/>
        <v>133155.15802901788</v>
      </c>
      <c r="I116" s="60">
        <f t="shared" si="12"/>
        <v>136723.47002901789</v>
      </c>
      <c r="J116" s="60">
        <f t="shared" si="7"/>
        <v>9198.6589674172319</v>
      </c>
      <c r="K116" s="60">
        <f t="shared" si="8"/>
        <v>129415.15802901788</v>
      </c>
    </row>
    <row r="117" spans="1:11" ht="15">
      <c r="A117" s="55">
        <v>44426</v>
      </c>
      <c r="B117" s="56">
        <v>3873</v>
      </c>
      <c r="C117" s="56">
        <f t="shared" si="9"/>
        <v>15492</v>
      </c>
      <c r="D117" s="57">
        <v>150939.03487723216</v>
      </c>
      <c r="E117" s="58">
        <v>3.5</v>
      </c>
      <c r="F117" s="58">
        <v>2</v>
      </c>
      <c r="G117" s="59">
        <f t="shared" si="13"/>
        <v>3194.9740000000002</v>
      </c>
      <c r="H117" s="60">
        <f t="shared" si="11"/>
        <v>131051.51000000001</v>
      </c>
      <c r="I117" s="60">
        <f t="shared" si="12"/>
        <v>134246.484</v>
      </c>
      <c r="J117" s="60">
        <f t="shared" si="7"/>
        <v>9018.1224587412271</v>
      </c>
      <c r="K117" s="60">
        <f t="shared" si="8"/>
        <v>127178.51000000001</v>
      </c>
    </row>
    <row r="118" spans="1:11" ht="15">
      <c r="A118" s="55">
        <v>44427</v>
      </c>
      <c r="B118" s="56">
        <v>4307</v>
      </c>
      <c r="C118" s="56">
        <f t="shared" si="9"/>
        <v>17228</v>
      </c>
      <c r="D118" s="57">
        <v>142223</v>
      </c>
      <c r="E118" s="58">
        <v>3.5</v>
      </c>
      <c r="F118" s="58">
        <v>2</v>
      </c>
      <c r="G118" s="59">
        <f t="shared" si="13"/>
        <v>3799.9292</v>
      </c>
      <c r="H118" s="60">
        <f t="shared" si="11"/>
        <v>85032.138000000006</v>
      </c>
      <c r="I118" s="60">
        <f t="shared" si="12"/>
        <v>88832.067200000005</v>
      </c>
      <c r="J118" s="60">
        <f t="shared" si="7"/>
        <v>5846.7211541491934</v>
      </c>
      <c r="K118" s="60">
        <f t="shared" si="8"/>
        <v>80725.138000000006</v>
      </c>
    </row>
    <row r="119" spans="1:11" ht="15">
      <c r="A119" s="55">
        <v>44428</v>
      </c>
      <c r="B119" s="56">
        <v>3504</v>
      </c>
      <c r="C119" s="56">
        <f t="shared" si="9"/>
        <v>14016</v>
      </c>
      <c r="D119" s="57">
        <v>116523</v>
      </c>
      <c r="E119" s="58">
        <v>3.5</v>
      </c>
      <c r="F119" s="58">
        <v>2</v>
      </c>
      <c r="G119" s="59">
        <f t="shared" si="13"/>
        <v>4045.0215999999996</v>
      </c>
      <c r="H119" s="60">
        <f t="shared" si="11"/>
        <v>101735.22950725449</v>
      </c>
      <c r="I119" s="60">
        <f t="shared" si="12"/>
        <v>105780.25110725449</v>
      </c>
      <c r="J119" s="60">
        <f t="shared" si="7"/>
        <v>7074.5962200886561</v>
      </c>
      <c r="K119" s="60">
        <f t="shared" si="8"/>
        <v>98231.229507254495</v>
      </c>
    </row>
    <row r="120" spans="1:11" ht="15">
      <c r="A120" s="55">
        <v>44429</v>
      </c>
      <c r="B120" s="56">
        <v>4084</v>
      </c>
      <c r="C120" s="56">
        <f t="shared" si="9"/>
        <v>16336</v>
      </c>
      <c r="D120" s="57">
        <v>95516</v>
      </c>
      <c r="E120" s="58">
        <v>3.5</v>
      </c>
      <c r="F120" s="58">
        <v>2</v>
      </c>
      <c r="G120" s="59">
        <f t="shared" si="13"/>
        <v>4018.3627999999999</v>
      </c>
      <c r="H120" s="60">
        <f t="shared" si="11"/>
        <v>95860.622000000018</v>
      </c>
      <c r="I120" s="60">
        <f t="shared" si="12"/>
        <v>99878.98480000002</v>
      </c>
      <c r="J120" s="60">
        <f t="shared" si="7"/>
        <v>6626.2776551990783</v>
      </c>
      <c r="K120" s="60">
        <f t="shared" si="8"/>
        <v>91776.622000000018</v>
      </c>
    </row>
    <row r="121" spans="1:11" ht="15">
      <c r="A121" s="55">
        <v>44430</v>
      </c>
      <c r="B121" s="56">
        <v>4193</v>
      </c>
      <c r="C121" s="56">
        <f t="shared" si="9"/>
        <v>16772</v>
      </c>
      <c r="D121" s="57">
        <v>61574</v>
      </c>
      <c r="E121" s="58">
        <v>3.5</v>
      </c>
      <c r="F121" s="58">
        <v>2</v>
      </c>
      <c r="G121" s="59">
        <f t="shared" si="13"/>
        <v>3730.3919999999998</v>
      </c>
      <c r="H121" s="60">
        <f t="shared" si="11"/>
        <v>78538.822000000015</v>
      </c>
      <c r="I121" s="60">
        <f t="shared" si="12"/>
        <v>82269.214000000007</v>
      </c>
      <c r="J121" s="60">
        <f t="shared" si="7"/>
        <v>5400.6446507702922</v>
      </c>
      <c r="K121" s="60">
        <f t="shared" si="8"/>
        <v>74345.822000000015</v>
      </c>
    </row>
    <row r="122" spans="1:11" ht="15">
      <c r="A122" s="55">
        <v>44431</v>
      </c>
      <c r="B122" s="56">
        <v>4251</v>
      </c>
      <c r="C122" s="56">
        <f t="shared" si="9"/>
        <v>17004</v>
      </c>
      <c r="D122" s="57">
        <v>58817</v>
      </c>
      <c r="E122" s="58">
        <v>5</v>
      </c>
      <c r="F122" s="58">
        <v>1</v>
      </c>
      <c r="G122" s="59">
        <f t="shared" si="13"/>
        <v>4134.9915999999994</v>
      </c>
      <c r="H122" s="60">
        <f t="shared" si="11"/>
        <v>64380.104000000007</v>
      </c>
      <c r="I122" s="60">
        <f t="shared" si="12"/>
        <v>68515.095600000001</v>
      </c>
      <c r="J122" s="60">
        <f t="shared" si="7"/>
        <v>4445.2404433792162</v>
      </c>
      <c r="K122" s="60">
        <f t="shared" si="8"/>
        <v>60129.104000000007</v>
      </c>
    </row>
    <row r="123" spans="1:11" ht="15">
      <c r="A123" s="55">
        <v>44432</v>
      </c>
      <c r="B123" s="56">
        <v>4634</v>
      </c>
      <c r="C123" s="56">
        <f t="shared" si="9"/>
        <v>18536</v>
      </c>
      <c r="D123" s="57">
        <v>37746</v>
      </c>
      <c r="E123" s="58">
        <v>5</v>
      </c>
      <c r="F123" s="58">
        <v>1</v>
      </c>
      <c r="G123" s="59">
        <f t="shared" si="13"/>
        <v>4224.9991999999993</v>
      </c>
      <c r="H123" s="60">
        <f t="shared" si="11"/>
        <v>41503.196000000004</v>
      </c>
      <c r="I123" s="60">
        <f t="shared" si="12"/>
        <v>45728.195200000002</v>
      </c>
      <c r="J123" s="60">
        <f t="shared" si="7"/>
        <v>2842.544920077582</v>
      </c>
      <c r="K123" s="60">
        <f t="shared" si="8"/>
        <v>36869.196000000004</v>
      </c>
    </row>
    <row r="124" spans="1:11" ht="15">
      <c r="A124" s="55">
        <v>44433</v>
      </c>
      <c r="B124" s="56">
        <v>5294</v>
      </c>
      <c r="C124" s="56">
        <f t="shared" si="9"/>
        <v>21176</v>
      </c>
      <c r="D124" s="57">
        <v>57982</v>
      </c>
      <c r="E124" s="58">
        <v>5</v>
      </c>
      <c r="F124" s="58">
        <v>1</v>
      </c>
      <c r="G124" s="59">
        <f t="shared" si="13"/>
        <v>4404.0291999999999</v>
      </c>
      <c r="H124" s="60">
        <f t="shared" si="11"/>
        <v>39647.432000000001</v>
      </c>
      <c r="I124" s="60">
        <f t="shared" si="12"/>
        <v>44051.461199999998</v>
      </c>
      <c r="J124" s="60">
        <f t="shared" si="7"/>
        <v>2680.9096494768191</v>
      </c>
      <c r="K124" s="60">
        <f t="shared" si="8"/>
        <v>34353.432000000001</v>
      </c>
    </row>
    <row r="125" spans="1:11" ht="15">
      <c r="A125" s="55">
        <v>44434</v>
      </c>
      <c r="B125" s="56">
        <v>3934</v>
      </c>
      <c r="C125" s="56">
        <f t="shared" si="9"/>
        <v>15736</v>
      </c>
      <c r="D125" s="57">
        <v>51886</v>
      </c>
      <c r="E125" s="58">
        <v>5</v>
      </c>
      <c r="F125" s="58">
        <v>1</v>
      </c>
      <c r="G125" s="59">
        <f t="shared" si="13"/>
        <v>4890.1839999999993</v>
      </c>
      <c r="H125" s="60">
        <f t="shared" si="11"/>
        <v>25445.578000000001</v>
      </c>
      <c r="I125" s="60">
        <f t="shared" si="12"/>
        <v>30335.762000000002</v>
      </c>
      <c r="J125" s="60">
        <f t="shared" si="7"/>
        <v>1826.2480646949703</v>
      </c>
      <c r="K125" s="60">
        <f t="shared" si="8"/>
        <v>21511.578000000001</v>
      </c>
    </row>
    <row r="126" spans="1:11" ht="15">
      <c r="A126" s="55">
        <v>44435</v>
      </c>
      <c r="B126" s="56">
        <v>5383</v>
      </c>
      <c r="C126" s="56">
        <f t="shared" si="9"/>
        <v>21532</v>
      </c>
      <c r="D126" s="57">
        <v>62349</v>
      </c>
      <c r="E126" s="58">
        <v>5</v>
      </c>
      <c r="F126" s="58">
        <v>1</v>
      </c>
      <c r="G126" s="59">
        <f t="shared" si="13"/>
        <v>4797.9359999999997</v>
      </c>
      <c r="H126" s="60">
        <f t="shared" si="11"/>
        <v>39084.642</v>
      </c>
      <c r="I126" s="60">
        <f t="shared" si="12"/>
        <v>43882.578000000001</v>
      </c>
      <c r="J126" s="60">
        <f t="shared" si="7"/>
        <v>2663.0714955340127</v>
      </c>
      <c r="K126" s="60">
        <f t="shared" si="8"/>
        <v>33701.642</v>
      </c>
    </row>
    <row r="127" spans="1:11" ht="15">
      <c r="A127" s="55">
        <v>44436</v>
      </c>
      <c r="B127" s="56">
        <v>5481</v>
      </c>
      <c r="C127" s="56">
        <f t="shared" si="9"/>
        <v>21924</v>
      </c>
      <c r="D127" s="57">
        <v>39546</v>
      </c>
      <c r="E127" s="58">
        <v>5</v>
      </c>
      <c r="F127" s="58">
        <v>1</v>
      </c>
      <c r="G127" s="59">
        <f t="shared" si="13"/>
        <v>4484.0075999999999</v>
      </c>
      <c r="H127" s="60">
        <f t="shared" si="11"/>
        <v>34975.938000000002</v>
      </c>
      <c r="I127" s="60">
        <f t="shared" si="12"/>
        <v>39459.945599999999</v>
      </c>
      <c r="J127" s="60">
        <f t="shared" si="7"/>
        <v>2350.3728138438514</v>
      </c>
      <c r="K127" s="60">
        <f t="shared" si="8"/>
        <v>29494.938000000002</v>
      </c>
    </row>
    <row r="128" spans="1:11" ht="15">
      <c r="A128" s="55">
        <v>44437</v>
      </c>
      <c r="B128" s="56">
        <v>4957</v>
      </c>
      <c r="C128" s="56">
        <f t="shared" si="9"/>
        <v>19828</v>
      </c>
      <c r="D128" s="57">
        <v>32603</v>
      </c>
      <c r="E128" s="58">
        <v>5</v>
      </c>
      <c r="F128" s="58">
        <v>1</v>
      </c>
      <c r="G128" s="59">
        <f t="shared" si="13"/>
        <v>5429.8951999999999</v>
      </c>
      <c r="H128" s="60">
        <f t="shared" si="11"/>
        <v>42028</v>
      </c>
      <c r="I128" s="60">
        <f t="shared" si="12"/>
        <v>47457.895199999999</v>
      </c>
      <c r="J128" s="60">
        <f t="shared" si="7"/>
        <v>2939.8483937096225</v>
      </c>
      <c r="K128" s="60">
        <f t="shared" si="8"/>
        <v>37071</v>
      </c>
    </row>
    <row r="129" spans="1:11" ht="15">
      <c r="A129" s="55">
        <v>44438</v>
      </c>
      <c r="B129" s="56">
        <v>5889</v>
      </c>
      <c r="C129" s="56">
        <f t="shared" si="9"/>
        <v>23556</v>
      </c>
      <c r="D129" s="57">
        <v>30109</v>
      </c>
      <c r="E129" s="58">
        <v>5</v>
      </c>
      <c r="F129" s="58">
        <v>1</v>
      </c>
      <c r="G129" s="59">
        <f t="shared" si="13"/>
        <v>5296.2623999999996</v>
      </c>
      <c r="H129" s="60">
        <f t="shared" si="11"/>
        <v>26658.778000000002</v>
      </c>
      <c r="I129" s="60">
        <f t="shared" si="12"/>
        <v>31955.040400000002</v>
      </c>
      <c r="J129" s="60">
        <f t="shared" si="7"/>
        <v>1803.0257160397443</v>
      </c>
      <c r="K129" s="60">
        <f t="shared" si="8"/>
        <v>20769.778000000002</v>
      </c>
    </row>
    <row r="130" spans="1:11" ht="15">
      <c r="A130" s="55">
        <v>44439</v>
      </c>
      <c r="B130" s="56">
        <v>5444</v>
      </c>
      <c r="C130" s="56">
        <f t="shared" si="9"/>
        <v>21776</v>
      </c>
      <c r="D130" s="57">
        <v>40212</v>
      </c>
      <c r="E130" s="58">
        <v>5</v>
      </c>
      <c r="F130" s="58">
        <v>1</v>
      </c>
      <c r="G130" s="59">
        <f t="shared" si="13"/>
        <v>5314.4767999999995</v>
      </c>
      <c r="H130" s="60">
        <f t="shared" si="11"/>
        <v>21979.196000000004</v>
      </c>
      <c r="I130" s="60">
        <f t="shared" si="12"/>
        <v>27293.672800000004</v>
      </c>
      <c r="J130" s="60">
        <f t="shared" si="7"/>
        <v>1511.3734706501157</v>
      </c>
      <c r="K130" s="60">
        <f t="shared" si="8"/>
        <v>16535.196000000004</v>
      </c>
    </row>
    <row r="131" spans="1:11" ht="15">
      <c r="A131" s="55">
        <v>44440</v>
      </c>
      <c r="B131" s="56">
        <v>5368</v>
      </c>
      <c r="C131" s="56">
        <f t="shared" si="9"/>
        <v>21472</v>
      </c>
      <c r="D131" s="57">
        <v>33448</v>
      </c>
      <c r="E131" s="58">
        <v>5</v>
      </c>
      <c r="F131" s="58">
        <v>1</v>
      </c>
      <c r="G131" s="59">
        <f t="shared" si="13"/>
        <v>5733.6819999999998</v>
      </c>
      <c r="H131" s="60">
        <f t="shared" si="11"/>
        <v>20298.240000000002</v>
      </c>
      <c r="I131" s="60">
        <f t="shared" si="12"/>
        <v>26031.922000000002</v>
      </c>
      <c r="J131" s="60">
        <f t="shared" si="7"/>
        <v>1429.3533727600386</v>
      </c>
      <c r="K131" s="60">
        <f t="shared" si="8"/>
        <v>14930.240000000002</v>
      </c>
    </row>
    <row r="132" spans="1:11" ht="15">
      <c r="A132" s="55">
        <v>44441</v>
      </c>
      <c r="B132" s="56">
        <v>5964</v>
      </c>
      <c r="C132" s="56">
        <f t="shared" si="9"/>
        <v>23856</v>
      </c>
      <c r="D132" s="57">
        <v>63341</v>
      </c>
      <c r="E132" s="58">
        <v>5</v>
      </c>
      <c r="F132" s="58">
        <v>1</v>
      </c>
      <c r="G132" s="59">
        <f t="shared" si="13"/>
        <v>5426.0976000000001</v>
      </c>
      <c r="H132" s="60">
        <f t="shared" si="11"/>
        <v>27107.662000000004</v>
      </c>
      <c r="I132" s="60">
        <f t="shared" si="12"/>
        <v>32533.759600000005</v>
      </c>
      <c r="J132" s="60">
        <f t="shared" ref="J132:J195" si="14">SQRT((I132-B132)^2/209)</f>
        <v>1837.8687016764493</v>
      </c>
      <c r="K132" s="60">
        <f t="shared" ref="K132:K195" si="15">H132-B132</f>
        <v>21143.662000000004</v>
      </c>
    </row>
    <row r="133" spans="1:11" ht="15">
      <c r="A133" s="55">
        <v>44442</v>
      </c>
      <c r="B133" s="56">
        <v>8510</v>
      </c>
      <c r="C133" s="56">
        <f t="shared" ref="C133:C196" si="16">B133*4</f>
        <v>34040</v>
      </c>
      <c r="D133" s="57">
        <v>41777.5</v>
      </c>
      <c r="E133" s="58">
        <v>5</v>
      </c>
      <c r="F133" s="58">
        <v>1</v>
      </c>
      <c r="G133" s="59">
        <f t="shared" si="13"/>
        <v>5600.3503999999994</v>
      </c>
      <c r="H133" s="60">
        <f t="shared" si="11"/>
        <v>22548.726000000002</v>
      </c>
      <c r="I133" s="60">
        <f t="shared" si="12"/>
        <v>28149.076400000002</v>
      </c>
      <c r="J133" s="60">
        <f t="shared" si="14"/>
        <v>1358.463320285088</v>
      </c>
      <c r="K133" s="60">
        <f t="shared" si="15"/>
        <v>14038.726000000002</v>
      </c>
    </row>
    <row r="134" spans="1:11" ht="15">
      <c r="A134" s="55">
        <v>44443</v>
      </c>
      <c r="B134" s="56">
        <v>4104</v>
      </c>
      <c r="C134" s="56">
        <f t="shared" si="16"/>
        <v>16416</v>
      </c>
      <c r="D134" s="57">
        <v>74998</v>
      </c>
      <c r="E134" s="58">
        <v>5</v>
      </c>
      <c r="F134" s="58">
        <v>1</v>
      </c>
      <c r="G134" s="59">
        <f t="shared" ref="G134:G165" si="17">10.4+B133-0.6276*(B133-B132)</f>
        <v>6922.5303999999996</v>
      </c>
      <c r="H134" s="60">
        <f t="shared" ref="H134:H197" si="18">0.674*D132+1.112*E132-0.786*F132</f>
        <v>42696.608</v>
      </c>
      <c r="I134" s="60">
        <f t="shared" si="12"/>
        <v>49619.138399999996</v>
      </c>
      <c r="J134" s="60">
        <f t="shared" si="14"/>
        <v>3148.3479556146185</v>
      </c>
      <c r="K134" s="60">
        <f t="shared" si="15"/>
        <v>38592.608</v>
      </c>
    </row>
    <row r="135" spans="1:11" ht="15">
      <c r="A135" s="55">
        <v>44444</v>
      </c>
      <c r="B135" s="56">
        <v>6226</v>
      </c>
      <c r="C135" s="56">
        <f t="shared" si="16"/>
        <v>24904</v>
      </c>
      <c r="D135" s="57">
        <v>87683</v>
      </c>
      <c r="E135" s="58">
        <v>5</v>
      </c>
      <c r="F135" s="58">
        <v>1</v>
      </c>
      <c r="G135" s="59">
        <f t="shared" si="17"/>
        <v>6879.6055999999999</v>
      </c>
      <c r="H135" s="60">
        <f t="shared" si="18"/>
        <v>28162.809000000005</v>
      </c>
      <c r="I135" s="60">
        <f t="shared" ref="I135:I198" si="19">SUM(G135:H135)</f>
        <v>35042.414600000004</v>
      </c>
      <c r="J135" s="60">
        <f t="shared" si="14"/>
        <v>1993.2730775581529</v>
      </c>
      <c r="K135" s="60">
        <f t="shared" si="15"/>
        <v>21936.809000000005</v>
      </c>
    </row>
    <row r="136" spans="1:11" ht="15">
      <c r="A136" s="55">
        <v>44445</v>
      </c>
      <c r="B136" s="56">
        <v>7122</v>
      </c>
      <c r="C136" s="56">
        <f t="shared" si="16"/>
        <v>28488</v>
      </c>
      <c r="D136" s="57">
        <v>105781</v>
      </c>
      <c r="E136" s="58">
        <v>5</v>
      </c>
      <c r="F136" s="58">
        <v>1</v>
      </c>
      <c r="G136" s="59">
        <f t="shared" si="17"/>
        <v>4904.6327999999994</v>
      </c>
      <c r="H136" s="60">
        <f t="shared" si="18"/>
        <v>50553.425999999999</v>
      </c>
      <c r="I136" s="60">
        <f t="shared" si="19"/>
        <v>55458.058799999999</v>
      </c>
      <c r="J136" s="60">
        <f t="shared" si="14"/>
        <v>3343.4750998241057</v>
      </c>
      <c r="K136" s="60">
        <f t="shared" si="15"/>
        <v>43431.425999999999</v>
      </c>
    </row>
    <row r="137" spans="1:11" ht="15">
      <c r="A137" s="55">
        <v>44446</v>
      </c>
      <c r="B137" s="56">
        <v>7310</v>
      </c>
      <c r="C137" s="56">
        <f t="shared" si="16"/>
        <v>29240</v>
      </c>
      <c r="D137" s="57">
        <v>161286</v>
      </c>
      <c r="E137" s="58">
        <v>5</v>
      </c>
      <c r="F137" s="58">
        <v>1</v>
      </c>
      <c r="G137" s="59">
        <f t="shared" si="17"/>
        <v>6570.0703999999996</v>
      </c>
      <c r="H137" s="60">
        <f t="shared" si="18"/>
        <v>59103.116000000002</v>
      </c>
      <c r="I137" s="60">
        <f t="shared" si="19"/>
        <v>65673.186400000006</v>
      </c>
      <c r="J137" s="60">
        <f t="shared" si="14"/>
        <v>4037.0660190191784</v>
      </c>
      <c r="K137" s="60">
        <f t="shared" si="15"/>
        <v>51793.116000000002</v>
      </c>
    </row>
    <row r="138" spans="1:11" ht="15">
      <c r="A138" s="55">
        <v>44447</v>
      </c>
      <c r="B138" s="56">
        <v>7308</v>
      </c>
      <c r="C138" s="56">
        <f t="shared" si="16"/>
        <v>29232</v>
      </c>
      <c r="D138" s="57">
        <v>163548</v>
      </c>
      <c r="E138" s="58">
        <v>5</v>
      </c>
      <c r="F138" s="58">
        <v>1</v>
      </c>
      <c r="G138" s="59">
        <f t="shared" si="17"/>
        <v>7202.4111999999996</v>
      </c>
      <c r="H138" s="60">
        <f t="shared" si="18"/>
        <v>71301.168000000005</v>
      </c>
      <c r="I138" s="60">
        <f t="shared" si="19"/>
        <v>78503.579200000007</v>
      </c>
      <c r="J138" s="60">
        <f t="shared" si="14"/>
        <v>4924.7011895962669</v>
      </c>
      <c r="K138" s="60">
        <f t="shared" si="15"/>
        <v>63993.168000000005</v>
      </c>
    </row>
    <row r="139" spans="1:11" ht="15">
      <c r="A139" s="55">
        <v>44448</v>
      </c>
      <c r="B139" s="56">
        <v>5549</v>
      </c>
      <c r="C139" s="56">
        <f t="shared" si="16"/>
        <v>22196</v>
      </c>
      <c r="D139" s="57">
        <v>188124</v>
      </c>
      <c r="E139" s="58">
        <v>5</v>
      </c>
      <c r="F139" s="58">
        <v>1</v>
      </c>
      <c r="G139" s="59">
        <f t="shared" si="17"/>
        <v>7319.6551999999992</v>
      </c>
      <c r="H139" s="60">
        <f t="shared" si="18"/>
        <v>108711.53800000002</v>
      </c>
      <c r="I139" s="60">
        <f t="shared" si="19"/>
        <v>116031.19320000001</v>
      </c>
      <c r="J139" s="60">
        <f t="shared" si="14"/>
        <v>7642.2131036086084</v>
      </c>
      <c r="K139" s="60">
        <f t="shared" si="15"/>
        <v>103162.53800000002</v>
      </c>
    </row>
    <row r="140" spans="1:11" ht="15">
      <c r="A140" s="55">
        <v>44449</v>
      </c>
      <c r="B140" s="56">
        <v>7539</v>
      </c>
      <c r="C140" s="56">
        <f t="shared" si="16"/>
        <v>30156</v>
      </c>
      <c r="D140" s="57">
        <v>183699</v>
      </c>
      <c r="E140" s="58">
        <v>5</v>
      </c>
      <c r="F140" s="58">
        <v>1</v>
      </c>
      <c r="G140" s="59">
        <f t="shared" si="17"/>
        <v>6663.3483999999999</v>
      </c>
      <c r="H140" s="60">
        <f t="shared" si="18"/>
        <v>110236.12600000002</v>
      </c>
      <c r="I140" s="60">
        <f t="shared" si="19"/>
        <v>116899.47440000002</v>
      </c>
      <c r="J140" s="60">
        <f t="shared" si="14"/>
        <v>7564.6221917735593</v>
      </c>
      <c r="K140" s="60">
        <f t="shared" si="15"/>
        <v>102697.12600000002</v>
      </c>
    </row>
    <row r="141" spans="1:11" ht="15">
      <c r="A141" s="55">
        <v>44450</v>
      </c>
      <c r="B141" s="56">
        <v>5629</v>
      </c>
      <c r="C141" s="56">
        <f t="shared" si="16"/>
        <v>22516</v>
      </c>
      <c r="D141" s="57">
        <v>214347</v>
      </c>
      <c r="E141" s="58">
        <v>5</v>
      </c>
      <c r="F141" s="58">
        <v>1</v>
      </c>
      <c r="G141" s="59">
        <f t="shared" si="17"/>
        <v>6300.4759999999997</v>
      </c>
      <c r="H141" s="60">
        <f t="shared" si="18"/>
        <v>126800.35</v>
      </c>
      <c r="I141" s="60">
        <f t="shared" si="19"/>
        <v>133100.826</v>
      </c>
      <c r="J141" s="60">
        <f t="shared" si="14"/>
        <v>8817.4105779619549</v>
      </c>
      <c r="K141" s="60">
        <f t="shared" si="15"/>
        <v>121171.35</v>
      </c>
    </row>
    <row r="142" spans="1:11" ht="15">
      <c r="A142" s="55">
        <v>44451</v>
      </c>
      <c r="B142" s="56">
        <v>6158</v>
      </c>
      <c r="C142" s="56">
        <f t="shared" si="16"/>
        <v>24632</v>
      </c>
      <c r="D142" s="57">
        <v>246332</v>
      </c>
      <c r="E142" s="58">
        <v>5</v>
      </c>
      <c r="F142" s="58">
        <v>1</v>
      </c>
      <c r="G142" s="59">
        <f t="shared" si="17"/>
        <v>6838.116</v>
      </c>
      <c r="H142" s="60">
        <f t="shared" si="18"/>
        <v>123817.90000000001</v>
      </c>
      <c r="I142" s="60">
        <f t="shared" si="19"/>
        <v>130656.016</v>
      </c>
      <c r="J142" s="60">
        <f t="shared" si="14"/>
        <v>8611.7078389829985</v>
      </c>
      <c r="K142" s="60">
        <f t="shared" si="15"/>
        <v>117659.90000000001</v>
      </c>
    </row>
    <row r="143" spans="1:11" ht="15">
      <c r="A143" s="55">
        <v>44452</v>
      </c>
      <c r="B143" s="56">
        <v>5446</v>
      </c>
      <c r="C143" s="56">
        <f t="shared" si="16"/>
        <v>21784</v>
      </c>
      <c r="D143" s="57">
        <v>174090</v>
      </c>
      <c r="E143" s="58">
        <v>5</v>
      </c>
      <c r="F143" s="58">
        <v>1</v>
      </c>
      <c r="G143" s="59">
        <f t="shared" si="17"/>
        <v>5836.3995999999997</v>
      </c>
      <c r="H143" s="60">
        <f t="shared" si="18"/>
        <v>144474.652</v>
      </c>
      <c r="I143" s="60">
        <f t="shared" si="19"/>
        <v>150311.05160000001</v>
      </c>
      <c r="J143" s="60">
        <f t="shared" si="14"/>
        <v>10020.525150042524</v>
      </c>
      <c r="K143" s="60">
        <f t="shared" si="15"/>
        <v>139028.652</v>
      </c>
    </row>
    <row r="144" spans="1:11" ht="15">
      <c r="A144" s="55">
        <v>44453</v>
      </c>
      <c r="B144" s="56">
        <v>6315</v>
      </c>
      <c r="C144" s="56">
        <f t="shared" si="16"/>
        <v>25260</v>
      </c>
      <c r="D144" s="57">
        <v>177119</v>
      </c>
      <c r="E144" s="58">
        <v>5</v>
      </c>
      <c r="F144" s="58">
        <v>1</v>
      </c>
      <c r="G144" s="59">
        <f t="shared" si="17"/>
        <v>5903.2511999999997</v>
      </c>
      <c r="H144" s="60">
        <f t="shared" si="18"/>
        <v>166032.54200000002</v>
      </c>
      <c r="I144" s="60">
        <f t="shared" si="19"/>
        <v>171935.79320000001</v>
      </c>
      <c r="J144" s="60">
        <f t="shared" si="14"/>
        <v>11456.229817341204</v>
      </c>
      <c r="K144" s="60">
        <f t="shared" si="15"/>
        <v>159717.54200000002</v>
      </c>
    </row>
    <row r="145" spans="1:11" ht="15">
      <c r="A145" s="55">
        <v>44454</v>
      </c>
      <c r="B145" s="56">
        <v>5301</v>
      </c>
      <c r="C145" s="56">
        <f t="shared" si="16"/>
        <v>21204</v>
      </c>
      <c r="D145" s="57">
        <v>148671</v>
      </c>
      <c r="E145" s="58">
        <v>5</v>
      </c>
      <c r="F145" s="58">
        <v>1</v>
      </c>
      <c r="G145" s="59">
        <f t="shared" si="17"/>
        <v>5780.0155999999997</v>
      </c>
      <c r="H145" s="60">
        <f t="shared" si="18"/>
        <v>117341.43400000001</v>
      </c>
      <c r="I145" s="60">
        <f t="shared" si="19"/>
        <v>123121.44960000001</v>
      </c>
      <c r="J145" s="60">
        <f t="shared" si="14"/>
        <v>8149.8109127523876</v>
      </c>
      <c r="K145" s="60">
        <f t="shared" si="15"/>
        <v>112040.43400000001</v>
      </c>
    </row>
    <row r="146" spans="1:11" ht="15">
      <c r="A146" s="55">
        <v>44455</v>
      </c>
      <c r="B146" s="56">
        <v>5735</v>
      </c>
      <c r="C146" s="56">
        <f t="shared" si="16"/>
        <v>22940</v>
      </c>
      <c r="D146" s="57">
        <v>119193</v>
      </c>
      <c r="E146" s="58">
        <v>5</v>
      </c>
      <c r="F146" s="58">
        <v>1</v>
      </c>
      <c r="G146" s="59">
        <f t="shared" si="17"/>
        <v>5947.7864</v>
      </c>
      <c r="H146" s="60">
        <f t="shared" si="18"/>
        <v>119382.98000000001</v>
      </c>
      <c r="I146" s="60">
        <f t="shared" si="19"/>
        <v>125330.76640000001</v>
      </c>
      <c r="J146" s="60">
        <f t="shared" si="14"/>
        <v>8272.6121436028316</v>
      </c>
      <c r="K146" s="60">
        <f t="shared" si="15"/>
        <v>113647.98000000001</v>
      </c>
    </row>
    <row r="147" spans="1:11" ht="15">
      <c r="A147" s="55">
        <v>44456</v>
      </c>
      <c r="B147" s="56">
        <v>5972</v>
      </c>
      <c r="C147" s="56">
        <f t="shared" si="16"/>
        <v>23888</v>
      </c>
      <c r="D147" s="57">
        <v>78163</v>
      </c>
      <c r="E147" s="58">
        <v>5</v>
      </c>
      <c r="F147" s="58">
        <v>1</v>
      </c>
      <c r="G147" s="59">
        <f t="shared" si="17"/>
        <v>5473.0216</v>
      </c>
      <c r="H147" s="60">
        <f t="shared" si="18"/>
        <v>100209.02800000001</v>
      </c>
      <c r="I147" s="60">
        <f t="shared" si="19"/>
        <v>105682.0496</v>
      </c>
      <c r="J147" s="60">
        <f t="shared" si="14"/>
        <v>6897.0883501123708</v>
      </c>
      <c r="K147" s="60">
        <f t="shared" si="15"/>
        <v>94237.028000000006</v>
      </c>
    </row>
    <row r="148" spans="1:11" ht="15">
      <c r="A148" s="55">
        <v>44457</v>
      </c>
      <c r="B148" s="56">
        <v>4273</v>
      </c>
      <c r="C148" s="56">
        <f t="shared" si="16"/>
        <v>17092</v>
      </c>
      <c r="D148" s="57">
        <v>86403</v>
      </c>
      <c r="E148" s="58">
        <v>5</v>
      </c>
      <c r="F148" s="58">
        <v>1</v>
      </c>
      <c r="G148" s="59">
        <f t="shared" si="17"/>
        <v>5833.6587999999992</v>
      </c>
      <c r="H148" s="60">
        <f t="shared" si="18"/>
        <v>80340.856000000014</v>
      </c>
      <c r="I148" s="60">
        <f t="shared" si="19"/>
        <v>86174.514800000019</v>
      </c>
      <c r="J148" s="60">
        <f t="shared" si="14"/>
        <v>5665.246239970139</v>
      </c>
      <c r="K148" s="60">
        <f t="shared" si="15"/>
        <v>76067.856000000014</v>
      </c>
    </row>
    <row r="149" spans="1:11" ht="15">
      <c r="A149" s="55">
        <v>44458</v>
      </c>
      <c r="B149" s="56">
        <v>5496</v>
      </c>
      <c r="C149" s="56">
        <f t="shared" si="16"/>
        <v>21984</v>
      </c>
      <c r="D149" s="57">
        <v>87666</v>
      </c>
      <c r="E149" s="58">
        <v>5</v>
      </c>
      <c r="F149" s="58">
        <v>1</v>
      </c>
      <c r="G149" s="59">
        <f t="shared" si="17"/>
        <v>5349.6923999999999</v>
      </c>
      <c r="H149" s="60">
        <f t="shared" si="18"/>
        <v>52686.635999999999</v>
      </c>
      <c r="I149" s="60">
        <f t="shared" si="19"/>
        <v>58036.328399999999</v>
      </c>
      <c r="J149" s="60">
        <f t="shared" si="14"/>
        <v>3634.2905090553495</v>
      </c>
      <c r="K149" s="60">
        <f t="shared" si="15"/>
        <v>47190.635999999999</v>
      </c>
    </row>
    <row r="150" spans="1:11" ht="15">
      <c r="A150" s="55">
        <v>44459</v>
      </c>
      <c r="B150" s="56">
        <v>5172</v>
      </c>
      <c r="C150" s="56">
        <f t="shared" si="16"/>
        <v>20688</v>
      </c>
      <c r="D150" s="57">
        <v>30117</v>
      </c>
      <c r="E150" s="58">
        <v>5</v>
      </c>
      <c r="F150" s="58">
        <v>1</v>
      </c>
      <c r="G150" s="59">
        <f t="shared" si="17"/>
        <v>4738.8451999999997</v>
      </c>
      <c r="H150" s="60">
        <f t="shared" si="18"/>
        <v>58240.396000000001</v>
      </c>
      <c r="I150" s="60">
        <f t="shared" si="19"/>
        <v>62979.241200000004</v>
      </c>
      <c r="J150" s="60">
        <f t="shared" si="14"/>
        <v>3998.6104854234864</v>
      </c>
      <c r="K150" s="60">
        <f t="shared" si="15"/>
        <v>53068.396000000001</v>
      </c>
    </row>
    <row r="151" spans="1:11" ht="15">
      <c r="A151" s="55">
        <v>44460</v>
      </c>
      <c r="B151" s="56">
        <v>6521</v>
      </c>
      <c r="C151" s="56">
        <f t="shared" si="16"/>
        <v>26084</v>
      </c>
      <c r="D151" s="57">
        <v>71836</v>
      </c>
      <c r="E151" s="58">
        <v>5</v>
      </c>
      <c r="F151" s="58">
        <v>1</v>
      </c>
      <c r="G151" s="59">
        <f t="shared" si="17"/>
        <v>5385.7424000000001</v>
      </c>
      <c r="H151" s="60">
        <f t="shared" si="18"/>
        <v>59091.658000000003</v>
      </c>
      <c r="I151" s="60">
        <f t="shared" si="19"/>
        <v>64477.400400000006</v>
      </c>
      <c r="J151" s="60">
        <f t="shared" si="14"/>
        <v>4008.9280430293561</v>
      </c>
      <c r="K151" s="60">
        <f t="shared" si="15"/>
        <v>52570.658000000003</v>
      </c>
    </row>
    <row r="152" spans="1:11" ht="15">
      <c r="A152" s="55">
        <v>44461</v>
      </c>
      <c r="B152" s="56">
        <v>5435</v>
      </c>
      <c r="C152" s="56">
        <f t="shared" si="16"/>
        <v>21740</v>
      </c>
      <c r="D152" s="57">
        <v>513377</v>
      </c>
      <c r="E152" s="58">
        <v>5</v>
      </c>
      <c r="F152" s="58">
        <v>1</v>
      </c>
      <c r="G152" s="59">
        <f t="shared" si="17"/>
        <v>5684.7675999999992</v>
      </c>
      <c r="H152" s="60">
        <f t="shared" si="18"/>
        <v>20303.632000000001</v>
      </c>
      <c r="I152" s="60">
        <f t="shared" si="19"/>
        <v>25988.399600000001</v>
      </c>
      <c r="J152" s="60">
        <f t="shared" si="14"/>
        <v>1421.7083784939193</v>
      </c>
      <c r="K152" s="60">
        <f t="shared" si="15"/>
        <v>14868.632000000001</v>
      </c>
    </row>
    <row r="153" spans="1:11" ht="15">
      <c r="A153" s="55">
        <v>44462</v>
      </c>
      <c r="B153" s="56">
        <v>5052</v>
      </c>
      <c r="C153" s="56">
        <f t="shared" si="16"/>
        <v>20208</v>
      </c>
      <c r="D153" s="57">
        <v>67566</v>
      </c>
      <c r="E153" s="58">
        <v>5</v>
      </c>
      <c r="F153" s="58">
        <v>1</v>
      </c>
      <c r="G153" s="59">
        <f t="shared" si="17"/>
        <v>6126.9735999999994</v>
      </c>
      <c r="H153" s="60">
        <f t="shared" si="18"/>
        <v>48422.237999999998</v>
      </c>
      <c r="I153" s="60">
        <f t="shared" si="19"/>
        <v>54549.211599999995</v>
      </c>
      <c r="J153" s="60">
        <f t="shared" si="14"/>
        <v>3423.7937184759649</v>
      </c>
      <c r="K153" s="60">
        <f t="shared" si="15"/>
        <v>43370.237999999998</v>
      </c>
    </row>
    <row r="154" spans="1:11" ht="15">
      <c r="A154" s="55">
        <v>44463</v>
      </c>
      <c r="B154" s="56">
        <v>3786</v>
      </c>
      <c r="C154" s="56">
        <f t="shared" si="16"/>
        <v>15144</v>
      </c>
      <c r="D154" s="57">
        <v>70899</v>
      </c>
      <c r="E154" s="58">
        <v>5</v>
      </c>
      <c r="F154" s="58">
        <v>1</v>
      </c>
      <c r="G154" s="59">
        <f t="shared" si="17"/>
        <v>5302.7707999999993</v>
      </c>
      <c r="H154" s="60">
        <f t="shared" si="18"/>
        <v>346020.87199999997</v>
      </c>
      <c r="I154" s="60">
        <f t="shared" si="19"/>
        <v>351323.64279999997</v>
      </c>
      <c r="J154" s="60">
        <f t="shared" si="14"/>
        <v>24039.681426268133</v>
      </c>
      <c r="K154" s="60">
        <f t="shared" si="15"/>
        <v>342234.87199999997</v>
      </c>
    </row>
    <row r="155" spans="1:11" ht="15">
      <c r="A155" s="55">
        <v>44464</v>
      </c>
      <c r="B155" s="56">
        <v>4050</v>
      </c>
      <c r="C155" s="56">
        <f t="shared" si="16"/>
        <v>16200</v>
      </c>
      <c r="D155" s="57">
        <v>134617</v>
      </c>
      <c r="E155" s="58">
        <v>5</v>
      </c>
      <c r="F155" s="58">
        <v>1</v>
      </c>
      <c r="G155" s="59">
        <f t="shared" si="17"/>
        <v>4590.9416000000001</v>
      </c>
      <c r="H155" s="60">
        <f t="shared" si="18"/>
        <v>45544.258000000002</v>
      </c>
      <c r="I155" s="60">
        <f t="shared" si="19"/>
        <v>50135.1996</v>
      </c>
      <c r="J155" s="60">
        <f t="shared" si="14"/>
        <v>3187.7799133475037</v>
      </c>
      <c r="K155" s="60">
        <f t="shared" si="15"/>
        <v>41494.258000000002</v>
      </c>
    </row>
    <row r="156" spans="1:11" ht="15">
      <c r="A156" s="55">
        <v>44465</v>
      </c>
      <c r="B156" s="56">
        <v>5121</v>
      </c>
      <c r="C156" s="56">
        <f t="shared" si="16"/>
        <v>20484</v>
      </c>
      <c r="D156" s="57">
        <v>237373</v>
      </c>
      <c r="E156" s="58">
        <v>5</v>
      </c>
      <c r="F156" s="58">
        <v>1</v>
      </c>
      <c r="G156" s="59">
        <f t="shared" si="17"/>
        <v>3894.7136</v>
      </c>
      <c r="H156" s="60">
        <f t="shared" si="18"/>
        <v>47790.7</v>
      </c>
      <c r="I156" s="60">
        <f t="shared" si="19"/>
        <v>51685.4136</v>
      </c>
      <c r="J156" s="60">
        <f t="shared" si="14"/>
        <v>3220.9278388562152</v>
      </c>
      <c r="K156" s="60">
        <f t="shared" si="15"/>
        <v>42669.7</v>
      </c>
    </row>
    <row r="157" spans="1:11" ht="15">
      <c r="A157" s="55">
        <v>44466</v>
      </c>
      <c r="B157" s="56">
        <v>4134</v>
      </c>
      <c r="C157" s="56">
        <f t="shared" si="16"/>
        <v>16536</v>
      </c>
      <c r="D157" s="57">
        <v>205951</v>
      </c>
      <c r="E157" s="58">
        <v>5</v>
      </c>
      <c r="F157" s="58">
        <v>1</v>
      </c>
      <c r="G157" s="59">
        <f t="shared" si="17"/>
        <v>4459.2403999999997</v>
      </c>
      <c r="H157" s="60">
        <f t="shared" si="18"/>
        <v>90736.632000000012</v>
      </c>
      <c r="I157" s="60">
        <f t="shared" si="19"/>
        <v>95195.872400000007</v>
      </c>
      <c r="J157" s="60">
        <f t="shared" si="14"/>
        <v>6298.8814245806907</v>
      </c>
      <c r="K157" s="60">
        <f t="shared" si="15"/>
        <v>86602.632000000012</v>
      </c>
    </row>
    <row r="158" spans="1:11" ht="15">
      <c r="A158" s="55">
        <v>44467</v>
      </c>
      <c r="B158" s="56">
        <v>3749</v>
      </c>
      <c r="C158" s="56">
        <f t="shared" si="16"/>
        <v>14996</v>
      </c>
      <c r="D158" s="57">
        <v>132884</v>
      </c>
      <c r="E158" s="58">
        <v>5</v>
      </c>
      <c r="F158" s="58">
        <v>1</v>
      </c>
      <c r="G158" s="59">
        <f t="shared" si="17"/>
        <v>4763.8411999999998</v>
      </c>
      <c r="H158" s="60">
        <f t="shared" si="18"/>
        <v>159994.17600000001</v>
      </c>
      <c r="I158" s="60">
        <f t="shared" si="19"/>
        <v>164758.0172</v>
      </c>
      <c r="J158" s="60">
        <f t="shared" si="14"/>
        <v>11137.226601010159</v>
      </c>
      <c r="K158" s="60">
        <f t="shared" si="15"/>
        <v>156245.17600000001</v>
      </c>
    </row>
    <row r="159" spans="1:11" ht="15">
      <c r="A159" s="55">
        <v>44468</v>
      </c>
      <c r="B159" s="56">
        <v>4699</v>
      </c>
      <c r="C159" s="56">
        <f t="shared" si="16"/>
        <v>18796</v>
      </c>
      <c r="D159" s="57">
        <v>325696</v>
      </c>
      <c r="E159" s="58">
        <v>5</v>
      </c>
      <c r="F159" s="58">
        <v>1</v>
      </c>
      <c r="G159" s="59">
        <f t="shared" si="17"/>
        <v>4001.0260000000003</v>
      </c>
      <c r="H159" s="60">
        <f t="shared" si="18"/>
        <v>138815.74800000002</v>
      </c>
      <c r="I159" s="60">
        <f t="shared" si="19"/>
        <v>142816.77400000003</v>
      </c>
      <c r="J159" s="60">
        <f t="shared" si="14"/>
        <v>9553.8061992785679</v>
      </c>
      <c r="K159" s="60">
        <f t="shared" si="15"/>
        <v>134116.74800000002</v>
      </c>
    </row>
    <row r="160" spans="1:11" ht="15">
      <c r="A160" s="55">
        <v>44469</v>
      </c>
      <c r="B160" s="56">
        <v>4372</v>
      </c>
      <c r="C160" s="56">
        <f t="shared" si="16"/>
        <v>17488</v>
      </c>
      <c r="D160" s="57">
        <v>251678</v>
      </c>
      <c r="E160" s="58">
        <v>5</v>
      </c>
      <c r="F160" s="58">
        <v>1</v>
      </c>
      <c r="G160" s="59">
        <f t="shared" si="17"/>
        <v>4113.1799999999994</v>
      </c>
      <c r="H160" s="60">
        <f t="shared" si="18"/>
        <v>89568.590000000011</v>
      </c>
      <c r="I160" s="60">
        <f t="shared" si="19"/>
        <v>93681.77</v>
      </c>
      <c r="J160" s="60">
        <f t="shared" si="14"/>
        <v>6177.6859673552444</v>
      </c>
      <c r="K160" s="60">
        <f t="shared" si="15"/>
        <v>85196.590000000011</v>
      </c>
    </row>
    <row r="161" spans="1:11" ht="15">
      <c r="A161" s="55">
        <v>44470</v>
      </c>
      <c r="B161" s="56">
        <v>3670</v>
      </c>
      <c r="C161" s="56">
        <f t="shared" si="16"/>
        <v>14680</v>
      </c>
      <c r="D161" s="57">
        <v>157600</v>
      </c>
      <c r="E161" s="58">
        <v>2</v>
      </c>
      <c r="F161" s="58">
        <v>20</v>
      </c>
      <c r="G161" s="59">
        <f t="shared" si="17"/>
        <v>4587.6251999999995</v>
      </c>
      <c r="H161" s="60">
        <f t="shared" si="18"/>
        <v>219523.87800000003</v>
      </c>
      <c r="I161" s="60">
        <f t="shared" si="19"/>
        <v>224111.50320000004</v>
      </c>
      <c r="J161" s="60">
        <f t="shared" si="14"/>
        <v>15248.25761998196</v>
      </c>
      <c r="K161" s="60">
        <f t="shared" si="15"/>
        <v>215853.87800000003</v>
      </c>
    </row>
    <row r="162" spans="1:11" ht="15">
      <c r="A162" s="55">
        <v>44471</v>
      </c>
      <c r="B162" s="56">
        <v>2723</v>
      </c>
      <c r="C162" s="56">
        <f t="shared" si="16"/>
        <v>10892</v>
      </c>
      <c r="D162" s="57">
        <v>269621</v>
      </c>
      <c r="E162" s="58">
        <v>2</v>
      </c>
      <c r="F162" s="58">
        <v>20</v>
      </c>
      <c r="G162" s="59">
        <f t="shared" si="17"/>
        <v>4120.9751999999999</v>
      </c>
      <c r="H162" s="60">
        <f t="shared" si="18"/>
        <v>169635.74600000001</v>
      </c>
      <c r="I162" s="60">
        <f t="shared" si="19"/>
        <v>173756.7212</v>
      </c>
      <c r="J162" s="60">
        <f t="shared" si="14"/>
        <v>11830.649876287769</v>
      </c>
      <c r="K162" s="60">
        <f t="shared" si="15"/>
        <v>166912.74600000001</v>
      </c>
    </row>
    <row r="163" spans="1:11" ht="15">
      <c r="A163" s="55">
        <v>44472</v>
      </c>
      <c r="B163" s="56">
        <v>2461</v>
      </c>
      <c r="C163" s="56">
        <f t="shared" si="16"/>
        <v>9844</v>
      </c>
      <c r="D163" s="57">
        <v>233471</v>
      </c>
      <c r="E163" s="58">
        <v>2</v>
      </c>
      <c r="F163" s="58">
        <v>20</v>
      </c>
      <c r="G163" s="59">
        <f t="shared" si="17"/>
        <v>3327.7372</v>
      </c>
      <c r="H163" s="60">
        <f t="shared" si="18"/>
        <v>106208.90400000001</v>
      </c>
      <c r="I163" s="60">
        <f t="shared" si="19"/>
        <v>109536.64120000001</v>
      </c>
      <c r="J163" s="60">
        <f t="shared" si="14"/>
        <v>7406.5769745774187</v>
      </c>
      <c r="K163" s="60">
        <f t="shared" si="15"/>
        <v>103747.90400000001</v>
      </c>
    </row>
    <row r="164" spans="1:11" ht="15">
      <c r="A164" s="55">
        <v>44473</v>
      </c>
      <c r="B164" s="56">
        <v>2490</v>
      </c>
      <c r="C164" s="56">
        <f t="shared" si="16"/>
        <v>9960</v>
      </c>
      <c r="D164" s="57">
        <v>283448</v>
      </c>
      <c r="E164" s="58">
        <v>2</v>
      </c>
      <c r="F164" s="58">
        <v>20</v>
      </c>
      <c r="G164" s="59">
        <f t="shared" si="17"/>
        <v>2635.8312000000001</v>
      </c>
      <c r="H164" s="60">
        <f t="shared" si="18"/>
        <v>181711.05799999999</v>
      </c>
      <c r="I164" s="60">
        <f t="shared" si="19"/>
        <v>184346.88919999998</v>
      </c>
      <c r="J164" s="60">
        <f t="shared" si="14"/>
        <v>12579.304061333012</v>
      </c>
      <c r="K164" s="60">
        <f t="shared" si="15"/>
        <v>179221.05799999999</v>
      </c>
    </row>
    <row r="165" spans="1:11" ht="15">
      <c r="A165" s="55">
        <v>44474</v>
      </c>
      <c r="B165" s="56">
        <v>1491</v>
      </c>
      <c r="C165" s="56">
        <f t="shared" si="16"/>
        <v>5964</v>
      </c>
      <c r="D165" s="57">
        <v>225322</v>
      </c>
      <c r="E165" s="58">
        <v>2</v>
      </c>
      <c r="F165" s="58">
        <v>20</v>
      </c>
      <c r="G165" s="59">
        <f t="shared" si="17"/>
        <v>2482.1995999999999</v>
      </c>
      <c r="H165" s="60">
        <f t="shared" si="18"/>
        <v>157345.95799999998</v>
      </c>
      <c r="I165" s="60">
        <f t="shared" si="19"/>
        <v>159828.15759999998</v>
      </c>
      <c r="J165" s="60">
        <f t="shared" si="14"/>
        <v>10952.410207936215</v>
      </c>
      <c r="K165" s="60">
        <f t="shared" si="15"/>
        <v>155854.95799999998</v>
      </c>
    </row>
    <row r="166" spans="1:11" ht="15">
      <c r="A166" s="55">
        <v>44475</v>
      </c>
      <c r="B166" s="56">
        <v>1960</v>
      </c>
      <c r="C166" s="56">
        <f t="shared" si="16"/>
        <v>7840</v>
      </c>
      <c r="D166" s="57">
        <v>173924</v>
      </c>
      <c r="E166" s="58">
        <v>2</v>
      </c>
      <c r="F166" s="58">
        <v>20</v>
      </c>
      <c r="G166" s="59">
        <f t="shared" ref="G166:G189" si="20">10.4+B165-0.6276*(B165-B164)</f>
        <v>2128.3724000000002</v>
      </c>
      <c r="H166" s="60">
        <f t="shared" si="18"/>
        <v>191030.45600000001</v>
      </c>
      <c r="I166" s="60">
        <f t="shared" si="19"/>
        <v>193158.8284</v>
      </c>
      <c r="J166" s="60">
        <f t="shared" si="14"/>
        <v>13225.499507852761</v>
      </c>
      <c r="K166" s="60">
        <f t="shared" si="15"/>
        <v>189070.45600000001</v>
      </c>
    </row>
    <row r="167" spans="1:11" ht="15">
      <c r="A167" s="55">
        <v>44476</v>
      </c>
      <c r="B167" s="56">
        <v>1730</v>
      </c>
      <c r="C167" s="56">
        <f t="shared" si="16"/>
        <v>6920</v>
      </c>
      <c r="D167" s="57">
        <v>128966</v>
      </c>
      <c r="E167" s="58">
        <v>2</v>
      </c>
      <c r="F167" s="58">
        <v>20</v>
      </c>
      <c r="G167" s="59">
        <f t="shared" si="20"/>
        <v>1676.0556000000001</v>
      </c>
      <c r="H167" s="60">
        <f t="shared" si="18"/>
        <v>151853.53200000001</v>
      </c>
      <c r="I167" s="60">
        <f t="shared" si="19"/>
        <v>153529.5876</v>
      </c>
      <c r="J167" s="60">
        <f t="shared" si="14"/>
        <v>10500.197035182524</v>
      </c>
      <c r="K167" s="60">
        <f t="shared" si="15"/>
        <v>150123.53200000001</v>
      </c>
    </row>
    <row r="168" spans="1:11" ht="15">
      <c r="A168" s="55">
        <v>44477</v>
      </c>
      <c r="B168" s="56">
        <v>2215</v>
      </c>
      <c r="C168" s="56">
        <f t="shared" si="16"/>
        <v>8860</v>
      </c>
      <c r="D168" s="57">
        <v>102080</v>
      </c>
      <c r="E168" s="58">
        <v>2</v>
      </c>
      <c r="F168" s="58">
        <v>20</v>
      </c>
      <c r="G168" s="59">
        <f t="shared" si="20"/>
        <v>1884.748</v>
      </c>
      <c r="H168" s="60">
        <f t="shared" si="18"/>
        <v>117211.28000000001</v>
      </c>
      <c r="I168" s="60">
        <f t="shared" si="19"/>
        <v>119096.02800000002</v>
      </c>
      <c r="J168" s="60">
        <f t="shared" si="14"/>
        <v>8084.8297619135674</v>
      </c>
      <c r="K168" s="60">
        <f t="shared" si="15"/>
        <v>114996.28000000001</v>
      </c>
    </row>
    <row r="169" spans="1:11" ht="15">
      <c r="A169" s="55">
        <v>44478</v>
      </c>
      <c r="B169" s="56">
        <v>1662</v>
      </c>
      <c r="C169" s="56">
        <f t="shared" si="16"/>
        <v>6648</v>
      </c>
      <c r="D169" s="57">
        <v>80506</v>
      </c>
      <c r="E169" s="58">
        <v>2</v>
      </c>
      <c r="F169" s="58">
        <v>20</v>
      </c>
      <c r="G169" s="59">
        <f t="shared" si="20"/>
        <v>1921.0140000000001</v>
      </c>
      <c r="H169" s="60">
        <f t="shared" si="18"/>
        <v>86909.588000000003</v>
      </c>
      <c r="I169" s="60">
        <f t="shared" si="19"/>
        <v>88830.601999999999</v>
      </c>
      <c r="J169" s="60">
        <f t="shared" si="14"/>
        <v>6029.5782798385244</v>
      </c>
      <c r="K169" s="60">
        <f t="shared" si="15"/>
        <v>85247.588000000003</v>
      </c>
    </row>
    <row r="170" spans="1:11" ht="15">
      <c r="A170" s="55">
        <v>44479</v>
      </c>
      <c r="B170" s="56">
        <v>1067</v>
      </c>
      <c r="C170" s="56">
        <f t="shared" si="16"/>
        <v>4268</v>
      </c>
      <c r="D170" s="57">
        <v>96186</v>
      </c>
      <c r="E170" s="58">
        <v>2</v>
      </c>
      <c r="F170" s="58">
        <v>20</v>
      </c>
      <c r="G170" s="59">
        <f t="shared" si="20"/>
        <v>2019.4628000000002</v>
      </c>
      <c r="H170" s="60">
        <f t="shared" si="18"/>
        <v>68788.423999999999</v>
      </c>
      <c r="I170" s="60">
        <f t="shared" si="19"/>
        <v>70807.886799999993</v>
      </c>
      <c r="J170" s="60">
        <f t="shared" si="14"/>
        <v>4824.0780122406595</v>
      </c>
      <c r="K170" s="60">
        <f t="shared" si="15"/>
        <v>67721.423999999999</v>
      </c>
    </row>
    <row r="171" spans="1:11" ht="15">
      <c r="A171" s="55">
        <v>44480</v>
      </c>
      <c r="B171" s="56">
        <v>1527</v>
      </c>
      <c r="C171" s="56">
        <f t="shared" si="16"/>
        <v>6108</v>
      </c>
      <c r="D171" s="57">
        <v>56731</v>
      </c>
      <c r="E171" s="58">
        <v>2</v>
      </c>
      <c r="F171" s="58">
        <v>20</v>
      </c>
      <c r="G171" s="59">
        <f t="shared" si="20"/>
        <v>1450.8220000000001</v>
      </c>
      <c r="H171" s="60">
        <f t="shared" si="18"/>
        <v>54247.548000000003</v>
      </c>
      <c r="I171" s="60">
        <f t="shared" si="19"/>
        <v>55698.37</v>
      </c>
      <c r="J171" s="60">
        <f t="shared" si="14"/>
        <v>3747.1120156440766</v>
      </c>
      <c r="K171" s="60">
        <f t="shared" si="15"/>
        <v>52720.548000000003</v>
      </c>
    </row>
    <row r="172" spans="1:11" ht="15">
      <c r="A172" s="55">
        <v>44481</v>
      </c>
      <c r="B172" s="56">
        <v>1018</v>
      </c>
      <c r="C172" s="56">
        <f t="shared" si="16"/>
        <v>4072</v>
      </c>
      <c r="D172" s="57">
        <v>61728</v>
      </c>
      <c r="E172" s="58">
        <v>2</v>
      </c>
      <c r="F172" s="58">
        <v>20</v>
      </c>
      <c r="G172" s="59">
        <f t="shared" si="20"/>
        <v>1248.7040000000002</v>
      </c>
      <c r="H172" s="60">
        <f t="shared" si="18"/>
        <v>64815.868000000002</v>
      </c>
      <c r="I172" s="60">
        <f t="shared" si="19"/>
        <v>66064.572</v>
      </c>
      <c r="J172" s="60">
        <f t="shared" si="14"/>
        <v>4499.3654677306022</v>
      </c>
      <c r="K172" s="60">
        <f t="shared" si="15"/>
        <v>63797.868000000002</v>
      </c>
    </row>
    <row r="173" spans="1:11" ht="15">
      <c r="A173" s="55">
        <v>44482</v>
      </c>
      <c r="B173" s="56">
        <v>1162</v>
      </c>
      <c r="C173" s="56">
        <f t="shared" si="16"/>
        <v>4648</v>
      </c>
      <c r="D173" s="57">
        <v>51325</v>
      </c>
      <c r="E173" s="58">
        <v>2</v>
      </c>
      <c r="F173" s="58">
        <v>20</v>
      </c>
      <c r="G173" s="59">
        <f t="shared" si="20"/>
        <v>1347.8484000000001</v>
      </c>
      <c r="H173" s="60">
        <f t="shared" si="18"/>
        <v>38223.198000000004</v>
      </c>
      <c r="I173" s="60">
        <f t="shared" si="19"/>
        <v>39571.046400000007</v>
      </c>
      <c r="J173" s="60">
        <f t="shared" si="14"/>
        <v>2656.809293818319</v>
      </c>
      <c r="K173" s="60">
        <f t="shared" si="15"/>
        <v>37061.198000000004</v>
      </c>
    </row>
    <row r="174" spans="1:11" ht="15">
      <c r="A174" s="55">
        <v>44483</v>
      </c>
      <c r="B174" s="56">
        <v>909</v>
      </c>
      <c r="C174" s="56">
        <f t="shared" si="16"/>
        <v>3636</v>
      </c>
      <c r="D174" s="57">
        <v>36191</v>
      </c>
      <c r="E174" s="58">
        <v>2</v>
      </c>
      <c r="F174" s="58">
        <v>20</v>
      </c>
      <c r="G174" s="59">
        <f t="shared" si="20"/>
        <v>1082.0256000000002</v>
      </c>
      <c r="H174" s="60">
        <f t="shared" si="18"/>
        <v>41591.176000000007</v>
      </c>
      <c r="I174" s="60">
        <f t="shared" si="19"/>
        <v>42673.201600000008</v>
      </c>
      <c r="J174" s="60">
        <f t="shared" si="14"/>
        <v>2888.8902318538662</v>
      </c>
      <c r="K174" s="60">
        <f t="shared" si="15"/>
        <v>40682.176000000007</v>
      </c>
    </row>
    <row r="175" spans="1:11" ht="15">
      <c r="A175" s="55">
        <v>44484</v>
      </c>
      <c r="B175" s="56">
        <v>1131</v>
      </c>
      <c r="C175" s="56">
        <f t="shared" si="16"/>
        <v>4524</v>
      </c>
      <c r="D175" s="57">
        <v>38759</v>
      </c>
      <c r="E175" s="58">
        <v>2</v>
      </c>
      <c r="F175" s="58">
        <v>20</v>
      </c>
      <c r="G175" s="59">
        <f t="shared" si="20"/>
        <v>1078.1828</v>
      </c>
      <c r="H175" s="60">
        <f t="shared" si="18"/>
        <v>34579.554000000004</v>
      </c>
      <c r="I175" s="60">
        <f t="shared" si="19"/>
        <v>35657.736800000006</v>
      </c>
      <c r="J175" s="60">
        <f t="shared" si="14"/>
        <v>2388.2643234657075</v>
      </c>
      <c r="K175" s="60">
        <f t="shared" si="15"/>
        <v>33448.554000000004</v>
      </c>
    </row>
    <row r="176" spans="1:11" ht="15">
      <c r="A176" s="55">
        <v>44485</v>
      </c>
      <c r="B176" s="56">
        <v>790</v>
      </c>
      <c r="C176" s="56">
        <f t="shared" si="16"/>
        <v>3160</v>
      </c>
      <c r="D176" s="57">
        <v>27716</v>
      </c>
      <c r="E176" s="58">
        <v>2</v>
      </c>
      <c r="F176" s="58">
        <v>20</v>
      </c>
      <c r="G176" s="59">
        <f t="shared" si="20"/>
        <v>1002.0728000000001</v>
      </c>
      <c r="H176" s="60">
        <f t="shared" si="18"/>
        <v>24379.237999999998</v>
      </c>
      <c r="I176" s="60">
        <f t="shared" si="19"/>
        <v>25381.310799999999</v>
      </c>
      <c r="J176" s="60">
        <f t="shared" si="14"/>
        <v>1701.0165365786011</v>
      </c>
      <c r="K176" s="60">
        <f t="shared" si="15"/>
        <v>23589.237999999998</v>
      </c>
    </row>
    <row r="177" spans="1:11" ht="15">
      <c r="A177" s="55">
        <v>44486</v>
      </c>
      <c r="B177" s="56">
        <v>1059</v>
      </c>
      <c r="C177" s="56">
        <f t="shared" si="16"/>
        <v>4236</v>
      </c>
      <c r="D177" s="57">
        <v>25451</v>
      </c>
      <c r="E177" s="58">
        <v>2</v>
      </c>
      <c r="F177" s="58">
        <v>20</v>
      </c>
      <c r="G177" s="59">
        <f t="shared" si="20"/>
        <v>1014.4116</v>
      </c>
      <c r="H177" s="60">
        <f t="shared" si="18"/>
        <v>26110.07</v>
      </c>
      <c r="I177" s="60">
        <f t="shared" si="19"/>
        <v>27124.481599999999</v>
      </c>
      <c r="J177" s="60">
        <f t="shared" si="14"/>
        <v>1802.9870630355033</v>
      </c>
      <c r="K177" s="60">
        <f t="shared" si="15"/>
        <v>25051.07</v>
      </c>
    </row>
    <row r="178" spans="1:11" ht="15">
      <c r="A178" s="55">
        <v>44487</v>
      </c>
      <c r="B178" s="56">
        <v>968</v>
      </c>
      <c r="C178" s="56">
        <f t="shared" si="16"/>
        <v>3872</v>
      </c>
      <c r="D178" s="57">
        <v>15216</v>
      </c>
      <c r="E178" s="58">
        <v>2</v>
      </c>
      <c r="F178" s="58">
        <v>20</v>
      </c>
      <c r="G178" s="59">
        <f t="shared" si="20"/>
        <v>900.57560000000012</v>
      </c>
      <c r="H178" s="60">
        <f t="shared" si="18"/>
        <v>18667.088</v>
      </c>
      <c r="I178" s="60">
        <f t="shared" si="19"/>
        <v>19567.6636</v>
      </c>
      <c r="J178" s="60">
        <f t="shared" si="14"/>
        <v>1286.5656335163344</v>
      </c>
      <c r="K178" s="60">
        <f t="shared" si="15"/>
        <v>17699.088</v>
      </c>
    </row>
    <row r="179" spans="1:11" ht="15">
      <c r="A179" s="55">
        <v>44488</v>
      </c>
      <c r="B179" s="56">
        <v>907</v>
      </c>
      <c r="C179" s="56">
        <f t="shared" si="16"/>
        <v>3628</v>
      </c>
      <c r="D179" s="57">
        <v>23537</v>
      </c>
      <c r="E179" s="58">
        <v>2</v>
      </c>
      <c r="F179" s="58">
        <v>20</v>
      </c>
      <c r="G179" s="59">
        <f t="shared" si="20"/>
        <v>1035.5116</v>
      </c>
      <c r="H179" s="60">
        <f t="shared" si="18"/>
        <v>17140.477999999999</v>
      </c>
      <c r="I179" s="60">
        <f t="shared" si="19"/>
        <v>18175.989600000001</v>
      </c>
      <c r="J179" s="60">
        <f t="shared" si="14"/>
        <v>1194.5209882672821</v>
      </c>
      <c r="K179" s="60">
        <f t="shared" si="15"/>
        <v>16233.477999999999</v>
      </c>
    </row>
    <row r="180" spans="1:11" ht="15">
      <c r="A180" s="55">
        <v>44489</v>
      </c>
      <c r="B180" s="56">
        <v>1347</v>
      </c>
      <c r="C180" s="56">
        <f t="shared" si="16"/>
        <v>5388</v>
      </c>
      <c r="D180" s="57">
        <v>20939</v>
      </c>
      <c r="E180" s="58">
        <v>2</v>
      </c>
      <c r="F180" s="58">
        <v>20</v>
      </c>
      <c r="G180" s="59">
        <f t="shared" si="20"/>
        <v>955.68359999999996</v>
      </c>
      <c r="H180" s="60">
        <f t="shared" si="18"/>
        <v>10242.088000000002</v>
      </c>
      <c r="I180" s="60">
        <f t="shared" si="19"/>
        <v>11197.771600000002</v>
      </c>
      <c r="J180" s="60">
        <f t="shared" si="14"/>
        <v>681.39211959611555</v>
      </c>
      <c r="K180" s="60">
        <f t="shared" si="15"/>
        <v>8895.0880000000016</v>
      </c>
    </row>
    <row r="181" spans="1:11" ht="15">
      <c r="A181" s="55">
        <v>44490</v>
      </c>
      <c r="B181" s="56">
        <v>1255</v>
      </c>
      <c r="C181" s="56">
        <f t="shared" si="16"/>
        <v>5020</v>
      </c>
      <c r="D181" s="57">
        <v>21193</v>
      </c>
      <c r="E181" s="58">
        <v>2</v>
      </c>
      <c r="F181" s="58">
        <v>20</v>
      </c>
      <c r="G181" s="59">
        <f t="shared" si="20"/>
        <v>1081.2560000000001</v>
      </c>
      <c r="H181" s="60">
        <f t="shared" si="18"/>
        <v>15850.442000000003</v>
      </c>
      <c r="I181" s="60">
        <f t="shared" si="19"/>
        <v>16931.698000000004</v>
      </c>
      <c r="J181" s="60">
        <f t="shared" si="14"/>
        <v>1084.3798752260368</v>
      </c>
      <c r="K181" s="60">
        <f t="shared" si="15"/>
        <v>14595.442000000003</v>
      </c>
    </row>
    <row r="182" spans="1:11" ht="15">
      <c r="A182" s="55">
        <v>44491</v>
      </c>
      <c r="B182" s="56">
        <v>1205</v>
      </c>
      <c r="C182" s="56">
        <f t="shared" si="16"/>
        <v>4820</v>
      </c>
      <c r="D182" s="57">
        <v>20223</v>
      </c>
      <c r="E182" s="58">
        <v>2</v>
      </c>
      <c r="F182" s="58">
        <v>20</v>
      </c>
      <c r="G182" s="59">
        <f t="shared" si="20"/>
        <v>1323.1392000000001</v>
      </c>
      <c r="H182" s="60">
        <f t="shared" si="18"/>
        <v>14099.390000000001</v>
      </c>
      <c r="I182" s="60">
        <f t="shared" si="19"/>
        <v>15422.529200000001</v>
      </c>
      <c r="J182" s="60">
        <f t="shared" si="14"/>
        <v>983.44705880782612</v>
      </c>
      <c r="K182" s="60">
        <f t="shared" si="15"/>
        <v>12894.390000000001</v>
      </c>
    </row>
    <row r="183" spans="1:11" ht="15">
      <c r="A183" s="55">
        <v>44492</v>
      </c>
      <c r="B183" s="56">
        <v>749</v>
      </c>
      <c r="C183" s="56">
        <f t="shared" si="16"/>
        <v>2996</v>
      </c>
      <c r="D183" s="57">
        <v>23382</v>
      </c>
      <c r="E183" s="58">
        <v>2</v>
      </c>
      <c r="F183" s="58">
        <v>20</v>
      </c>
      <c r="G183" s="59">
        <f t="shared" si="20"/>
        <v>1246.7800000000002</v>
      </c>
      <c r="H183" s="60">
        <f t="shared" si="18"/>
        <v>14270.586000000001</v>
      </c>
      <c r="I183" s="60">
        <f t="shared" si="19"/>
        <v>15517.366000000002</v>
      </c>
      <c r="J183" s="60">
        <f t="shared" si="14"/>
        <v>1021.5492369867967</v>
      </c>
      <c r="K183" s="60">
        <f t="shared" si="15"/>
        <v>13521.586000000001</v>
      </c>
    </row>
    <row r="184" spans="1:11" ht="15">
      <c r="A184" s="55">
        <v>44493</v>
      </c>
      <c r="B184" s="56">
        <v>966</v>
      </c>
      <c r="C184" s="56">
        <f t="shared" si="16"/>
        <v>3864</v>
      </c>
      <c r="D184" s="57">
        <v>16741</v>
      </c>
      <c r="E184" s="58">
        <v>2</v>
      </c>
      <c r="F184" s="58">
        <v>20</v>
      </c>
      <c r="G184" s="59">
        <f t="shared" si="20"/>
        <v>1045.5855999999999</v>
      </c>
      <c r="H184" s="60">
        <f t="shared" si="18"/>
        <v>13616.806000000002</v>
      </c>
      <c r="I184" s="60">
        <f t="shared" si="19"/>
        <v>14662.391600000003</v>
      </c>
      <c r="J184" s="60">
        <f t="shared" si="14"/>
        <v>947.39921724938108</v>
      </c>
      <c r="K184" s="60">
        <f t="shared" si="15"/>
        <v>12650.806000000002</v>
      </c>
    </row>
    <row r="185" spans="1:11" ht="15">
      <c r="A185" s="55">
        <v>44494</v>
      </c>
      <c r="B185" s="56">
        <v>969</v>
      </c>
      <c r="C185" s="56">
        <f t="shared" si="16"/>
        <v>3876</v>
      </c>
      <c r="D185" s="57">
        <v>7922</v>
      </c>
      <c r="E185" s="58">
        <v>1.5</v>
      </c>
      <c r="F185" s="58">
        <v>30</v>
      </c>
      <c r="G185" s="59">
        <f t="shared" si="20"/>
        <v>840.21079999999995</v>
      </c>
      <c r="H185" s="60">
        <f t="shared" si="18"/>
        <v>15745.972000000002</v>
      </c>
      <c r="I185" s="60">
        <f t="shared" si="19"/>
        <v>16586.182800000002</v>
      </c>
      <c r="J185" s="60">
        <f t="shared" si="14"/>
        <v>1080.2631227600484</v>
      </c>
      <c r="K185" s="60">
        <f t="shared" si="15"/>
        <v>14776.972000000002</v>
      </c>
    </row>
    <row r="186" spans="1:11" ht="15">
      <c r="A186" s="55">
        <v>44495</v>
      </c>
      <c r="B186" s="56">
        <v>783</v>
      </c>
      <c r="C186" s="56">
        <f t="shared" si="16"/>
        <v>3132</v>
      </c>
      <c r="D186" s="57">
        <v>23506</v>
      </c>
      <c r="E186" s="58">
        <v>1.5</v>
      </c>
      <c r="F186" s="58">
        <v>30</v>
      </c>
      <c r="G186" s="59">
        <f t="shared" si="20"/>
        <v>977.5172</v>
      </c>
      <c r="H186" s="60">
        <f t="shared" si="18"/>
        <v>11269.938000000002</v>
      </c>
      <c r="I186" s="60">
        <f t="shared" si="19"/>
        <v>12247.455200000002</v>
      </c>
      <c r="J186" s="60">
        <f t="shared" si="14"/>
        <v>793.01294821846329</v>
      </c>
      <c r="K186" s="60">
        <f t="shared" si="15"/>
        <v>10486.938000000002</v>
      </c>
    </row>
    <row r="187" spans="1:11" ht="15">
      <c r="A187" s="55">
        <v>44496</v>
      </c>
      <c r="B187" s="56">
        <v>1140</v>
      </c>
      <c r="C187" s="56">
        <f t="shared" si="16"/>
        <v>4560</v>
      </c>
      <c r="D187" s="57">
        <v>23035</v>
      </c>
      <c r="E187" s="58">
        <v>1.5</v>
      </c>
      <c r="F187" s="58">
        <v>30</v>
      </c>
      <c r="G187" s="59">
        <f t="shared" si="20"/>
        <v>910.1336</v>
      </c>
      <c r="H187" s="60">
        <f t="shared" si="18"/>
        <v>5317.5160000000005</v>
      </c>
      <c r="I187" s="60">
        <f t="shared" si="19"/>
        <v>6227.6496000000006</v>
      </c>
      <c r="J187" s="60">
        <f t="shared" si="14"/>
        <v>351.92008154024495</v>
      </c>
      <c r="K187" s="60">
        <f t="shared" si="15"/>
        <v>4177.5160000000005</v>
      </c>
    </row>
    <row r="188" spans="1:11" ht="15">
      <c r="A188" s="55">
        <v>44497</v>
      </c>
      <c r="B188" s="56">
        <v>1069</v>
      </c>
      <c r="C188" s="56">
        <f t="shared" si="16"/>
        <v>4276</v>
      </c>
      <c r="D188" s="57">
        <v>36248</v>
      </c>
      <c r="E188" s="58">
        <v>1.5</v>
      </c>
      <c r="F188" s="58">
        <v>30</v>
      </c>
      <c r="G188" s="59">
        <f t="shared" si="20"/>
        <v>926.34680000000003</v>
      </c>
      <c r="H188" s="60">
        <f t="shared" si="18"/>
        <v>15821.132000000001</v>
      </c>
      <c r="I188" s="60">
        <f t="shared" si="19"/>
        <v>16747.478800000001</v>
      </c>
      <c r="J188" s="60">
        <f t="shared" si="14"/>
        <v>1084.5030557377618</v>
      </c>
      <c r="K188" s="60">
        <f t="shared" si="15"/>
        <v>14752.132000000001</v>
      </c>
    </row>
    <row r="189" spans="1:11" ht="15">
      <c r="A189" s="55">
        <v>44498</v>
      </c>
      <c r="B189" s="56">
        <v>977</v>
      </c>
      <c r="C189" s="56">
        <f t="shared" si="16"/>
        <v>3908</v>
      </c>
      <c r="D189" s="57">
        <v>68863</v>
      </c>
      <c r="E189" s="58">
        <v>1.5</v>
      </c>
      <c r="F189" s="58">
        <v>30</v>
      </c>
      <c r="G189" s="59">
        <f t="shared" si="20"/>
        <v>1123.9596000000001</v>
      </c>
      <c r="H189" s="60">
        <f t="shared" si="18"/>
        <v>15503.678</v>
      </c>
      <c r="I189" s="60">
        <f t="shared" si="19"/>
        <v>16627.637600000002</v>
      </c>
      <c r="J189" s="60">
        <f t="shared" si="14"/>
        <v>1082.577239664623</v>
      </c>
      <c r="K189" s="60">
        <f t="shared" si="15"/>
        <v>14526.678</v>
      </c>
    </row>
    <row r="190" spans="1:11" ht="15">
      <c r="A190" s="55">
        <v>44499</v>
      </c>
      <c r="B190" s="56">
        <v>1042</v>
      </c>
      <c r="C190" s="56">
        <f t="shared" si="16"/>
        <v>4168</v>
      </c>
      <c r="D190" s="57">
        <v>68996</v>
      </c>
      <c r="E190" s="58">
        <v>1.5</v>
      </c>
      <c r="F190" s="58">
        <v>30</v>
      </c>
      <c r="G190" s="59">
        <f>-3+B189-0.8543*(B189-B188)</f>
        <v>1052.5956000000001</v>
      </c>
      <c r="H190" s="60">
        <f t="shared" si="18"/>
        <v>24409.24</v>
      </c>
      <c r="I190" s="60">
        <f t="shared" si="19"/>
        <v>25461.835600000002</v>
      </c>
      <c r="J190" s="60">
        <f t="shared" si="14"/>
        <v>1689.1553489751686</v>
      </c>
      <c r="K190" s="60">
        <f t="shared" si="15"/>
        <v>23367.24</v>
      </c>
    </row>
    <row r="191" spans="1:11" ht="15">
      <c r="A191" s="55">
        <v>44500</v>
      </c>
      <c r="B191" s="56">
        <v>1041</v>
      </c>
      <c r="C191" s="56">
        <f t="shared" si="16"/>
        <v>4164</v>
      </c>
      <c r="D191" s="57">
        <v>32272</v>
      </c>
      <c r="E191" s="58">
        <v>1.5</v>
      </c>
      <c r="F191" s="58">
        <v>30</v>
      </c>
      <c r="G191" s="59">
        <f t="shared" ref="G191:G214" si="21">10.4+B190-0.6276*(B190-B189)</f>
        <v>1011.6060000000001</v>
      </c>
      <c r="H191" s="60">
        <f t="shared" si="18"/>
        <v>46391.75</v>
      </c>
      <c r="I191" s="60">
        <f t="shared" si="19"/>
        <v>47403.356</v>
      </c>
      <c r="J191" s="60">
        <f t="shared" si="14"/>
        <v>3206.9512224108089</v>
      </c>
      <c r="K191" s="60">
        <f t="shared" si="15"/>
        <v>45350.75</v>
      </c>
    </row>
    <row r="192" spans="1:11" ht="15">
      <c r="A192" s="55">
        <v>44501</v>
      </c>
      <c r="B192" s="56">
        <v>927</v>
      </c>
      <c r="C192" s="56">
        <f t="shared" si="16"/>
        <v>3708</v>
      </c>
      <c r="D192" s="57">
        <v>27746</v>
      </c>
      <c r="E192" s="58">
        <v>1.5</v>
      </c>
      <c r="F192" s="58">
        <v>30</v>
      </c>
      <c r="G192" s="59">
        <f t="shared" si="21"/>
        <v>1052.0276000000001</v>
      </c>
      <c r="H192" s="60">
        <f t="shared" si="18"/>
        <v>46481.392</v>
      </c>
      <c r="I192" s="60">
        <f t="shared" si="19"/>
        <v>47533.419600000001</v>
      </c>
      <c r="J192" s="60">
        <f t="shared" si="14"/>
        <v>3223.8334546331316</v>
      </c>
      <c r="K192" s="60">
        <f t="shared" si="15"/>
        <v>45554.392</v>
      </c>
    </row>
    <row r="193" spans="1:11" ht="15">
      <c r="A193" s="55">
        <v>44502</v>
      </c>
      <c r="B193" s="56">
        <v>682</v>
      </c>
      <c r="C193" s="56">
        <f t="shared" si="16"/>
        <v>2728</v>
      </c>
      <c r="D193" s="57">
        <v>29989</v>
      </c>
      <c r="E193" s="58">
        <v>1.5</v>
      </c>
      <c r="F193" s="58">
        <v>30</v>
      </c>
      <c r="G193" s="59">
        <f t="shared" si="21"/>
        <v>1008.9464</v>
      </c>
      <c r="H193" s="60">
        <f t="shared" si="18"/>
        <v>21729.416000000001</v>
      </c>
      <c r="I193" s="60">
        <f t="shared" si="19"/>
        <v>22738.362400000002</v>
      </c>
      <c r="J193" s="60">
        <f t="shared" si="14"/>
        <v>1525.670489235185</v>
      </c>
      <c r="K193" s="60">
        <f t="shared" si="15"/>
        <v>21047.416000000001</v>
      </c>
    </row>
    <row r="194" spans="1:11" ht="15">
      <c r="A194" s="55">
        <v>44503</v>
      </c>
      <c r="B194" s="56">
        <v>985</v>
      </c>
      <c r="C194" s="56">
        <f t="shared" si="16"/>
        <v>3940</v>
      </c>
      <c r="D194" s="57">
        <v>26850</v>
      </c>
      <c r="E194" s="58">
        <v>1.5</v>
      </c>
      <c r="F194" s="58">
        <v>30</v>
      </c>
      <c r="G194" s="59">
        <f t="shared" si="21"/>
        <v>846.16200000000003</v>
      </c>
      <c r="H194" s="60">
        <f t="shared" si="18"/>
        <v>18678.892</v>
      </c>
      <c r="I194" s="60">
        <f t="shared" si="19"/>
        <v>19525.054</v>
      </c>
      <c r="J194" s="60">
        <f t="shared" si="14"/>
        <v>1282.4423512658075</v>
      </c>
      <c r="K194" s="60">
        <f t="shared" si="15"/>
        <v>17693.892</v>
      </c>
    </row>
    <row r="195" spans="1:11" ht="15">
      <c r="A195" s="55">
        <v>44504</v>
      </c>
      <c r="B195" s="56">
        <v>981</v>
      </c>
      <c r="C195" s="56">
        <f t="shared" si="16"/>
        <v>3924</v>
      </c>
      <c r="D195" s="57">
        <v>24424</v>
      </c>
      <c r="E195" s="58">
        <v>1.5</v>
      </c>
      <c r="F195" s="58">
        <v>30</v>
      </c>
      <c r="G195" s="59">
        <f t="shared" si="21"/>
        <v>805.23720000000003</v>
      </c>
      <c r="H195" s="60">
        <f t="shared" si="18"/>
        <v>20190.674000000003</v>
      </c>
      <c r="I195" s="60">
        <f t="shared" si="19"/>
        <v>20995.911200000002</v>
      </c>
      <c r="J195" s="60">
        <f t="shared" si="14"/>
        <v>1384.4603570035094</v>
      </c>
      <c r="K195" s="60">
        <f t="shared" si="15"/>
        <v>19209.674000000003</v>
      </c>
    </row>
    <row r="196" spans="1:11" ht="15">
      <c r="A196" s="55">
        <v>44505</v>
      </c>
      <c r="B196" s="56">
        <v>912</v>
      </c>
      <c r="C196" s="56">
        <f t="shared" si="16"/>
        <v>3648</v>
      </c>
      <c r="D196" s="57">
        <v>21597</v>
      </c>
      <c r="E196" s="58">
        <v>1.5</v>
      </c>
      <c r="F196" s="58">
        <v>30</v>
      </c>
      <c r="G196" s="59">
        <f t="shared" si="21"/>
        <v>993.91039999999998</v>
      </c>
      <c r="H196" s="60">
        <f t="shared" si="18"/>
        <v>18074.988000000001</v>
      </c>
      <c r="I196" s="60">
        <f t="shared" si="19"/>
        <v>19068.898400000002</v>
      </c>
      <c r="J196" s="60">
        <f t="shared" ref="J196:J214" si="22">SQRT((I196-B196)^2/209)</f>
        <v>1255.9389242226791</v>
      </c>
      <c r="K196" s="60">
        <f t="shared" ref="K196:K214" si="23">H196-B196</f>
        <v>17162.988000000001</v>
      </c>
    </row>
    <row r="197" spans="1:11" ht="15">
      <c r="A197" s="55">
        <v>44506</v>
      </c>
      <c r="B197" s="56">
        <v>986</v>
      </c>
      <c r="C197" s="56">
        <f t="shared" ref="C197:C214" si="24">B197*4</f>
        <v>3944</v>
      </c>
      <c r="D197" s="57">
        <v>26246</v>
      </c>
      <c r="E197" s="58">
        <v>1.5</v>
      </c>
      <c r="F197" s="58">
        <v>30</v>
      </c>
      <c r="G197" s="59">
        <f t="shared" si="21"/>
        <v>965.70439999999996</v>
      </c>
      <c r="H197" s="60">
        <f t="shared" si="18"/>
        <v>16439.864000000001</v>
      </c>
      <c r="I197" s="60">
        <f t="shared" si="19"/>
        <v>17405.5684</v>
      </c>
      <c r="J197" s="60">
        <f t="shared" si="22"/>
        <v>1135.765295271834</v>
      </c>
      <c r="K197" s="60">
        <f t="shared" si="23"/>
        <v>15453.864000000001</v>
      </c>
    </row>
    <row r="198" spans="1:11" ht="15">
      <c r="A198" s="55">
        <v>44507</v>
      </c>
      <c r="B198" s="56">
        <v>1009</v>
      </c>
      <c r="C198" s="56">
        <f t="shared" si="24"/>
        <v>4036</v>
      </c>
      <c r="D198" s="57">
        <v>13830</v>
      </c>
      <c r="E198" s="58">
        <v>1.5</v>
      </c>
      <c r="F198" s="58">
        <v>30</v>
      </c>
      <c r="G198" s="59">
        <f t="shared" si="21"/>
        <v>949.95759999999996</v>
      </c>
      <c r="H198" s="60">
        <f t="shared" ref="H198:H214" si="25">0.674*D196+1.112*E196-0.786*F196</f>
        <v>14534.466</v>
      </c>
      <c r="I198" s="60">
        <f t="shared" si="19"/>
        <v>15484.4236</v>
      </c>
      <c r="J198" s="60">
        <f t="shared" si="22"/>
        <v>1001.2859874708324</v>
      </c>
      <c r="K198" s="60">
        <f t="shared" si="23"/>
        <v>13525.466</v>
      </c>
    </row>
    <row r="199" spans="1:11" ht="15">
      <c r="A199" s="55">
        <v>44508</v>
      </c>
      <c r="B199" s="56">
        <v>1316</v>
      </c>
      <c r="C199" s="56">
        <f t="shared" si="24"/>
        <v>5264</v>
      </c>
      <c r="D199" s="57">
        <v>5541</v>
      </c>
      <c r="E199" s="58">
        <v>1.5</v>
      </c>
      <c r="F199" s="58">
        <v>30</v>
      </c>
      <c r="G199" s="59">
        <f t="shared" si="21"/>
        <v>1004.9652</v>
      </c>
      <c r="H199" s="60">
        <f t="shared" si="25"/>
        <v>17667.892</v>
      </c>
      <c r="I199" s="60">
        <f t="shared" ref="I199:I214" si="26">SUM(G199:H199)</f>
        <v>18672.857199999999</v>
      </c>
      <c r="J199" s="60">
        <f t="shared" si="22"/>
        <v>1200.5989172498016</v>
      </c>
      <c r="K199" s="60">
        <f t="shared" si="23"/>
        <v>16351.892</v>
      </c>
    </row>
    <row r="200" spans="1:11" ht="15">
      <c r="A200" s="55">
        <v>44509</v>
      </c>
      <c r="B200" s="56">
        <v>1276</v>
      </c>
      <c r="C200" s="56">
        <f t="shared" si="24"/>
        <v>5104</v>
      </c>
      <c r="D200" s="57">
        <v>20730</v>
      </c>
      <c r="E200" s="58">
        <v>1.5</v>
      </c>
      <c r="F200" s="58">
        <v>30</v>
      </c>
      <c r="G200" s="59">
        <f t="shared" si="21"/>
        <v>1133.7268000000001</v>
      </c>
      <c r="H200" s="60">
        <f t="shared" si="25"/>
        <v>9299.5079999999998</v>
      </c>
      <c r="I200" s="60">
        <f t="shared" si="26"/>
        <v>10433.2348</v>
      </c>
      <c r="J200" s="60">
        <f t="shared" si="22"/>
        <v>633.41917601777618</v>
      </c>
      <c r="K200" s="60">
        <f t="shared" si="23"/>
        <v>8023.5079999999998</v>
      </c>
    </row>
    <row r="201" spans="1:11" ht="15">
      <c r="A201" s="55">
        <v>44510</v>
      </c>
      <c r="B201" s="56">
        <v>1414</v>
      </c>
      <c r="C201" s="56">
        <f t="shared" si="24"/>
        <v>5656</v>
      </c>
      <c r="D201" s="57">
        <v>15926</v>
      </c>
      <c r="E201" s="58">
        <v>1.5</v>
      </c>
      <c r="F201" s="58">
        <v>30</v>
      </c>
      <c r="G201" s="59">
        <f t="shared" si="21"/>
        <v>1311.5040000000001</v>
      </c>
      <c r="H201" s="60">
        <f t="shared" si="25"/>
        <v>3712.7220000000002</v>
      </c>
      <c r="I201" s="60">
        <f t="shared" si="26"/>
        <v>5024.2260000000006</v>
      </c>
      <c r="J201" s="60">
        <f t="shared" si="22"/>
        <v>249.72455420253638</v>
      </c>
      <c r="K201" s="60">
        <f t="shared" si="23"/>
        <v>2298.7220000000002</v>
      </c>
    </row>
    <row r="202" spans="1:11" ht="15">
      <c r="A202" s="55">
        <v>44511</v>
      </c>
      <c r="B202" s="56">
        <v>1185</v>
      </c>
      <c r="C202" s="56">
        <f t="shared" si="24"/>
        <v>4740</v>
      </c>
      <c r="D202" s="57">
        <v>16297</v>
      </c>
      <c r="E202" s="58">
        <v>1.5</v>
      </c>
      <c r="F202" s="58">
        <v>30</v>
      </c>
      <c r="G202" s="59">
        <f t="shared" si="21"/>
        <v>1337.7912000000001</v>
      </c>
      <c r="H202" s="60">
        <f t="shared" si="25"/>
        <v>13950.108</v>
      </c>
      <c r="I202" s="60">
        <f t="shared" si="26"/>
        <v>15287.8992</v>
      </c>
      <c r="J202" s="60">
        <f t="shared" si="22"/>
        <v>975.51793590852935</v>
      </c>
      <c r="K202" s="60">
        <f t="shared" si="23"/>
        <v>12765.108</v>
      </c>
    </row>
    <row r="203" spans="1:11" ht="15">
      <c r="A203" s="55">
        <v>44512</v>
      </c>
      <c r="B203" s="56">
        <v>1388</v>
      </c>
      <c r="C203" s="56">
        <f t="shared" si="24"/>
        <v>5552</v>
      </c>
      <c r="D203" s="57">
        <v>46409</v>
      </c>
      <c r="E203" s="58">
        <v>1.5</v>
      </c>
      <c r="F203" s="58">
        <v>30</v>
      </c>
      <c r="G203" s="59">
        <f t="shared" si="21"/>
        <v>1339.1204</v>
      </c>
      <c r="H203" s="60">
        <f t="shared" si="25"/>
        <v>10712.212</v>
      </c>
      <c r="I203" s="60">
        <f t="shared" si="26"/>
        <v>12051.332399999999</v>
      </c>
      <c r="J203" s="60">
        <f t="shared" si="22"/>
        <v>737.59812540917426</v>
      </c>
      <c r="K203" s="60">
        <f t="shared" si="23"/>
        <v>9324.2119999999995</v>
      </c>
    </row>
    <row r="204" spans="1:11" ht="15">
      <c r="A204" s="55">
        <v>44513</v>
      </c>
      <c r="B204" s="56">
        <v>1240</v>
      </c>
      <c r="C204" s="56">
        <f t="shared" si="24"/>
        <v>4960</v>
      </c>
      <c r="D204" s="57">
        <v>24596</v>
      </c>
      <c r="E204" s="58">
        <v>1.5</v>
      </c>
      <c r="F204" s="58">
        <v>30</v>
      </c>
      <c r="G204" s="59">
        <f t="shared" si="21"/>
        <v>1270.9972</v>
      </c>
      <c r="H204" s="60">
        <f t="shared" si="25"/>
        <v>10962.266</v>
      </c>
      <c r="I204" s="60">
        <f t="shared" si="26"/>
        <v>12233.263199999999</v>
      </c>
      <c r="J204" s="60">
        <f t="shared" si="22"/>
        <v>760.4199160526648</v>
      </c>
      <c r="K204" s="60">
        <f t="shared" si="23"/>
        <v>9722.2659999999996</v>
      </c>
    </row>
    <row r="205" spans="1:11" ht="15">
      <c r="A205" s="55">
        <v>44514</v>
      </c>
      <c r="B205" s="56">
        <v>985</v>
      </c>
      <c r="C205" s="56">
        <f t="shared" si="24"/>
        <v>3940</v>
      </c>
      <c r="D205" s="57">
        <v>13743</v>
      </c>
      <c r="E205" s="58">
        <v>1.5</v>
      </c>
      <c r="F205" s="58">
        <v>30</v>
      </c>
      <c r="G205" s="59">
        <f t="shared" si="21"/>
        <v>1343.2848000000001</v>
      </c>
      <c r="H205" s="60">
        <f t="shared" si="25"/>
        <v>31257.754000000001</v>
      </c>
      <c r="I205" s="60">
        <f t="shared" si="26"/>
        <v>32601.038800000002</v>
      </c>
      <c r="J205" s="60">
        <f t="shared" si="22"/>
        <v>2186.9271328111017</v>
      </c>
      <c r="K205" s="60">
        <f t="shared" si="23"/>
        <v>30272.754000000001</v>
      </c>
    </row>
    <row r="206" spans="1:11" ht="15">
      <c r="A206" s="55">
        <v>44515</v>
      </c>
      <c r="B206" s="56">
        <v>1165</v>
      </c>
      <c r="C206" s="56">
        <f t="shared" si="24"/>
        <v>4660</v>
      </c>
      <c r="D206" s="57">
        <v>4920</v>
      </c>
      <c r="E206" s="58">
        <v>1.5</v>
      </c>
      <c r="F206" s="58">
        <v>30</v>
      </c>
      <c r="G206" s="59">
        <f t="shared" si="21"/>
        <v>1155.4380000000001</v>
      </c>
      <c r="H206" s="60">
        <f t="shared" si="25"/>
        <v>16555.792000000001</v>
      </c>
      <c r="I206" s="60">
        <f t="shared" si="26"/>
        <v>17711.230000000003</v>
      </c>
      <c r="J206" s="60">
        <f t="shared" si="22"/>
        <v>1144.5266613454762</v>
      </c>
      <c r="K206" s="60">
        <f t="shared" si="23"/>
        <v>15390.792000000001</v>
      </c>
    </row>
    <row r="207" spans="1:11" ht="15">
      <c r="A207" s="55">
        <v>44516</v>
      </c>
      <c r="B207" s="56">
        <v>1183</v>
      </c>
      <c r="C207" s="56">
        <f t="shared" si="24"/>
        <v>4732</v>
      </c>
      <c r="D207" s="57">
        <v>18184</v>
      </c>
      <c r="E207" s="58">
        <v>1.5</v>
      </c>
      <c r="F207" s="58">
        <v>30</v>
      </c>
      <c r="G207" s="59">
        <f t="shared" si="21"/>
        <v>1062.432</v>
      </c>
      <c r="H207" s="60">
        <f t="shared" si="25"/>
        <v>9240.8700000000008</v>
      </c>
      <c r="I207" s="60">
        <f t="shared" si="26"/>
        <v>10303.302000000001</v>
      </c>
      <c r="J207" s="60">
        <f t="shared" si="22"/>
        <v>630.86448082266895</v>
      </c>
      <c r="K207" s="60">
        <f t="shared" si="23"/>
        <v>8057.8700000000008</v>
      </c>
    </row>
    <row r="208" spans="1:11" ht="15">
      <c r="A208" s="55">
        <v>44517</v>
      </c>
      <c r="B208" s="56">
        <v>1337</v>
      </c>
      <c r="C208" s="56">
        <f t="shared" si="24"/>
        <v>5348</v>
      </c>
      <c r="D208" s="57">
        <v>39113</v>
      </c>
      <c r="E208" s="58">
        <v>1.5</v>
      </c>
      <c r="F208" s="58">
        <v>30</v>
      </c>
      <c r="G208" s="59">
        <f t="shared" si="21"/>
        <v>1182.1032</v>
      </c>
      <c r="H208" s="60">
        <f t="shared" si="25"/>
        <v>3294.1680000000006</v>
      </c>
      <c r="I208" s="60">
        <f t="shared" si="26"/>
        <v>4476.271200000001</v>
      </c>
      <c r="J208" s="60">
        <f t="shared" si="22"/>
        <v>217.14792950382096</v>
      </c>
      <c r="K208" s="60">
        <f t="shared" si="23"/>
        <v>1957.1680000000006</v>
      </c>
    </row>
    <row r="209" spans="1:11" ht="15">
      <c r="A209" s="55">
        <v>44518</v>
      </c>
      <c r="B209" s="56">
        <v>1609</v>
      </c>
      <c r="C209" s="56">
        <f t="shared" si="24"/>
        <v>6436</v>
      </c>
      <c r="D209" s="57">
        <v>18451</v>
      </c>
      <c r="E209" s="58">
        <v>1.5</v>
      </c>
      <c r="F209" s="58">
        <v>30</v>
      </c>
      <c r="G209" s="59">
        <f t="shared" si="21"/>
        <v>1250.7496000000001</v>
      </c>
      <c r="H209" s="60">
        <f t="shared" si="25"/>
        <v>12234.104000000001</v>
      </c>
      <c r="I209" s="60">
        <f t="shared" si="26"/>
        <v>13484.853600000002</v>
      </c>
      <c r="J209" s="60">
        <f t="shared" si="22"/>
        <v>821.46997058759939</v>
      </c>
      <c r="K209" s="60">
        <f t="shared" si="23"/>
        <v>10625.104000000001</v>
      </c>
    </row>
    <row r="210" spans="1:11" ht="15">
      <c r="A210" s="55">
        <v>44519</v>
      </c>
      <c r="B210" s="56">
        <v>1339</v>
      </c>
      <c r="C210" s="56">
        <f t="shared" si="24"/>
        <v>5356</v>
      </c>
      <c r="D210" s="57">
        <v>19214</v>
      </c>
      <c r="E210" s="58">
        <v>1.5</v>
      </c>
      <c r="F210" s="58">
        <v>30</v>
      </c>
      <c r="G210" s="59">
        <f t="shared" si="21"/>
        <v>1448.6928</v>
      </c>
      <c r="H210" s="60">
        <f t="shared" si="25"/>
        <v>26340.25</v>
      </c>
      <c r="I210" s="60">
        <f t="shared" si="26"/>
        <v>27788.942800000001</v>
      </c>
      <c r="J210" s="60">
        <f t="shared" si="22"/>
        <v>1829.5808003190341</v>
      </c>
      <c r="K210" s="60">
        <f t="shared" si="23"/>
        <v>25001.25</v>
      </c>
    </row>
    <row r="211" spans="1:11" ht="15">
      <c r="A211" s="55">
        <v>44520</v>
      </c>
      <c r="B211" s="61">
        <v>1046</v>
      </c>
      <c r="C211" s="56">
        <f t="shared" si="24"/>
        <v>4184</v>
      </c>
      <c r="D211" s="57">
        <v>18328</v>
      </c>
      <c r="E211" s="58">
        <v>1</v>
      </c>
      <c r="F211" s="58">
        <v>50</v>
      </c>
      <c r="G211" s="59">
        <f t="shared" si="21"/>
        <v>1518.8520000000001</v>
      </c>
      <c r="H211" s="60">
        <f t="shared" si="25"/>
        <v>12414.062</v>
      </c>
      <c r="I211" s="60">
        <f t="shared" si="26"/>
        <v>13932.914000000001</v>
      </c>
      <c r="J211" s="60">
        <f t="shared" si="22"/>
        <v>891.40648083982126</v>
      </c>
      <c r="K211" s="60">
        <f t="shared" si="23"/>
        <v>11368.062</v>
      </c>
    </row>
    <row r="212" spans="1:11" ht="15">
      <c r="A212" s="55">
        <v>44521</v>
      </c>
      <c r="B212" s="61">
        <v>1265</v>
      </c>
      <c r="C212" s="56">
        <f t="shared" si="24"/>
        <v>5060</v>
      </c>
      <c r="D212" s="57">
        <v>9881</v>
      </c>
      <c r="E212" s="58">
        <v>1</v>
      </c>
      <c r="F212" s="58">
        <v>50</v>
      </c>
      <c r="G212" s="59">
        <f t="shared" si="21"/>
        <v>1240.2868000000001</v>
      </c>
      <c r="H212" s="60">
        <f t="shared" si="25"/>
        <v>12928.324000000001</v>
      </c>
      <c r="I212" s="60">
        <f t="shared" si="26"/>
        <v>14168.6108</v>
      </c>
      <c r="J212" s="60">
        <f t="shared" si="22"/>
        <v>892.56142264584912</v>
      </c>
      <c r="K212" s="60">
        <f t="shared" si="23"/>
        <v>11663.324000000001</v>
      </c>
    </row>
    <row r="213" spans="1:11" ht="15">
      <c r="A213" s="55">
        <v>44522</v>
      </c>
      <c r="B213" s="61">
        <v>1547</v>
      </c>
      <c r="C213" s="56">
        <f t="shared" si="24"/>
        <v>6188</v>
      </c>
      <c r="D213" s="57">
        <v>7754</v>
      </c>
      <c r="E213" s="58">
        <v>1</v>
      </c>
      <c r="F213" s="58">
        <v>50</v>
      </c>
      <c r="G213" s="59">
        <f t="shared" si="21"/>
        <v>1137.9556</v>
      </c>
      <c r="H213" s="60">
        <f t="shared" si="25"/>
        <v>12314.884</v>
      </c>
      <c r="I213" s="60">
        <f t="shared" si="26"/>
        <v>13452.839599999999</v>
      </c>
      <c r="J213" s="60">
        <f t="shared" si="22"/>
        <v>823.54414557894802</v>
      </c>
      <c r="K213" s="60">
        <f t="shared" si="23"/>
        <v>10767.884</v>
      </c>
    </row>
    <row r="214" spans="1:11" ht="15">
      <c r="A214" s="55">
        <v>44523</v>
      </c>
      <c r="B214" s="61">
        <v>1204</v>
      </c>
      <c r="C214" s="56">
        <f t="shared" si="24"/>
        <v>4816</v>
      </c>
      <c r="D214" s="57">
        <v>23182</v>
      </c>
      <c r="E214" s="58">
        <v>1</v>
      </c>
      <c r="F214" s="58">
        <v>50</v>
      </c>
      <c r="G214" s="59">
        <f t="shared" si="21"/>
        <v>1380.4168</v>
      </c>
      <c r="H214" s="60">
        <f t="shared" si="25"/>
        <v>6621.6060000000007</v>
      </c>
      <c r="I214" s="60">
        <f t="shared" si="26"/>
        <v>8002.0228000000006</v>
      </c>
      <c r="J214" s="60">
        <f t="shared" si="22"/>
        <v>470.22906964513521</v>
      </c>
      <c r="K214" s="60">
        <f t="shared" si="23"/>
        <v>5417.6060000000007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B84A-7FAF-4733-91A6-C1C6049C8FF6}">
  <dimension ref="A1:P212"/>
  <sheetViews>
    <sheetView showGridLines="0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9.125" defaultRowHeight="15.75"/>
  <cols>
    <col min="1" max="1" width="13.125" style="106" customWidth="1"/>
    <col min="2" max="2" width="15.75" style="10" bestFit="1" customWidth="1"/>
    <col min="3" max="3" width="19.125" style="10" bestFit="1" customWidth="1"/>
    <col min="4" max="4" width="24.125" style="10" bestFit="1" customWidth="1"/>
    <col min="5" max="5" width="23.875" style="10" bestFit="1" customWidth="1"/>
    <col min="6" max="6" width="27" style="10" bestFit="1" customWidth="1"/>
    <col min="7" max="7" width="25.75" style="10" bestFit="1" customWidth="1"/>
    <col min="8" max="8" width="11.375" style="10" customWidth="1"/>
    <col min="9" max="9" width="11.25" style="10" customWidth="1"/>
    <col min="10" max="10" width="12.75" style="10" customWidth="1"/>
    <col min="11" max="11" width="10.375" style="10" customWidth="1"/>
    <col min="12" max="15" width="12.625" style="10" customWidth="1"/>
    <col min="16" max="16" width="10.75" style="10" customWidth="1"/>
    <col min="17" max="17" width="11.875" style="10" customWidth="1"/>
    <col min="18" max="18" width="19.125" style="10" bestFit="1" customWidth="1"/>
    <col min="19" max="19" width="11.125" style="10" customWidth="1"/>
    <col min="20" max="20" width="19.125" style="10" bestFit="1" customWidth="1"/>
    <col min="21" max="25" width="9.125" style="10"/>
    <col min="26" max="26" width="18.875" style="10" bestFit="1" customWidth="1"/>
    <col min="27" max="27" width="24" style="10" bestFit="1" customWidth="1"/>
    <col min="28" max="16384" width="9.125" style="10"/>
  </cols>
  <sheetData>
    <row r="1" spans="1:16" s="2" customFormat="1" ht="22.5" customHeight="1">
      <c r="A1" s="104" t="s">
        <v>14</v>
      </c>
      <c r="B1" s="20" t="s">
        <v>13</v>
      </c>
      <c r="C1" s="20" t="s">
        <v>9</v>
      </c>
      <c r="D1" s="20" t="s">
        <v>81</v>
      </c>
      <c r="E1" s="19" t="s">
        <v>106</v>
      </c>
      <c r="F1" s="19" t="s">
        <v>107</v>
      </c>
      <c r="G1" s="19" t="s">
        <v>108</v>
      </c>
    </row>
    <row r="2" spans="1:16" s="1" customFormat="1" ht="15.75" customHeight="1">
      <c r="A2" s="105">
        <v>44313</v>
      </c>
      <c r="B2" s="65">
        <v>0</v>
      </c>
      <c r="C2" s="65">
        <v>8047</v>
      </c>
      <c r="D2" s="65">
        <f>C2/7200000*100000</f>
        <v>111.7638888888889</v>
      </c>
      <c r="E2" s="67">
        <v>2</v>
      </c>
      <c r="F2" s="87">
        <v>3.41</v>
      </c>
      <c r="G2" s="87">
        <v>2.76</v>
      </c>
      <c r="H2" s="3"/>
      <c r="I2" s="306" t="s">
        <v>15</v>
      </c>
      <c r="J2" s="307"/>
      <c r="K2" s="308"/>
      <c r="L2" s="309" t="s">
        <v>19</v>
      </c>
      <c r="M2" s="310"/>
      <c r="N2" s="310"/>
      <c r="O2" s="311"/>
      <c r="P2" s="111" t="s">
        <v>22</v>
      </c>
    </row>
    <row r="3" spans="1:16" s="1" customFormat="1" ht="30">
      <c r="A3" s="105">
        <v>44314</v>
      </c>
      <c r="B3" s="65">
        <v>0</v>
      </c>
      <c r="C3" s="65">
        <v>7995.7619047619037</v>
      </c>
      <c r="D3" s="65">
        <f t="shared" ref="D3:D66" si="0">C3/7200000*100000</f>
        <v>111.05224867724866</v>
      </c>
      <c r="E3" s="67">
        <v>2</v>
      </c>
      <c r="F3" s="87">
        <v>6.02</v>
      </c>
      <c r="G3" s="87">
        <v>3.89</v>
      </c>
      <c r="I3" s="73" t="s">
        <v>26</v>
      </c>
      <c r="J3" s="73" t="s">
        <v>16</v>
      </c>
      <c r="K3" s="73" t="s">
        <v>17</v>
      </c>
      <c r="L3" s="73" t="s">
        <v>9</v>
      </c>
      <c r="M3" s="73" t="s">
        <v>99</v>
      </c>
      <c r="N3" s="73" t="s">
        <v>109</v>
      </c>
      <c r="O3" s="73" t="s">
        <v>110</v>
      </c>
      <c r="P3" s="73" t="s">
        <v>23</v>
      </c>
    </row>
    <row r="4" spans="1:16" s="1" customFormat="1">
      <c r="A4" s="105">
        <v>44315</v>
      </c>
      <c r="B4" s="65">
        <v>1</v>
      </c>
      <c r="C4" s="65">
        <v>8043.3809523809514</v>
      </c>
      <c r="D4" s="65">
        <f t="shared" si="0"/>
        <v>111.71362433862431</v>
      </c>
      <c r="E4" s="67">
        <v>2</v>
      </c>
      <c r="F4" s="87">
        <v>7.04</v>
      </c>
      <c r="G4" s="87">
        <v>2.5099999999999998</v>
      </c>
      <c r="I4" s="74">
        <v>212</v>
      </c>
      <c r="J4" s="75" t="s">
        <v>18</v>
      </c>
      <c r="K4" s="75">
        <v>1</v>
      </c>
      <c r="L4" s="76">
        <f>K10</f>
        <v>0.45999467209169503</v>
      </c>
      <c r="M4" s="76">
        <f t="shared" ref="M4:O4" si="1">L10</f>
        <v>0.82368300713378428</v>
      </c>
      <c r="N4" s="76">
        <f t="shared" si="1"/>
        <v>7.3583897023117234E-3</v>
      </c>
      <c r="O4" s="76">
        <f t="shared" si="1"/>
        <v>1.7930489148127594E-2</v>
      </c>
      <c r="P4" s="95">
        <f>AVERAGE(L4:N4)</f>
        <v>0.43034535630926368</v>
      </c>
    </row>
    <row r="5" spans="1:16" s="1" customFormat="1">
      <c r="A5" s="105">
        <v>44316</v>
      </c>
      <c r="B5" s="65">
        <v>2</v>
      </c>
      <c r="C5" s="65">
        <v>7520.4285714285697</v>
      </c>
      <c r="D5" s="65">
        <f t="shared" si="0"/>
        <v>104.45039682539681</v>
      </c>
      <c r="E5" s="67">
        <v>2</v>
      </c>
      <c r="F5" s="87">
        <v>2.2799999999999998</v>
      </c>
      <c r="G5" s="87">
        <v>0.4</v>
      </c>
      <c r="I5" s="74">
        <v>106</v>
      </c>
      <c r="J5" s="75" t="s">
        <v>18</v>
      </c>
      <c r="K5" s="75">
        <v>2</v>
      </c>
      <c r="L5" s="77">
        <f>K18</f>
        <v>0.52048809067464097</v>
      </c>
      <c r="M5" s="77">
        <f t="shared" ref="M5:O5" si="2">L18</f>
        <v>0.83206640943765253</v>
      </c>
      <c r="N5" s="77">
        <f t="shared" si="2"/>
        <v>-4.2699337800382632E-2</v>
      </c>
      <c r="O5" s="77">
        <f t="shared" si="2"/>
        <v>0.13102809721118347</v>
      </c>
      <c r="P5" s="88">
        <f>AVERAGE(L5:N5)</f>
        <v>0.43661838743730358</v>
      </c>
    </row>
    <row r="6" spans="1:16" s="1" customFormat="1">
      <c r="A6" s="105">
        <v>44317</v>
      </c>
      <c r="B6" s="65">
        <v>3</v>
      </c>
      <c r="C6" s="65">
        <v>7054.8571428571404</v>
      </c>
      <c r="D6" s="65">
        <f t="shared" si="0"/>
        <v>97.984126984126945</v>
      </c>
      <c r="E6" s="67">
        <v>2</v>
      </c>
      <c r="F6" s="87">
        <v>1.1599999999999999</v>
      </c>
      <c r="G6" s="87">
        <v>4.82</v>
      </c>
      <c r="I6" s="303" t="s">
        <v>101</v>
      </c>
      <c r="J6" s="304"/>
      <c r="K6" s="305"/>
      <c r="L6" s="77">
        <f>L5/SUM($L$5:$O$5)</f>
        <v>0.36122849456028305</v>
      </c>
      <c r="M6" s="77">
        <f t="shared" ref="M6:O6" si="3">M5/SUM($L$5:$O$5)</f>
        <v>0.57746969016285965</v>
      </c>
      <c r="N6" s="77">
        <f t="shared" si="3"/>
        <v>-2.9634141085458459E-2</v>
      </c>
      <c r="O6" s="77">
        <f t="shared" si="3"/>
        <v>9.0935956362315815E-2</v>
      </c>
      <c r="P6" s="80"/>
    </row>
    <row r="7" spans="1:16" s="1" customFormat="1">
      <c r="A7" s="105">
        <v>44318</v>
      </c>
      <c r="B7" s="65">
        <v>0</v>
      </c>
      <c r="C7" s="65">
        <v>6443.1428571428551</v>
      </c>
      <c r="D7" s="65">
        <f t="shared" si="0"/>
        <v>89.488095238095212</v>
      </c>
      <c r="E7" s="67">
        <v>2</v>
      </c>
      <c r="F7" s="87">
        <v>5.97</v>
      </c>
      <c r="G7" s="87">
        <v>5.16</v>
      </c>
      <c r="I7" s="63"/>
      <c r="J7" s="63"/>
      <c r="K7" s="63"/>
      <c r="L7" s="63"/>
      <c r="M7" s="63"/>
      <c r="N7" s="80"/>
      <c r="O7" s="80"/>
      <c r="P7" s="80"/>
    </row>
    <row r="8" spans="1:16" s="1" customFormat="1">
      <c r="A8" s="105">
        <v>44319</v>
      </c>
      <c r="B8" s="65">
        <v>0</v>
      </c>
      <c r="C8" s="65">
        <v>3423.5714285714266</v>
      </c>
      <c r="D8" s="65">
        <f t="shared" si="0"/>
        <v>47.549603174603149</v>
      </c>
      <c r="E8" s="67">
        <v>2</v>
      </c>
      <c r="F8" s="87">
        <v>0.9</v>
      </c>
      <c r="G8" s="87">
        <v>2.87</v>
      </c>
      <c r="I8" s="63" t="s">
        <v>24</v>
      </c>
      <c r="J8" s="63"/>
      <c r="K8" s="63"/>
      <c r="L8" s="80"/>
      <c r="M8" s="80"/>
      <c r="N8" s="63"/>
      <c r="O8" s="63"/>
      <c r="P8" s="63"/>
    </row>
    <row r="9" spans="1:16" s="1" customFormat="1" ht="30">
      <c r="A9" s="105">
        <v>44320</v>
      </c>
      <c r="B9" s="65">
        <v>3</v>
      </c>
      <c r="C9" s="65">
        <v>1041.999999999998</v>
      </c>
      <c r="D9" s="65">
        <f t="shared" si="0"/>
        <v>14.472222222222195</v>
      </c>
      <c r="E9" s="67">
        <v>2</v>
      </c>
      <c r="F9" s="87">
        <v>4.92</v>
      </c>
      <c r="G9" s="87">
        <v>2.86</v>
      </c>
      <c r="I9" s="98"/>
      <c r="J9" s="109" t="s">
        <v>13</v>
      </c>
      <c r="K9" s="109" t="s">
        <v>111</v>
      </c>
      <c r="L9" s="109" t="s">
        <v>99</v>
      </c>
      <c r="M9" s="109" t="s">
        <v>109</v>
      </c>
      <c r="N9" s="110" t="s">
        <v>110</v>
      </c>
      <c r="O9" s="80"/>
    </row>
    <row r="10" spans="1:16" s="1" customFormat="1">
      <c r="A10" s="105">
        <v>44321</v>
      </c>
      <c r="B10" s="65">
        <v>1</v>
      </c>
      <c r="C10" s="65">
        <v>1556.3809523809509</v>
      </c>
      <c r="D10" s="65">
        <f t="shared" si="0"/>
        <v>21.616402116402096</v>
      </c>
      <c r="E10" s="67">
        <v>2</v>
      </c>
      <c r="F10" s="87">
        <v>6.29</v>
      </c>
      <c r="G10" s="87">
        <v>0.9</v>
      </c>
      <c r="I10" s="98" t="s">
        <v>13</v>
      </c>
      <c r="J10" s="96">
        <v>1</v>
      </c>
      <c r="K10" s="99">
        <f>PEARSON($B$2:$B$212,D2:D212)</f>
        <v>0.45999467209169503</v>
      </c>
      <c r="L10" s="99">
        <f>PEARSON($B$2:$B$212,E2:E212)</f>
        <v>0.82368300713378428</v>
      </c>
      <c r="M10" s="99">
        <f>PEARSON($B$2:$B$212,F2:F212)</f>
        <v>7.3583897023117234E-3</v>
      </c>
      <c r="N10" s="100">
        <f>PEARSON($B$2:$B$212,G2:G212)</f>
        <v>1.7930489148127594E-2</v>
      </c>
      <c r="O10" s="50"/>
    </row>
    <row r="11" spans="1:16" s="1" customFormat="1">
      <c r="A11" s="105">
        <v>44322</v>
      </c>
      <c r="B11" s="65">
        <v>0</v>
      </c>
      <c r="C11" s="65">
        <v>1734.4761904761897</v>
      </c>
      <c r="D11" s="65">
        <f t="shared" si="0"/>
        <v>24.089947089947081</v>
      </c>
      <c r="E11" s="67">
        <v>2</v>
      </c>
      <c r="F11" s="87">
        <v>6.04</v>
      </c>
      <c r="G11" s="87">
        <v>4.53</v>
      </c>
      <c r="I11" s="101" t="s">
        <v>111</v>
      </c>
      <c r="J11" s="96"/>
      <c r="K11" s="102">
        <v>1</v>
      </c>
      <c r="L11" s="99">
        <f>PEARSON($D$2:$D$212,E2:E212)</f>
        <v>0.42326038817083783</v>
      </c>
      <c r="M11" s="99">
        <f t="shared" ref="M11:N11" si="4">PEARSON($D$2:$D$212,F2:F212)</f>
        <v>-3.7254383199931303E-2</v>
      </c>
      <c r="N11" s="100">
        <f t="shared" si="4"/>
        <v>-4.6743975859316549E-2</v>
      </c>
      <c r="O11" s="50"/>
    </row>
    <row r="12" spans="1:16" s="1" customFormat="1">
      <c r="A12" s="105">
        <v>44323</v>
      </c>
      <c r="B12" s="65">
        <v>2</v>
      </c>
      <c r="C12" s="65">
        <v>1906.1428571428571</v>
      </c>
      <c r="D12" s="65">
        <f t="shared" si="0"/>
        <v>26.474206349206348</v>
      </c>
      <c r="E12" s="67">
        <v>2</v>
      </c>
      <c r="F12" s="87">
        <v>3.08</v>
      </c>
      <c r="G12" s="87">
        <v>2.2000000000000002</v>
      </c>
      <c r="I12" s="98" t="s">
        <v>99</v>
      </c>
      <c r="J12" s="96"/>
      <c r="K12" s="102"/>
      <c r="L12" s="102">
        <v>1</v>
      </c>
      <c r="M12" s="99">
        <f>PEARSON($E$2:$E$212,F2:F212)</f>
        <v>0.11527425523640765</v>
      </c>
      <c r="N12" s="100">
        <f>PEARSON($E$2:$E$212,G2:G212)</f>
        <v>-6.1486217031144007E-2</v>
      </c>
      <c r="O12" s="50"/>
    </row>
    <row r="13" spans="1:16" s="1" customFormat="1">
      <c r="A13" s="105">
        <v>44324</v>
      </c>
      <c r="B13" s="65">
        <v>1</v>
      </c>
      <c r="C13" s="65">
        <v>1982.2857142857142</v>
      </c>
      <c r="D13" s="65">
        <f t="shared" si="0"/>
        <v>27.531746031746032</v>
      </c>
      <c r="E13" s="67">
        <v>2</v>
      </c>
      <c r="F13" s="87">
        <v>2.66</v>
      </c>
      <c r="G13" s="87">
        <v>5.15</v>
      </c>
      <c r="I13" s="98" t="s">
        <v>109</v>
      </c>
      <c r="J13" s="96"/>
      <c r="K13" s="102"/>
      <c r="L13" s="102"/>
      <c r="M13" s="102">
        <v>1</v>
      </c>
      <c r="N13" s="100">
        <f>PEARSON(F2:F212,G2:G212)</f>
        <v>-3.6684386275078723E-2</v>
      </c>
      <c r="O13" s="50"/>
    </row>
    <row r="14" spans="1:16" s="1" customFormat="1">
      <c r="A14" s="105">
        <v>44325</v>
      </c>
      <c r="B14" s="65">
        <v>0</v>
      </c>
      <c r="C14" s="65">
        <v>1963.5714285714287</v>
      </c>
      <c r="D14" s="65">
        <f t="shared" si="0"/>
        <v>27.271825396825399</v>
      </c>
      <c r="E14" s="67">
        <v>2</v>
      </c>
      <c r="F14" s="87">
        <v>2.29</v>
      </c>
      <c r="G14" s="87">
        <v>2.5</v>
      </c>
      <c r="I14" s="98" t="s">
        <v>110</v>
      </c>
      <c r="J14" s="96"/>
      <c r="K14" s="102"/>
      <c r="L14" s="102"/>
      <c r="M14" s="102"/>
      <c r="N14" s="103">
        <v>1</v>
      </c>
      <c r="O14" s="11"/>
    </row>
    <row r="15" spans="1:16" s="1" customFormat="1">
      <c r="A15" s="105">
        <v>44326</v>
      </c>
      <c r="B15" s="65">
        <v>0</v>
      </c>
      <c r="C15" s="65">
        <v>1787</v>
      </c>
      <c r="D15" s="65">
        <f t="shared" si="0"/>
        <v>24.819444444444443</v>
      </c>
      <c r="E15" s="67">
        <v>2</v>
      </c>
      <c r="F15" s="87">
        <v>4.33</v>
      </c>
      <c r="G15" s="87">
        <v>4.13</v>
      </c>
      <c r="I15" s="63"/>
      <c r="J15" s="63"/>
    </row>
    <row r="16" spans="1:16" s="1" customFormat="1">
      <c r="A16" s="105">
        <v>44327</v>
      </c>
      <c r="B16" s="65">
        <v>3</v>
      </c>
      <c r="C16" s="65">
        <v>1437.1428571428571</v>
      </c>
      <c r="D16" s="65">
        <f t="shared" si="0"/>
        <v>19.960317460317459</v>
      </c>
      <c r="E16" s="67">
        <v>2</v>
      </c>
      <c r="F16" s="87">
        <v>1.82</v>
      </c>
      <c r="G16" s="87">
        <v>3.23</v>
      </c>
      <c r="I16" s="63" t="s">
        <v>25</v>
      </c>
      <c r="J16" s="63"/>
      <c r="K16" s="63"/>
      <c r="L16" s="80"/>
      <c r="M16" s="80"/>
      <c r="N16" s="63"/>
      <c r="O16" s="63"/>
    </row>
    <row r="17" spans="1:15" s="1" customFormat="1" ht="30">
      <c r="A17" s="105">
        <v>44328</v>
      </c>
      <c r="B17" s="65">
        <v>0</v>
      </c>
      <c r="C17" s="65">
        <v>970.57142857142856</v>
      </c>
      <c r="D17" s="65">
        <f t="shared" si="0"/>
        <v>13.480158730158731</v>
      </c>
      <c r="E17" s="67">
        <v>2</v>
      </c>
      <c r="F17" s="87">
        <v>5.88</v>
      </c>
      <c r="G17" s="87">
        <v>4.34</v>
      </c>
      <c r="I17" s="98"/>
      <c r="J17" s="109" t="s">
        <v>13</v>
      </c>
      <c r="K17" s="109" t="s">
        <v>111</v>
      </c>
      <c r="L17" s="109" t="s">
        <v>99</v>
      </c>
      <c r="M17" s="109" t="s">
        <v>109</v>
      </c>
      <c r="N17" s="110" t="s">
        <v>110</v>
      </c>
      <c r="O17" s="80"/>
    </row>
    <row r="18" spans="1:15" s="1" customFormat="1">
      <c r="A18" s="105">
        <v>44329</v>
      </c>
      <c r="B18" s="65">
        <v>0</v>
      </c>
      <c r="C18" s="65">
        <v>822</v>
      </c>
      <c r="D18" s="65">
        <f t="shared" si="0"/>
        <v>11.416666666666668</v>
      </c>
      <c r="E18" s="67">
        <v>2</v>
      </c>
      <c r="F18" s="87">
        <v>4.74</v>
      </c>
      <c r="G18" s="87">
        <v>4.75</v>
      </c>
      <c r="I18" s="98" t="s">
        <v>13</v>
      </c>
      <c r="J18" s="97">
        <v>1</v>
      </c>
      <c r="K18" s="99">
        <f>PEARSON(Sheet1!$B$2:$B$107,Sheet1!D2:D107)</f>
        <v>0.52048809067464097</v>
      </c>
      <c r="L18" s="99">
        <f>PEARSON(Sheet1!$B$2:$B$107,Sheet1!E2:E107)</f>
        <v>0.83206640943765253</v>
      </c>
      <c r="M18" s="99">
        <f>PEARSON(Sheet1!$B$2:$B$107,Sheet1!F2:F107)</f>
        <v>-4.2699337800382632E-2</v>
      </c>
      <c r="N18" s="100">
        <f>PEARSON(Sheet1!$B$2:$B$107,Sheet1!G2:G107)</f>
        <v>0.13102809721118347</v>
      </c>
      <c r="O18" s="50"/>
    </row>
    <row r="19" spans="1:15" s="1" customFormat="1">
      <c r="A19" s="105">
        <v>44330</v>
      </c>
      <c r="B19" s="65">
        <v>0</v>
      </c>
      <c r="C19" s="65">
        <v>831.42857142857144</v>
      </c>
      <c r="D19" s="65">
        <f t="shared" si="0"/>
        <v>11.547619047619047</v>
      </c>
      <c r="E19" s="67">
        <v>2</v>
      </c>
      <c r="F19" s="87">
        <v>3.67</v>
      </c>
      <c r="G19" s="87">
        <v>4.66</v>
      </c>
      <c r="I19" s="101" t="s">
        <v>111</v>
      </c>
      <c r="J19" s="97"/>
      <c r="K19" s="102">
        <v>1</v>
      </c>
      <c r="L19" s="99">
        <f>PEARSON(Sheet1!$D$2:$D$107,Sheet1!E2:E107)</f>
        <v>0.41366537623920163</v>
      </c>
      <c r="M19" s="99">
        <f>PEARSON(Sheet1!$D$2:$D$107,Sheet1!F2:F107)</f>
        <v>-8.6564195540316025E-2</v>
      </c>
      <c r="N19" s="100">
        <f>PEARSON(Sheet1!$D$2:$D$107,Sheet1!G2:G107)</f>
        <v>-4.0758560468968169E-2</v>
      </c>
      <c r="O19" s="50"/>
    </row>
    <row r="20" spans="1:15" s="1" customFormat="1">
      <c r="A20" s="105">
        <v>44331</v>
      </c>
      <c r="B20" s="65">
        <v>0</v>
      </c>
      <c r="C20" s="65">
        <v>899</v>
      </c>
      <c r="D20" s="65">
        <f t="shared" si="0"/>
        <v>12.486111111111111</v>
      </c>
      <c r="E20" s="67">
        <v>2</v>
      </c>
      <c r="F20" s="87">
        <v>8.32</v>
      </c>
      <c r="G20" s="87">
        <v>4.28</v>
      </c>
      <c r="I20" s="98" t="s">
        <v>99</v>
      </c>
      <c r="J20" s="97"/>
      <c r="K20" s="102"/>
      <c r="L20" s="102">
        <v>1</v>
      </c>
      <c r="M20" s="99">
        <f>PEARSON(Sheet1!$E$2:$E$107,Sheet1!F2:F107)</f>
        <v>5.4407446004387627E-2</v>
      </c>
      <c r="N20" s="100">
        <f>PEARSON(Sheet1!$E$2:$E$107,Sheet1!G2:G107)</f>
        <v>5.0325730329146917E-2</v>
      </c>
      <c r="O20" s="50"/>
    </row>
    <row r="21" spans="1:15" s="1" customFormat="1">
      <c r="A21" s="105">
        <v>44332</v>
      </c>
      <c r="B21" s="65">
        <v>0</v>
      </c>
      <c r="C21" s="65">
        <v>902.84453781512696</v>
      </c>
      <c r="D21" s="65">
        <f t="shared" si="0"/>
        <v>12.53950746965454</v>
      </c>
      <c r="E21" s="67">
        <v>2</v>
      </c>
      <c r="F21" s="87">
        <v>6.8</v>
      </c>
      <c r="G21" s="87">
        <v>4.78</v>
      </c>
      <c r="I21" s="98" t="s">
        <v>109</v>
      </c>
      <c r="J21" s="97"/>
      <c r="K21" s="102"/>
      <c r="L21" s="102"/>
      <c r="M21" s="102">
        <v>1</v>
      </c>
      <c r="N21" s="100">
        <f>PEARSON(Sheet1!$F$2:$F$107,Sheet1!G2:G107)</f>
        <v>-0.10243741229185596</v>
      </c>
      <c r="O21" s="50"/>
    </row>
    <row r="22" spans="1:15" s="1" customFormat="1">
      <c r="A22" s="105">
        <v>44333</v>
      </c>
      <c r="B22" s="65">
        <v>2</v>
      </c>
      <c r="C22" s="65">
        <v>871.26050420168235</v>
      </c>
      <c r="D22" s="65">
        <f t="shared" si="0"/>
        <v>12.100840336134478</v>
      </c>
      <c r="E22" s="67">
        <v>2</v>
      </c>
      <c r="F22" s="87">
        <v>8.0299999999999994</v>
      </c>
      <c r="G22" s="87">
        <v>4.72</v>
      </c>
      <c r="I22" s="98" t="s">
        <v>110</v>
      </c>
      <c r="J22" s="97"/>
      <c r="K22" s="102"/>
      <c r="L22" s="102"/>
      <c r="M22" s="102"/>
      <c r="N22" s="103">
        <v>1</v>
      </c>
      <c r="O22" s="11"/>
    </row>
    <row r="23" spans="1:15" s="1" customFormat="1">
      <c r="A23" s="105">
        <v>44334</v>
      </c>
      <c r="B23" s="65">
        <v>1</v>
      </c>
      <c r="C23" s="65">
        <v>632.39075630252353</v>
      </c>
      <c r="D23" s="65">
        <f t="shared" si="0"/>
        <v>8.7832049486461603</v>
      </c>
      <c r="E23" s="67">
        <v>2</v>
      </c>
      <c r="F23" s="87">
        <v>6.33</v>
      </c>
      <c r="G23" s="87">
        <v>0.26</v>
      </c>
    </row>
    <row r="24" spans="1:15" s="1" customFormat="1">
      <c r="A24" s="105">
        <v>44335</v>
      </c>
      <c r="B24" s="65">
        <v>1</v>
      </c>
      <c r="C24" s="65">
        <v>566.09243697479337</v>
      </c>
      <c r="D24" s="65">
        <f t="shared" si="0"/>
        <v>7.8623949579832422</v>
      </c>
      <c r="E24" s="67">
        <v>2</v>
      </c>
      <c r="F24" s="87">
        <v>4.54</v>
      </c>
      <c r="G24" s="87">
        <v>1.85</v>
      </c>
    </row>
    <row r="25" spans="1:15" s="1" customFormat="1">
      <c r="A25" s="105">
        <v>44336</v>
      </c>
      <c r="B25" s="65">
        <v>3</v>
      </c>
      <c r="C25" s="65">
        <v>518.07983193277744</v>
      </c>
      <c r="D25" s="65">
        <f t="shared" si="0"/>
        <v>7.1955532212885753</v>
      </c>
      <c r="E25" s="67">
        <v>2</v>
      </c>
      <c r="F25" s="87">
        <v>2.1800000000000002</v>
      </c>
      <c r="G25" s="87">
        <v>2.9</v>
      </c>
    </row>
    <row r="26" spans="1:15" s="1" customFormat="1">
      <c r="A26" s="105">
        <v>44337</v>
      </c>
      <c r="B26" s="65">
        <v>0</v>
      </c>
      <c r="C26" s="65">
        <v>318.49579831933289</v>
      </c>
      <c r="D26" s="65">
        <f t="shared" si="0"/>
        <v>4.4235527544351791</v>
      </c>
      <c r="E26" s="67">
        <v>2</v>
      </c>
      <c r="F26" s="87">
        <v>4.22</v>
      </c>
      <c r="G26" s="87">
        <v>0.45</v>
      </c>
    </row>
    <row r="27" spans="1:15" s="1" customFormat="1">
      <c r="A27" s="105">
        <v>44338</v>
      </c>
      <c r="B27" s="65">
        <v>0</v>
      </c>
      <c r="C27" s="65">
        <v>203.91176470588834</v>
      </c>
      <c r="D27" s="65">
        <f t="shared" si="0"/>
        <v>2.8321078431373379</v>
      </c>
      <c r="E27" s="67">
        <v>2</v>
      </c>
      <c r="F27" s="87">
        <v>4.43</v>
      </c>
      <c r="G27" s="87">
        <v>1.53</v>
      </c>
    </row>
    <row r="28" spans="1:15" s="1" customFormat="1">
      <c r="A28" s="105">
        <v>44339</v>
      </c>
      <c r="B28" s="65">
        <v>0</v>
      </c>
      <c r="C28" s="65">
        <v>203.91176470588834</v>
      </c>
      <c r="D28" s="65">
        <f t="shared" si="0"/>
        <v>2.8321078431373379</v>
      </c>
      <c r="E28" s="67">
        <v>2</v>
      </c>
      <c r="F28" s="87">
        <v>2.95</v>
      </c>
      <c r="G28" s="87">
        <v>1.56</v>
      </c>
    </row>
    <row r="29" spans="1:15" s="1" customFormat="1">
      <c r="A29" s="105">
        <v>44340</v>
      </c>
      <c r="B29" s="65">
        <v>1</v>
      </c>
      <c r="C29" s="65">
        <v>203.91176470588834</v>
      </c>
      <c r="D29" s="65">
        <f t="shared" si="0"/>
        <v>2.8321078431373379</v>
      </c>
      <c r="E29" s="67">
        <v>2</v>
      </c>
      <c r="F29" s="87">
        <v>3.66</v>
      </c>
      <c r="G29" s="87">
        <v>2.9</v>
      </c>
    </row>
    <row r="30" spans="1:15" s="1" customFormat="1">
      <c r="A30" s="105">
        <v>44341</v>
      </c>
      <c r="B30" s="65">
        <v>1</v>
      </c>
      <c r="C30" s="65">
        <v>203.91176470588834</v>
      </c>
      <c r="D30" s="65">
        <f t="shared" si="0"/>
        <v>2.8321078431373379</v>
      </c>
      <c r="E30" s="67">
        <v>2</v>
      </c>
      <c r="F30" s="87">
        <v>4.88</v>
      </c>
      <c r="G30" s="87">
        <v>1.31</v>
      </c>
    </row>
    <row r="31" spans="1:15" s="1" customFormat="1">
      <c r="A31" s="105">
        <v>44342</v>
      </c>
      <c r="B31" s="65">
        <v>0</v>
      </c>
      <c r="C31" s="65">
        <v>203.91176470588834</v>
      </c>
      <c r="D31" s="65">
        <f t="shared" si="0"/>
        <v>2.8321078431373379</v>
      </c>
      <c r="E31" s="67">
        <v>2</v>
      </c>
      <c r="F31" s="87">
        <v>3.71</v>
      </c>
      <c r="G31" s="87">
        <v>3.57</v>
      </c>
    </row>
    <row r="32" spans="1:15" s="1" customFormat="1">
      <c r="A32" s="105">
        <v>44343</v>
      </c>
      <c r="B32" s="65">
        <v>36</v>
      </c>
      <c r="C32" s="65">
        <v>203.91176470588834</v>
      </c>
      <c r="D32" s="65">
        <f t="shared" si="0"/>
        <v>2.8321078431373379</v>
      </c>
      <c r="E32" s="67">
        <v>2</v>
      </c>
      <c r="F32" s="87">
        <v>5.25</v>
      </c>
      <c r="G32" s="87">
        <v>4.12</v>
      </c>
    </row>
    <row r="33" spans="1:12" s="1" customFormat="1">
      <c r="A33" s="105">
        <v>44344</v>
      </c>
      <c r="B33" s="65">
        <v>0</v>
      </c>
      <c r="C33" s="65">
        <v>203.91176470588834</v>
      </c>
      <c r="D33" s="65">
        <f t="shared" si="0"/>
        <v>2.8321078431373379</v>
      </c>
      <c r="E33" s="67">
        <v>2</v>
      </c>
      <c r="F33" s="87">
        <v>3.98</v>
      </c>
      <c r="G33" s="87">
        <v>0.94</v>
      </c>
    </row>
    <row r="34" spans="1:12" s="1" customFormat="1">
      <c r="A34" s="105">
        <v>44345</v>
      </c>
      <c r="B34" s="65">
        <v>0</v>
      </c>
      <c r="C34" s="65">
        <v>203.91176470588834</v>
      </c>
      <c r="D34" s="65">
        <f t="shared" si="0"/>
        <v>2.8321078431373379</v>
      </c>
      <c r="E34" s="67">
        <v>2</v>
      </c>
      <c r="F34" s="87">
        <v>3.45</v>
      </c>
      <c r="G34" s="87">
        <v>4.7699999999999996</v>
      </c>
    </row>
    <row r="35" spans="1:12" s="1" customFormat="1">
      <c r="A35" s="105">
        <v>44346</v>
      </c>
      <c r="B35" s="65">
        <v>51</v>
      </c>
      <c r="C35" s="65">
        <v>203.91176470588834</v>
      </c>
      <c r="D35" s="65">
        <f t="shared" si="0"/>
        <v>2.8321078431373379</v>
      </c>
      <c r="E35" s="67">
        <v>2</v>
      </c>
      <c r="F35" s="87">
        <v>3.05</v>
      </c>
      <c r="G35" s="87">
        <v>2.2000000000000002</v>
      </c>
    </row>
    <row r="36" spans="1:12" s="1" customFormat="1">
      <c r="A36" s="105">
        <v>44347</v>
      </c>
      <c r="B36" s="65">
        <v>0</v>
      </c>
      <c r="C36" s="65">
        <v>203.91176470588834</v>
      </c>
      <c r="D36" s="65">
        <f t="shared" si="0"/>
        <v>2.8321078431373379</v>
      </c>
      <c r="E36" s="67">
        <v>2</v>
      </c>
      <c r="F36" s="87">
        <v>4.5199999999999996</v>
      </c>
      <c r="G36" s="87">
        <v>3.64</v>
      </c>
    </row>
    <row r="37" spans="1:12" s="1" customFormat="1">
      <c r="A37" s="105">
        <v>44348</v>
      </c>
      <c r="B37" s="65">
        <v>0</v>
      </c>
      <c r="C37" s="65">
        <v>203.91176470588834</v>
      </c>
      <c r="D37" s="65">
        <f t="shared" si="0"/>
        <v>2.8321078431373379</v>
      </c>
      <c r="E37" s="67">
        <v>2</v>
      </c>
      <c r="F37" s="87">
        <v>1.77</v>
      </c>
      <c r="G37" s="87">
        <v>3.18</v>
      </c>
    </row>
    <row r="38" spans="1:12" s="1" customFormat="1">
      <c r="A38" s="105">
        <v>44349</v>
      </c>
      <c r="B38" s="65">
        <v>33</v>
      </c>
      <c r="C38" s="65">
        <v>203.91176470588834</v>
      </c>
      <c r="D38" s="65">
        <f t="shared" si="0"/>
        <v>2.8321078431373379</v>
      </c>
      <c r="E38" s="67">
        <v>2</v>
      </c>
      <c r="F38" s="87">
        <v>3.87</v>
      </c>
      <c r="G38" s="87">
        <v>4.5</v>
      </c>
    </row>
    <row r="39" spans="1:12" s="1" customFormat="1">
      <c r="A39" s="105">
        <v>44350</v>
      </c>
      <c r="B39" s="65">
        <v>0</v>
      </c>
      <c r="C39" s="65">
        <v>203.91176470588834</v>
      </c>
      <c r="D39" s="65">
        <f t="shared" si="0"/>
        <v>2.8321078431373379</v>
      </c>
      <c r="E39" s="67">
        <v>2</v>
      </c>
      <c r="F39" s="87">
        <v>6.34</v>
      </c>
      <c r="G39" s="87">
        <v>3.92</v>
      </c>
    </row>
    <row r="40" spans="1:12" s="1" customFormat="1">
      <c r="A40" s="105">
        <v>44351</v>
      </c>
      <c r="B40" s="65">
        <v>36</v>
      </c>
      <c r="C40" s="65">
        <v>203.91176470588834</v>
      </c>
      <c r="D40" s="65">
        <f t="shared" si="0"/>
        <v>2.8321078431373379</v>
      </c>
      <c r="E40" s="67">
        <v>2</v>
      </c>
      <c r="F40" s="87">
        <v>5.53</v>
      </c>
      <c r="G40" s="87">
        <v>2.92</v>
      </c>
    </row>
    <row r="41" spans="1:12" s="1" customFormat="1">
      <c r="A41" s="105">
        <v>44352</v>
      </c>
      <c r="B41" s="65">
        <v>31</v>
      </c>
      <c r="C41" s="65">
        <v>203.91176470588834</v>
      </c>
      <c r="D41" s="65">
        <f t="shared" si="0"/>
        <v>2.8321078431373379</v>
      </c>
      <c r="E41" s="67">
        <v>2</v>
      </c>
      <c r="F41" s="87">
        <v>1.89</v>
      </c>
      <c r="G41" s="87">
        <v>3.67</v>
      </c>
    </row>
    <row r="42" spans="1:12" s="1" customFormat="1">
      <c r="A42" s="105">
        <v>44353</v>
      </c>
      <c r="B42" s="65">
        <v>33</v>
      </c>
      <c r="C42" s="65">
        <v>203.91176470588834</v>
      </c>
      <c r="D42" s="65">
        <f t="shared" si="0"/>
        <v>2.8321078431373379</v>
      </c>
      <c r="E42" s="67">
        <v>2</v>
      </c>
      <c r="F42" s="87">
        <v>4.7</v>
      </c>
      <c r="G42" s="87">
        <v>5.61</v>
      </c>
    </row>
    <row r="43" spans="1:12" s="1" customFormat="1">
      <c r="A43" s="105">
        <v>44354</v>
      </c>
      <c r="B43" s="65">
        <v>69</v>
      </c>
      <c r="C43" s="65">
        <v>203.91176470588834</v>
      </c>
      <c r="D43" s="65">
        <f t="shared" si="0"/>
        <v>2.8321078431373379</v>
      </c>
      <c r="E43" s="67">
        <v>2</v>
      </c>
      <c r="F43" s="87">
        <v>3.73</v>
      </c>
      <c r="G43" s="87">
        <v>3.83</v>
      </c>
    </row>
    <row r="44" spans="1:12" s="1" customFormat="1">
      <c r="A44" s="105">
        <v>44355</v>
      </c>
      <c r="B44" s="65">
        <v>39</v>
      </c>
      <c r="C44" s="65">
        <v>203.91176470588834</v>
      </c>
      <c r="D44" s="65">
        <f t="shared" si="0"/>
        <v>2.8321078431373379</v>
      </c>
      <c r="E44" s="67">
        <v>2</v>
      </c>
      <c r="F44" s="87">
        <v>5.77</v>
      </c>
      <c r="G44" s="87">
        <v>4.08</v>
      </c>
    </row>
    <row r="45" spans="1:12" s="1" customFormat="1">
      <c r="A45" s="105">
        <v>44356</v>
      </c>
      <c r="B45" s="65">
        <v>66</v>
      </c>
      <c r="C45" s="65">
        <v>203.91176470588834</v>
      </c>
      <c r="D45" s="65">
        <f t="shared" si="0"/>
        <v>2.8321078431373379</v>
      </c>
      <c r="E45" s="67">
        <v>2</v>
      </c>
      <c r="F45" s="87">
        <v>2.77</v>
      </c>
      <c r="G45" s="87">
        <v>3.12</v>
      </c>
    </row>
    <row r="46" spans="1:12" s="1" customFormat="1">
      <c r="A46" s="105">
        <v>44357</v>
      </c>
      <c r="B46" s="65">
        <v>45</v>
      </c>
      <c r="C46" s="65">
        <v>203.91176470588834</v>
      </c>
      <c r="D46" s="65">
        <f t="shared" si="0"/>
        <v>2.8321078431373379</v>
      </c>
      <c r="E46" s="67">
        <v>2</v>
      </c>
      <c r="F46" s="87">
        <v>3.85</v>
      </c>
      <c r="G46" s="87">
        <v>0.68</v>
      </c>
      <c r="L46" s="32"/>
    </row>
    <row r="47" spans="1:12" s="1" customFormat="1">
      <c r="A47" s="105">
        <v>44358</v>
      </c>
      <c r="B47" s="65">
        <v>58</v>
      </c>
      <c r="C47" s="65">
        <v>203.91176470588834</v>
      </c>
      <c r="D47" s="65">
        <f t="shared" si="0"/>
        <v>2.8321078431373379</v>
      </c>
      <c r="E47" s="67">
        <v>2</v>
      </c>
      <c r="F47" s="87">
        <v>3.6</v>
      </c>
      <c r="G47" s="87">
        <v>4.5</v>
      </c>
      <c r="L47" s="32"/>
    </row>
    <row r="48" spans="1:12" s="1" customFormat="1">
      <c r="A48" s="105">
        <v>44359</v>
      </c>
      <c r="B48" s="65">
        <v>84</v>
      </c>
      <c r="C48" s="65">
        <v>203.91176470588834</v>
      </c>
      <c r="D48" s="65">
        <f t="shared" si="0"/>
        <v>2.8321078431373379</v>
      </c>
      <c r="E48" s="67">
        <v>2</v>
      </c>
      <c r="F48" s="87">
        <v>6.05</v>
      </c>
      <c r="G48" s="87">
        <v>2.95</v>
      </c>
      <c r="L48" s="32"/>
    </row>
    <row r="49" spans="1:12" s="1" customFormat="1">
      <c r="A49" s="105">
        <v>44360</v>
      </c>
      <c r="B49" s="65">
        <v>95</v>
      </c>
      <c r="C49" s="65">
        <v>203.91176470588834</v>
      </c>
      <c r="D49" s="65">
        <f t="shared" si="0"/>
        <v>2.8321078431373379</v>
      </c>
      <c r="E49" s="67">
        <v>2</v>
      </c>
      <c r="F49" s="87">
        <v>6.22</v>
      </c>
      <c r="G49" s="87">
        <v>3.46</v>
      </c>
      <c r="L49" s="32"/>
    </row>
    <row r="50" spans="1:12" s="1" customFormat="1">
      <c r="A50" s="105">
        <v>44361</v>
      </c>
      <c r="B50" s="65">
        <v>86</v>
      </c>
      <c r="C50" s="65">
        <v>203.91176470588834</v>
      </c>
      <c r="D50" s="65">
        <f t="shared" si="0"/>
        <v>2.8321078431373379</v>
      </c>
      <c r="E50" s="67">
        <v>2</v>
      </c>
      <c r="F50" s="87">
        <v>6.17</v>
      </c>
      <c r="G50" s="87">
        <v>4.7699999999999996</v>
      </c>
      <c r="L50" s="32"/>
    </row>
    <row r="51" spans="1:12" s="1" customFormat="1">
      <c r="A51" s="105">
        <v>44362</v>
      </c>
      <c r="B51" s="65">
        <v>90</v>
      </c>
      <c r="C51" s="65">
        <v>203.91176470588834</v>
      </c>
      <c r="D51" s="65">
        <f t="shared" si="0"/>
        <v>2.8321078431373379</v>
      </c>
      <c r="E51" s="67">
        <v>2</v>
      </c>
      <c r="F51" s="87">
        <v>3.05</v>
      </c>
      <c r="G51" s="87">
        <v>3.52</v>
      </c>
      <c r="L51" s="32"/>
    </row>
    <row r="52" spans="1:12" s="1" customFormat="1">
      <c r="A52" s="105">
        <v>44363</v>
      </c>
      <c r="B52" s="65">
        <v>100</v>
      </c>
      <c r="C52" s="65">
        <v>203.91176470588834</v>
      </c>
      <c r="D52" s="65">
        <f t="shared" si="0"/>
        <v>2.8321078431373379</v>
      </c>
      <c r="E52" s="67">
        <v>2</v>
      </c>
      <c r="F52" s="87">
        <v>3.09</v>
      </c>
      <c r="G52" s="87">
        <v>2.5</v>
      </c>
      <c r="L52" s="32"/>
    </row>
    <row r="53" spans="1:12" s="1" customFormat="1">
      <c r="A53" s="105">
        <v>44364</v>
      </c>
      <c r="B53" s="65">
        <v>137</v>
      </c>
      <c r="C53" s="65">
        <v>203.91176470588834</v>
      </c>
      <c r="D53" s="65">
        <f t="shared" si="0"/>
        <v>2.8321078431373379</v>
      </c>
      <c r="E53" s="67">
        <v>2</v>
      </c>
      <c r="F53" s="87" t="s">
        <v>103</v>
      </c>
      <c r="G53" s="87">
        <v>3.71</v>
      </c>
      <c r="L53" s="32"/>
    </row>
    <row r="54" spans="1:12" s="1" customFormat="1">
      <c r="A54" s="105">
        <v>44365</v>
      </c>
      <c r="B54" s="65">
        <v>149</v>
      </c>
      <c r="C54" s="65">
        <v>203.91176470585924</v>
      </c>
      <c r="D54" s="65">
        <f t="shared" si="0"/>
        <v>2.8321078431369338</v>
      </c>
      <c r="E54" s="67">
        <v>2</v>
      </c>
      <c r="F54" s="87">
        <v>2.34</v>
      </c>
      <c r="G54" s="87">
        <v>0.69</v>
      </c>
    </row>
    <row r="55" spans="1:12" s="1" customFormat="1">
      <c r="A55" s="105">
        <v>44366</v>
      </c>
      <c r="B55" s="65">
        <v>135</v>
      </c>
      <c r="C55" s="65">
        <v>3263.6862745097792</v>
      </c>
      <c r="D55" s="65">
        <f t="shared" si="0"/>
        <v>45.328976034858044</v>
      </c>
      <c r="E55" s="67">
        <v>3</v>
      </c>
      <c r="F55" s="87">
        <v>8.59</v>
      </c>
      <c r="G55" s="87">
        <v>0.54</v>
      </c>
    </row>
    <row r="56" spans="1:12" s="1" customFormat="1">
      <c r="A56" s="105">
        <v>44367</v>
      </c>
      <c r="B56" s="65">
        <v>137</v>
      </c>
      <c r="C56" s="65">
        <v>6323.4607843136992</v>
      </c>
      <c r="D56" s="65">
        <f t="shared" si="0"/>
        <v>87.82584422657915</v>
      </c>
      <c r="E56" s="67">
        <v>3</v>
      </c>
      <c r="F56" s="87">
        <v>7.79</v>
      </c>
      <c r="G56" s="87">
        <v>2.79</v>
      </c>
    </row>
    <row r="57" spans="1:12" s="1" customFormat="1">
      <c r="A57" s="105">
        <v>44368</v>
      </c>
      <c r="B57" s="65">
        <v>166</v>
      </c>
      <c r="C57" s="65">
        <v>9383.2352941176214</v>
      </c>
      <c r="D57" s="65">
        <f t="shared" si="0"/>
        <v>130.32271241830028</v>
      </c>
      <c r="E57" s="67">
        <v>3</v>
      </c>
      <c r="F57" s="87">
        <v>3.58</v>
      </c>
      <c r="G57" s="87">
        <v>1.84</v>
      </c>
    </row>
    <row r="58" spans="1:12" s="1" customFormat="1">
      <c r="A58" s="105">
        <v>44369</v>
      </c>
      <c r="B58" s="65">
        <v>136</v>
      </c>
      <c r="C58" s="65">
        <v>9354.1050420167794</v>
      </c>
      <c r="D58" s="65">
        <f t="shared" si="0"/>
        <v>129.91812558356639</v>
      </c>
      <c r="E58" s="67">
        <v>3</v>
      </c>
      <c r="F58" s="87">
        <v>2.5</v>
      </c>
      <c r="G58" s="87">
        <v>2.84</v>
      </c>
    </row>
    <row r="59" spans="1:12" s="1" customFormat="1">
      <c r="A59" s="105">
        <v>44370</v>
      </c>
      <c r="B59" s="65">
        <v>152</v>
      </c>
      <c r="C59" s="65">
        <v>26753.546218487369</v>
      </c>
      <c r="D59" s="65">
        <f t="shared" si="0"/>
        <v>371.57703081232461</v>
      </c>
      <c r="E59" s="67">
        <v>3</v>
      </c>
      <c r="F59" s="87">
        <v>4.38</v>
      </c>
      <c r="G59" s="87">
        <v>2.65</v>
      </c>
    </row>
    <row r="60" spans="1:12" s="1" customFormat="1">
      <c r="A60" s="105">
        <v>44371</v>
      </c>
      <c r="B60" s="65">
        <v>207</v>
      </c>
      <c r="C60" s="65">
        <v>51428.701680672239</v>
      </c>
      <c r="D60" s="65">
        <f t="shared" si="0"/>
        <v>714.28752334266994</v>
      </c>
      <c r="E60" s="67">
        <v>3</v>
      </c>
      <c r="F60" s="87">
        <v>5.47</v>
      </c>
      <c r="G60" s="87">
        <v>2.9</v>
      </c>
    </row>
    <row r="61" spans="1:12" s="1" customFormat="1">
      <c r="A61" s="105">
        <v>44372</v>
      </c>
      <c r="B61" s="65">
        <v>165</v>
      </c>
      <c r="C61" s="65">
        <v>73261.928571428565</v>
      </c>
      <c r="D61" s="65">
        <f t="shared" si="0"/>
        <v>1017.5267857142857</v>
      </c>
      <c r="E61" s="67">
        <v>3</v>
      </c>
      <c r="F61" s="87">
        <v>5.93</v>
      </c>
      <c r="G61" s="87">
        <v>3.18</v>
      </c>
    </row>
    <row r="62" spans="1:12" s="1" customFormat="1">
      <c r="A62" s="105">
        <v>44373</v>
      </c>
      <c r="B62" s="65">
        <v>621</v>
      </c>
      <c r="C62" s="65">
        <v>92035.380952380961</v>
      </c>
      <c r="D62" s="65">
        <f t="shared" si="0"/>
        <v>1278.2691798941801</v>
      </c>
      <c r="E62" s="67">
        <v>3</v>
      </c>
      <c r="F62" s="87">
        <v>5.32</v>
      </c>
      <c r="G62" s="87">
        <v>3.21</v>
      </c>
    </row>
    <row r="63" spans="1:12" s="1" customFormat="1">
      <c r="A63" s="105">
        <v>44374</v>
      </c>
      <c r="B63" s="65">
        <v>230</v>
      </c>
      <c r="C63" s="65">
        <v>88946.476190476198</v>
      </c>
      <c r="D63" s="65">
        <f t="shared" si="0"/>
        <v>1235.367724867725</v>
      </c>
      <c r="E63" s="67">
        <v>3</v>
      </c>
      <c r="F63" s="87">
        <v>2.94</v>
      </c>
      <c r="G63" s="87">
        <v>1.44</v>
      </c>
    </row>
    <row r="64" spans="1:12" s="1" customFormat="1">
      <c r="A64" s="105">
        <v>44375</v>
      </c>
      <c r="B64" s="65">
        <v>218</v>
      </c>
      <c r="C64" s="65">
        <v>95002.5</v>
      </c>
      <c r="D64" s="65">
        <f t="shared" si="0"/>
        <v>1319.4791666666667</v>
      </c>
      <c r="E64" s="67">
        <v>3</v>
      </c>
      <c r="F64" s="87">
        <v>7.62</v>
      </c>
      <c r="G64" s="87">
        <v>2.9</v>
      </c>
    </row>
    <row r="65" spans="1:7" s="1" customFormat="1">
      <c r="A65" s="105">
        <v>44376</v>
      </c>
      <c r="B65" s="65">
        <v>155</v>
      </c>
      <c r="C65" s="65">
        <v>104147.42857142857</v>
      </c>
      <c r="D65" s="65">
        <f t="shared" si="0"/>
        <v>1446.4920634920634</v>
      </c>
      <c r="E65" s="67">
        <v>3</v>
      </c>
      <c r="F65" s="87">
        <v>3.33</v>
      </c>
      <c r="G65" s="87">
        <v>2.65</v>
      </c>
    </row>
    <row r="66" spans="1:7" s="1" customFormat="1">
      <c r="A66" s="105">
        <v>44377</v>
      </c>
      <c r="B66" s="65">
        <v>249</v>
      </c>
      <c r="C66" s="65">
        <v>86718.857142857145</v>
      </c>
      <c r="D66" s="65">
        <f t="shared" si="0"/>
        <v>1204.4285714285713</v>
      </c>
      <c r="E66" s="67">
        <v>3</v>
      </c>
      <c r="F66" s="87">
        <v>6.88</v>
      </c>
      <c r="G66" s="87">
        <v>1.03</v>
      </c>
    </row>
    <row r="67" spans="1:7" s="1" customFormat="1">
      <c r="A67" s="105">
        <v>44378</v>
      </c>
      <c r="B67" s="65">
        <v>464</v>
      </c>
      <c r="C67" s="65">
        <v>62020.010989010982</v>
      </c>
      <c r="D67" s="65">
        <f t="shared" ref="D67:D130" si="5">C67/7200000*100000</f>
        <v>861.38904151404142</v>
      </c>
      <c r="E67" s="67">
        <v>3</v>
      </c>
      <c r="F67" s="87">
        <v>3.91</v>
      </c>
      <c r="G67" s="87">
        <v>4.3099999999999996</v>
      </c>
    </row>
    <row r="68" spans="1:7" s="1" customFormat="1">
      <c r="A68" s="105">
        <v>44379</v>
      </c>
      <c r="B68" s="65">
        <v>419</v>
      </c>
      <c r="C68" s="65">
        <v>40163.093406593391</v>
      </c>
      <c r="D68" s="65">
        <f t="shared" si="5"/>
        <v>557.82074175824152</v>
      </c>
      <c r="E68" s="67">
        <v>3</v>
      </c>
      <c r="F68" s="87">
        <v>3.26</v>
      </c>
      <c r="G68" s="87">
        <v>4.13</v>
      </c>
    </row>
    <row r="69" spans="1:7" s="1" customFormat="1">
      <c r="A69" s="105">
        <v>44380</v>
      </c>
      <c r="B69" s="65">
        <v>714</v>
      </c>
      <c r="C69" s="65">
        <v>18306.175824175803</v>
      </c>
      <c r="D69" s="65">
        <f t="shared" si="5"/>
        <v>254.25244200244171</v>
      </c>
      <c r="E69" s="67">
        <v>3</v>
      </c>
      <c r="F69" s="87">
        <v>4.2699999999999996</v>
      </c>
      <c r="G69" s="87">
        <v>4.3499999999999996</v>
      </c>
    </row>
    <row r="70" spans="1:7" s="1" customFormat="1">
      <c r="A70" s="105">
        <v>44381</v>
      </c>
      <c r="B70" s="65">
        <v>599</v>
      </c>
      <c r="C70" s="65">
        <v>18311.615384615357</v>
      </c>
      <c r="D70" s="65">
        <f t="shared" si="5"/>
        <v>254.32799145299109</v>
      </c>
      <c r="E70" s="67">
        <v>3</v>
      </c>
      <c r="F70" s="87">
        <v>4.12</v>
      </c>
      <c r="G70" s="87">
        <v>1.1000000000000001</v>
      </c>
    </row>
    <row r="71" spans="1:7" s="1" customFormat="1">
      <c r="A71" s="105">
        <v>44382</v>
      </c>
      <c r="B71" s="65">
        <v>641</v>
      </c>
      <c r="C71" s="65">
        <v>9172.1263736263409</v>
      </c>
      <c r="D71" s="65">
        <f t="shared" si="5"/>
        <v>127.39064407814364</v>
      </c>
      <c r="E71" s="67">
        <v>3</v>
      </c>
      <c r="F71" s="87">
        <v>5.5</v>
      </c>
      <c r="G71" s="87">
        <v>3.78</v>
      </c>
    </row>
    <row r="72" spans="1:7" s="1" customFormat="1">
      <c r="A72" s="105">
        <v>44383</v>
      </c>
      <c r="B72" s="65">
        <v>710</v>
      </c>
      <c r="C72" s="65">
        <v>32.637362637324259</v>
      </c>
      <c r="D72" s="65">
        <f t="shared" si="5"/>
        <v>0.45329670329617028</v>
      </c>
      <c r="E72" s="67">
        <v>3</v>
      </c>
      <c r="F72" s="87">
        <v>5.85</v>
      </c>
      <c r="G72" s="87">
        <v>2.42</v>
      </c>
    </row>
    <row r="73" spans="1:7" s="1" customFormat="1">
      <c r="A73" s="105">
        <v>44384</v>
      </c>
      <c r="B73" s="65">
        <v>766</v>
      </c>
      <c r="C73" s="65">
        <v>38.076923076878302</v>
      </c>
      <c r="D73" s="65">
        <f t="shared" si="5"/>
        <v>0.52884615384553191</v>
      </c>
      <c r="E73" s="67">
        <v>3</v>
      </c>
      <c r="F73" s="87">
        <v>4.1500000000000004</v>
      </c>
      <c r="G73" s="87">
        <v>4.9000000000000004</v>
      </c>
    </row>
    <row r="74" spans="1:7" s="1" customFormat="1">
      <c r="A74" s="105">
        <v>44385</v>
      </c>
      <c r="B74" s="65">
        <v>915</v>
      </c>
      <c r="C74" s="65">
        <v>38.076923076878302</v>
      </c>
      <c r="D74" s="65">
        <f t="shared" si="5"/>
        <v>0.52884615384553191</v>
      </c>
      <c r="E74" s="67">
        <v>3</v>
      </c>
      <c r="F74" s="87">
        <v>4.25</v>
      </c>
      <c r="G74" s="87">
        <v>1.26</v>
      </c>
    </row>
    <row r="75" spans="1:7" s="1" customFormat="1">
      <c r="A75" s="105">
        <v>44386</v>
      </c>
      <c r="B75" s="65">
        <v>1229</v>
      </c>
      <c r="C75" s="65">
        <v>38.076923076878302</v>
      </c>
      <c r="D75" s="65">
        <f t="shared" si="5"/>
        <v>0.52884615384553191</v>
      </c>
      <c r="E75" s="67">
        <v>3.5</v>
      </c>
      <c r="F75" s="87">
        <v>5.68</v>
      </c>
      <c r="G75" s="87">
        <v>2.71</v>
      </c>
    </row>
    <row r="76" spans="1:7" s="1" customFormat="1">
      <c r="A76" s="105">
        <v>44387</v>
      </c>
      <c r="B76" s="65">
        <v>1320</v>
      </c>
      <c r="C76" s="65">
        <v>38.076923076878302</v>
      </c>
      <c r="D76" s="65">
        <f t="shared" si="5"/>
        <v>0.52884615384553191</v>
      </c>
      <c r="E76" s="67">
        <v>3.5</v>
      </c>
      <c r="F76" s="87">
        <v>3.25</v>
      </c>
      <c r="G76" s="87">
        <v>1.61</v>
      </c>
    </row>
    <row r="77" spans="1:7" s="1" customFormat="1">
      <c r="A77" s="105">
        <v>44388</v>
      </c>
      <c r="B77" s="65">
        <v>1397</v>
      </c>
      <c r="C77" s="65">
        <v>38.076923076878302</v>
      </c>
      <c r="D77" s="65">
        <f t="shared" si="5"/>
        <v>0.52884615384553191</v>
      </c>
      <c r="E77" s="67">
        <v>3.5</v>
      </c>
      <c r="F77" s="87">
        <v>5.51</v>
      </c>
      <c r="G77" s="87">
        <v>3.56</v>
      </c>
    </row>
    <row r="78" spans="1:7" s="1" customFormat="1">
      <c r="A78" s="105">
        <v>44389</v>
      </c>
      <c r="B78" s="65">
        <v>1764</v>
      </c>
      <c r="C78" s="65">
        <v>38.076923076878302</v>
      </c>
      <c r="D78" s="65">
        <f t="shared" si="5"/>
        <v>0.52884615384553191</v>
      </c>
      <c r="E78" s="67">
        <v>3.5</v>
      </c>
      <c r="F78" s="87">
        <v>4.54</v>
      </c>
      <c r="G78" s="87">
        <v>2.9</v>
      </c>
    </row>
    <row r="79" spans="1:7" s="1" customFormat="1">
      <c r="A79" s="105">
        <v>44390</v>
      </c>
      <c r="B79" s="65">
        <v>1802</v>
      </c>
      <c r="C79" s="65">
        <v>38.076923076878302</v>
      </c>
      <c r="D79" s="65">
        <f t="shared" si="5"/>
        <v>0.52884615384553191</v>
      </c>
      <c r="E79" s="67">
        <v>3.5</v>
      </c>
      <c r="F79" s="87">
        <v>3.68</v>
      </c>
      <c r="G79" s="87">
        <v>3.16</v>
      </c>
    </row>
    <row r="80" spans="1:7" s="1" customFormat="1">
      <c r="A80" s="105">
        <v>44391</v>
      </c>
      <c r="B80" s="65">
        <v>2229</v>
      </c>
      <c r="C80" s="65">
        <v>32.637362637324202</v>
      </c>
      <c r="D80" s="65">
        <f t="shared" si="5"/>
        <v>0.45329670329616945</v>
      </c>
      <c r="E80" s="67">
        <v>3.5</v>
      </c>
      <c r="F80" s="87">
        <v>1.71</v>
      </c>
      <c r="G80" s="87">
        <v>3.08</v>
      </c>
    </row>
    <row r="81" spans="1:11" s="1" customFormat="1">
      <c r="A81" s="105">
        <v>44392</v>
      </c>
      <c r="B81" s="65">
        <v>2691</v>
      </c>
      <c r="C81" s="65">
        <v>115.76923076919878</v>
      </c>
      <c r="D81" s="65">
        <f t="shared" si="5"/>
        <v>1.6079059829055387</v>
      </c>
      <c r="E81" s="67">
        <v>3.5</v>
      </c>
      <c r="F81" s="87">
        <v>6.53</v>
      </c>
      <c r="G81" s="87">
        <v>4.3099999999999996</v>
      </c>
    </row>
    <row r="82" spans="1:11" s="1" customFormat="1">
      <c r="A82" s="105">
        <v>44393</v>
      </c>
      <c r="B82" s="65">
        <v>2436</v>
      </c>
      <c r="C82" s="65">
        <v>198.90109890107331</v>
      </c>
      <c r="D82" s="65">
        <f t="shared" si="5"/>
        <v>2.7625152625149072</v>
      </c>
      <c r="E82" s="67">
        <v>3.5</v>
      </c>
      <c r="F82" s="87">
        <v>4.8600000000000003</v>
      </c>
      <c r="G82" s="87">
        <v>2.5099999999999998</v>
      </c>
    </row>
    <row r="83" spans="1:11" s="1" customFormat="1">
      <c r="A83" s="105">
        <v>44394</v>
      </c>
      <c r="B83" s="65">
        <v>3420</v>
      </c>
      <c r="C83" s="65">
        <v>282.03296703294785</v>
      </c>
      <c r="D83" s="65">
        <f t="shared" si="5"/>
        <v>3.917124542124276</v>
      </c>
      <c r="E83" s="67">
        <v>3.5</v>
      </c>
      <c r="F83" s="87">
        <v>5.31</v>
      </c>
      <c r="G83" s="87">
        <v>3.03</v>
      </c>
    </row>
    <row r="84" spans="1:11" s="1" customFormat="1">
      <c r="A84" s="105">
        <v>44395</v>
      </c>
      <c r="B84" s="65">
        <v>4083</v>
      </c>
      <c r="C84" s="65">
        <v>365.16483516482236</v>
      </c>
      <c r="D84" s="65">
        <f t="shared" si="5"/>
        <v>5.0717338217336438</v>
      </c>
      <c r="E84" s="67">
        <v>3.5</v>
      </c>
      <c r="F84" s="87">
        <v>4.3499999999999996</v>
      </c>
      <c r="G84" s="87">
        <v>2.41</v>
      </c>
    </row>
    <row r="85" spans="1:11" s="1" customFormat="1">
      <c r="A85" s="105">
        <v>44396</v>
      </c>
      <c r="B85" s="65">
        <v>3074</v>
      </c>
      <c r="C85" s="65">
        <v>448.29670329669688</v>
      </c>
      <c r="D85" s="65">
        <f t="shared" si="5"/>
        <v>6.2263431013430113</v>
      </c>
      <c r="E85" s="67">
        <v>3.5</v>
      </c>
      <c r="F85" s="87">
        <v>5.62</v>
      </c>
      <c r="G85" s="87">
        <v>3.79</v>
      </c>
    </row>
    <row r="86" spans="1:11" s="1" customFormat="1">
      <c r="A86" s="105">
        <v>44397</v>
      </c>
      <c r="B86" s="65">
        <v>3322</v>
      </c>
      <c r="C86" s="65">
        <v>323.59890109888511</v>
      </c>
      <c r="D86" s="65">
        <f t="shared" si="5"/>
        <v>4.4944291819289601</v>
      </c>
      <c r="E86" s="67">
        <v>3.5</v>
      </c>
      <c r="F86" s="87">
        <v>5.09</v>
      </c>
      <c r="G86" s="87">
        <v>1.77</v>
      </c>
    </row>
    <row r="87" spans="1:11" s="1" customFormat="1">
      <c r="A87" s="105">
        <v>44398</v>
      </c>
      <c r="B87" s="65">
        <v>3558</v>
      </c>
      <c r="C87" s="65">
        <v>354.77335164833806</v>
      </c>
      <c r="D87" s="65">
        <f t="shared" si="5"/>
        <v>4.9274076617824729</v>
      </c>
      <c r="E87" s="67">
        <v>3.5</v>
      </c>
      <c r="F87" s="87">
        <v>3.39</v>
      </c>
      <c r="G87" s="87">
        <v>4.5999999999999996</v>
      </c>
    </row>
    <row r="88" spans="1:11" s="1" customFormat="1">
      <c r="A88" s="105">
        <v>44399</v>
      </c>
      <c r="B88" s="65">
        <v>4473</v>
      </c>
      <c r="C88" s="65">
        <v>3100</v>
      </c>
      <c r="D88" s="65">
        <f t="shared" si="5"/>
        <v>43.055555555555557</v>
      </c>
      <c r="E88" s="67">
        <v>3.5</v>
      </c>
      <c r="F88" s="87">
        <v>4.47</v>
      </c>
      <c r="G88" s="87">
        <v>4.49</v>
      </c>
    </row>
    <row r="89" spans="1:11" s="4" customFormat="1">
      <c r="A89" s="105">
        <v>44400</v>
      </c>
      <c r="B89" s="65">
        <v>4913</v>
      </c>
      <c r="C89" s="65">
        <v>3029</v>
      </c>
      <c r="D89" s="65">
        <f t="shared" si="5"/>
        <v>42.069444444444443</v>
      </c>
      <c r="E89" s="67">
        <v>3.5</v>
      </c>
      <c r="F89" s="87">
        <v>1.31</v>
      </c>
      <c r="G89" s="87">
        <v>3.18</v>
      </c>
      <c r="H89" s="1"/>
      <c r="I89" s="5"/>
      <c r="J89" s="5"/>
      <c r="K89" s="5"/>
    </row>
    <row r="90" spans="1:11" s="1" customFormat="1">
      <c r="A90" s="105">
        <v>44401</v>
      </c>
      <c r="B90" s="65">
        <v>5546</v>
      </c>
      <c r="C90" s="65">
        <v>16548</v>
      </c>
      <c r="D90" s="65">
        <f t="shared" si="5"/>
        <v>229.83333333333331</v>
      </c>
      <c r="E90" s="67">
        <v>3.5</v>
      </c>
      <c r="F90" s="87">
        <v>0.22</v>
      </c>
      <c r="G90" s="87">
        <v>4.4400000000000004</v>
      </c>
    </row>
    <row r="91" spans="1:11" s="1" customFormat="1">
      <c r="A91" s="105">
        <v>44402</v>
      </c>
      <c r="B91" s="65">
        <v>4555</v>
      </c>
      <c r="C91" s="65">
        <v>36094</v>
      </c>
      <c r="D91" s="65">
        <f t="shared" si="5"/>
        <v>501.30555555555554</v>
      </c>
      <c r="E91" s="67">
        <v>3.5</v>
      </c>
      <c r="F91" s="87">
        <v>5.78</v>
      </c>
      <c r="G91" s="87">
        <v>1.28</v>
      </c>
    </row>
    <row r="92" spans="1:11" s="1" customFormat="1">
      <c r="A92" s="105">
        <v>44403</v>
      </c>
      <c r="B92" s="65">
        <v>6097</v>
      </c>
      <c r="C92" s="65">
        <v>47676</v>
      </c>
      <c r="D92" s="65">
        <f t="shared" si="5"/>
        <v>662.16666666666663</v>
      </c>
      <c r="E92" s="67">
        <v>3.5</v>
      </c>
      <c r="F92" s="87">
        <v>2.4300000000000002</v>
      </c>
      <c r="G92" s="87">
        <v>3.2</v>
      </c>
    </row>
    <row r="93" spans="1:11" s="1" customFormat="1">
      <c r="A93" s="105">
        <v>44404</v>
      </c>
      <c r="B93" s="65">
        <v>6622</v>
      </c>
      <c r="C93" s="65">
        <v>39624</v>
      </c>
      <c r="D93" s="65">
        <f t="shared" si="5"/>
        <v>550.33333333333337</v>
      </c>
      <c r="E93" s="67">
        <v>3.5</v>
      </c>
      <c r="F93" s="87">
        <v>1.89</v>
      </c>
      <c r="G93" s="87">
        <v>4.34</v>
      </c>
    </row>
    <row r="94" spans="1:11" s="1" customFormat="1">
      <c r="A94" s="105">
        <v>44405</v>
      </c>
      <c r="B94" s="65">
        <v>4045</v>
      </c>
      <c r="C94" s="65">
        <v>69211</v>
      </c>
      <c r="D94" s="65">
        <f t="shared" si="5"/>
        <v>961.26388888888891</v>
      </c>
      <c r="E94" s="67">
        <v>3.5</v>
      </c>
      <c r="F94" s="87">
        <v>3.59</v>
      </c>
      <c r="G94" s="87">
        <v>4.58</v>
      </c>
    </row>
    <row r="95" spans="1:11" s="1" customFormat="1">
      <c r="A95" s="105">
        <v>44406</v>
      </c>
      <c r="B95" s="65">
        <v>2877</v>
      </c>
      <c r="C95" s="65">
        <v>72646</v>
      </c>
      <c r="D95" s="65">
        <f t="shared" si="5"/>
        <v>1008.9722222222222</v>
      </c>
      <c r="E95" s="67">
        <v>3.5</v>
      </c>
      <c r="F95" s="87">
        <v>6.9</v>
      </c>
      <c r="G95" s="87">
        <v>3.47</v>
      </c>
    </row>
    <row r="96" spans="1:11" s="1" customFormat="1">
      <c r="A96" s="105">
        <v>44407</v>
      </c>
      <c r="B96" s="65">
        <v>1541</v>
      </c>
      <c r="C96" s="65">
        <v>78122</v>
      </c>
      <c r="D96" s="65">
        <f t="shared" si="5"/>
        <v>1085.0277777777778</v>
      </c>
      <c r="E96" s="67">
        <v>3.5</v>
      </c>
      <c r="F96" s="87">
        <v>3.85</v>
      </c>
      <c r="G96" s="87">
        <v>5.64</v>
      </c>
    </row>
    <row r="97" spans="1:7" s="1" customFormat="1">
      <c r="A97" s="105">
        <v>44408</v>
      </c>
      <c r="B97" s="65">
        <v>4180</v>
      </c>
      <c r="C97" s="65">
        <v>82709</v>
      </c>
      <c r="D97" s="65">
        <f t="shared" si="5"/>
        <v>1148.7361111111111</v>
      </c>
      <c r="E97" s="67">
        <v>3.5</v>
      </c>
      <c r="F97" s="87">
        <v>4.1100000000000003</v>
      </c>
      <c r="G97" s="87">
        <v>0.32</v>
      </c>
    </row>
    <row r="98" spans="1:7" s="1" customFormat="1">
      <c r="A98" s="105">
        <v>44409</v>
      </c>
      <c r="B98" s="65">
        <v>2025</v>
      </c>
      <c r="C98" s="65">
        <v>95500</v>
      </c>
      <c r="D98" s="65">
        <f t="shared" si="5"/>
        <v>1326.3888888888889</v>
      </c>
      <c r="E98" s="67">
        <v>3.5</v>
      </c>
      <c r="F98" s="87">
        <v>4.88</v>
      </c>
      <c r="G98" s="87">
        <v>2.9</v>
      </c>
    </row>
    <row r="99" spans="1:7" s="1" customFormat="1">
      <c r="A99" s="105">
        <v>44410</v>
      </c>
      <c r="B99" s="65">
        <v>2267</v>
      </c>
      <c r="C99" s="65">
        <v>118121</v>
      </c>
      <c r="D99" s="65">
        <f t="shared" si="5"/>
        <v>1640.5694444444446</v>
      </c>
      <c r="E99" s="67">
        <v>3.5</v>
      </c>
      <c r="F99" s="87">
        <v>6.66</v>
      </c>
      <c r="G99" s="87">
        <v>5.56</v>
      </c>
    </row>
    <row r="100" spans="1:7" s="1" customFormat="1">
      <c r="A100" s="105">
        <v>44411</v>
      </c>
      <c r="B100" s="65">
        <v>4171</v>
      </c>
      <c r="C100" s="65">
        <v>111878</v>
      </c>
      <c r="D100" s="65">
        <f t="shared" si="5"/>
        <v>1553.8611111111111</v>
      </c>
      <c r="E100" s="67">
        <v>3.5</v>
      </c>
      <c r="F100" s="87">
        <v>6.08</v>
      </c>
      <c r="G100" s="87">
        <v>0.47</v>
      </c>
    </row>
    <row r="101" spans="1:7" s="1" customFormat="1">
      <c r="A101" s="105">
        <v>44412</v>
      </c>
      <c r="B101" s="65">
        <v>936</v>
      </c>
      <c r="C101" s="65">
        <v>145576</v>
      </c>
      <c r="D101" s="65">
        <f t="shared" si="5"/>
        <v>2021.8888888888891</v>
      </c>
      <c r="E101" s="67">
        <v>3.5</v>
      </c>
      <c r="F101" s="87">
        <v>4.04</v>
      </c>
      <c r="G101" s="87">
        <v>3.18</v>
      </c>
    </row>
    <row r="102" spans="1:7" s="1" customFormat="1">
      <c r="A102" s="105">
        <v>44413</v>
      </c>
      <c r="B102" s="65">
        <v>3886</v>
      </c>
      <c r="C102" s="65">
        <v>671513</v>
      </c>
      <c r="D102" s="65">
        <f t="shared" si="5"/>
        <v>9326.5694444444453</v>
      </c>
      <c r="E102" s="67">
        <v>3.5</v>
      </c>
      <c r="F102" s="87">
        <v>3.31</v>
      </c>
      <c r="G102" s="87">
        <v>1.99</v>
      </c>
    </row>
    <row r="103" spans="1:7" s="1" customFormat="1">
      <c r="A103" s="105">
        <v>44414</v>
      </c>
      <c r="B103" s="65">
        <v>1497</v>
      </c>
      <c r="C103" s="65">
        <v>250243</v>
      </c>
      <c r="D103" s="65">
        <f t="shared" si="5"/>
        <v>3475.5972222222222</v>
      </c>
      <c r="E103" s="67">
        <v>3.5</v>
      </c>
      <c r="F103" s="87">
        <v>5.23</v>
      </c>
      <c r="G103" s="87">
        <v>3.69</v>
      </c>
    </row>
    <row r="104" spans="1:7" s="1" customFormat="1">
      <c r="A104" s="105">
        <v>44415</v>
      </c>
      <c r="B104" s="65">
        <v>5827</v>
      </c>
      <c r="C104" s="65">
        <v>210791.42857142858</v>
      </c>
      <c r="D104" s="65">
        <f t="shared" si="5"/>
        <v>2927.6587301587301</v>
      </c>
      <c r="E104" s="67">
        <v>3.5</v>
      </c>
      <c r="F104" s="87">
        <v>2.2400000000000002</v>
      </c>
      <c r="G104" s="87">
        <v>7.31</v>
      </c>
    </row>
    <row r="105" spans="1:7" s="1" customFormat="1">
      <c r="A105" s="105">
        <v>44416</v>
      </c>
      <c r="B105" s="65">
        <v>2002</v>
      </c>
      <c r="C105" s="65">
        <v>319530.85714285716</v>
      </c>
      <c r="D105" s="65">
        <f t="shared" si="5"/>
        <v>4437.9285714285716</v>
      </c>
      <c r="E105" s="67">
        <v>3.5</v>
      </c>
      <c r="F105" s="87">
        <v>2.84</v>
      </c>
      <c r="G105" s="87">
        <v>3.46</v>
      </c>
    </row>
    <row r="106" spans="1:7" s="1" customFormat="1">
      <c r="A106" s="105">
        <v>44417</v>
      </c>
      <c r="B106" s="65">
        <v>4132</v>
      </c>
      <c r="C106" s="65">
        <v>363019.57142857148</v>
      </c>
      <c r="D106" s="65">
        <f t="shared" si="5"/>
        <v>5041.938492063493</v>
      </c>
      <c r="E106" s="67">
        <v>3.5</v>
      </c>
      <c r="F106" s="87">
        <v>3.05</v>
      </c>
      <c r="G106" s="87">
        <v>4.4000000000000004</v>
      </c>
    </row>
    <row r="107" spans="1:7" s="1" customFormat="1">
      <c r="A107" s="105">
        <v>44418</v>
      </c>
      <c r="B107" s="65">
        <v>1466</v>
      </c>
      <c r="C107" s="65">
        <v>285896.21428571432</v>
      </c>
      <c r="D107" s="65">
        <f t="shared" si="5"/>
        <v>3970.7807539682544</v>
      </c>
      <c r="E107" s="67">
        <v>3.5</v>
      </c>
      <c r="F107" s="87">
        <v>5.18</v>
      </c>
      <c r="G107" s="87">
        <v>2.5099999999999998</v>
      </c>
    </row>
    <row r="108" spans="1:7" s="1" customFormat="1">
      <c r="A108" s="105">
        <v>44419</v>
      </c>
      <c r="B108" s="65">
        <v>3609</v>
      </c>
      <c r="C108" s="65">
        <v>294809.51785714284</v>
      </c>
      <c r="D108" s="65">
        <f t="shared" si="5"/>
        <v>4094.5766369047615</v>
      </c>
      <c r="E108" s="67">
        <v>3.5</v>
      </c>
      <c r="F108" s="87">
        <v>2.4</v>
      </c>
      <c r="G108" s="87">
        <v>5.36</v>
      </c>
    </row>
    <row r="109" spans="1:7" s="1" customFormat="1">
      <c r="A109" s="105">
        <v>44420</v>
      </c>
      <c r="B109" s="65">
        <v>1521</v>
      </c>
      <c r="C109" s="65">
        <v>315814.04017857148</v>
      </c>
      <c r="D109" s="65">
        <f t="shared" si="5"/>
        <v>4386.3061135912703</v>
      </c>
      <c r="E109" s="67">
        <v>3.5</v>
      </c>
      <c r="F109" s="87">
        <v>5.83</v>
      </c>
      <c r="G109" s="87">
        <v>3.21</v>
      </c>
    </row>
    <row r="110" spans="1:7" s="1" customFormat="1">
      <c r="A110" s="105">
        <v>44421</v>
      </c>
      <c r="B110" s="65">
        <v>3399</v>
      </c>
      <c r="C110" s="65">
        <v>93993</v>
      </c>
      <c r="D110" s="65">
        <f t="shared" si="5"/>
        <v>1305.4583333333333</v>
      </c>
      <c r="E110" s="67">
        <v>3.5</v>
      </c>
      <c r="F110" s="87">
        <v>4.3499999999999996</v>
      </c>
      <c r="G110" s="87">
        <v>2.99</v>
      </c>
    </row>
    <row r="111" spans="1:7" s="1" customFormat="1">
      <c r="A111" s="105">
        <v>44422</v>
      </c>
      <c r="B111" s="65">
        <v>4915</v>
      </c>
      <c r="C111" s="65">
        <v>85608</v>
      </c>
      <c r="D111" s="65">
        <f t="shared" si="5"/>
        <v>1189</v>
      </c>
      <c r="E111" s="67">
        <v>3.5</v>
      </c>
      <c r="F111" s="87">
        <v>7.18</v>
      </c>
      <c r="G111" s="87">
        <v>1.5</v>
      </c>
    </row>
    <row r="112" spans="1:7" s="1" customFormat="1">
      <c r="A112" s="105">
        <v>44423</v>
      </c>
      <c r="B112" s="65">
        <v>3975</v>
      </c>
      <c r="C112" s="65">
        <v>197556.13950892858</v>
      </c>
      <c r="D112" s="65">
        <f t="shared" si="5"/>
        <v>2743.8352709573414</v>
      </c>
      <c r="E112" s="67">
        <v>3.5</v>
      </c>
      <c r="F112" s="87">
        <v>5.16</v>
      </c>
      <c r="G112" s="87">
        <v>2.13</v>
      </c>
    </row>
    <row r="113" spans="1:7" s="1" customFormat="1">
      <c r="A113" s="105">
        <v>44424</v>
      </c>
      <c r="B113" s="65">
        <v>2855</v>
      </c>
      <c r="C113" s="65">
        <v>194435</v>
      </c>
      <c r="D113" s="65">
        <f t="shared" si="5"/>
        <v>2700.4861111111113</v>
      </c>
      <c r="E113" s="67">
        <v>3.5</v>
      </c>
      <c r="F113" s="87">
        <v>3.16</v>
      </c>
      <c r="G113" s="87">
        <v>1.46</v>
      </c>
    </row>
    <row r="114" spans="1:7" s="1" customFormat="1">
      <c r="A114" s="105">
        <v>44425</v>
      </c>
      <c r="B114" s="65">
        <v>3740</v>
      </c>
      <c r="C114" s="65">
        <v>126157</v>
      </c>
      <c r="D114" s="65">
        <f t="shared" si="5"/>
        <v>1752.1805555555554</v>
      </c>
      <c r="E114" s="67">
        <v>3.5</v>
      </c>
      <c r="F114" s="87">
        <v>2.93</v>
      </c>
      <c r="G114" s="87">
        <v>6.76</v>
      </c>
    </row>
    <row r="115" spans="1:7" s="1" customFormat="1">
      <c r="A115" s="105">
        <v>44426</v>
      </c>
      <c r="B115" s="65">
        <v>3873</v>
      </c>
      <c r="C115" s="65">
        <v>150939.03487723216</v>
      </c>
      <c r="D115" s="65">
        <f t="shared" si="5"/>
        <v>2096.3754844060022</v>
      </c>
      <c r="E115" s="67">
        <v>3.5</v>
      </c>
      <c r="F115" s="87">
        <v>3.25</v>
      </c>
      <c r="G115" s="87">
        <v>1.37</v>
      </c>
    </row>
    <row r="116" spans="1:7" s="1" customFormat="1">
      <c r="A116" s="105">
        <v>44427</v>
      </c>
      <c r="B116" s="65">
        <v>4307</v>
      </c>
      <c r="C116" s="65">
        <v>142223</v>
      </c>
      <c r="D116" s="65">
        <f t="shared" si="5"/>
        <v>1975.3194444444446</v>
      </c>
      <c r="E116" s="67">
        <v>3.5</v>
      </c>
      <c r="F116" s="87">
        <v>3.19</v>
      </c>
      <c r="G116" s="87">
        <v>0.39</v>
      </c>
    </row>
    <row r="117" spans="1:7" s="1" customFormat="1">
      <c r="A117" s="105">
        <v>44428</v>
      </c>
      <c r="B117" s="65">
        <v>3504</v>
      </c>
      <c r="C117" s="65">
        <v>116523</v>
      </c>
      <c r="D117" s="65">
        <f t="shared" si="5"/>
        <v>1618.375</v>
      </c>
      <c r="E117" s="67">
        <v>3.5</v>
      </c>
      <c r="F117" s="87">
        <v>7.91</v>
      </c>
      <c r="G117" s="87">
        <v>2.2000000000000002</v>
      </c>
    </row>
    <row r="118" spans="1:7" s="1" customFormat="1">
      <c r="A118" s="105">
        <v>44429</v>
      </c>
      <c r="B118" s="65">
        <v>4084</v>
      </c>
      <c r="C118" s="65">
        <v>95516</v>
      </c>
      <c r="D118" s="65">
        <f t="shared" si="5"/>
        <v>1326.6111111111111</v>
      </c>
      <c r="E118" s="67">
        <v>3.5</v>
      </c>
      <c r="F118" s="87">
        <v>4.82</v>
      </c>
      <c r="G118" s="87">
        <v>3.86</v>
      </c>
    </row>
    <row r="119" spans="1:7" s="1" customFormat="1">
      <c r="A119" s="105">
        <v>44430</v>
      </c>
      <c r="B119" s="65">
        <v>4193</v>
      </c>
      <c r="C119" s="65">
        <v>61574</v>
      </c>
      <c r="D119" s="65">
        <f t="shared" si="5"/>
        <v>855.19444444444434</v>
      </c>
      <c r="E119" s="67">
        <v>3.5</v>
      </c>
      <c r="F119" s="87">
        <v>6.11</v>
      </c>
      <c r="G119" s="87">
        <v>1.87</v>
      </c>
    </row>
    <row r="120" spans="1:7" s="1" customFormat="1">
      <c r="A120" s="105">
        <v>44431</v>
      </c>
      <c r="B120" s="65">
        <v>4251</v>
      </c>
      <c r="C120" s="65">
        <v>58817</v>
      </c>
      <c r="D120" s="65">
        <f t="shared" si="5"/>
        <v>816.90277777777783</v>
      </c>
      <c r="E120" s="67">
        <v>5</v>
      </c>
      <c r="F120" s="87">
        <v>0.59</v>
      </c>
      <c r="G120" s="87">
        <v>6.76</v>
      </c>
    </row>
    <row r="121" spans="1:7" s="1" customFormat="1">
      <c r="A121" s="105">
        <v>44432</v>
      </c>
      <c r="B121" s="65">
        <v>4634</v>
      </c>
      <c r="C121" s="65">
        <v>37746</v>
      </c>
      <c r="D121" s="65">
        <f t="shared" si="5"/>
        <v>524.25</v>
      </c>
      <c r="E121" s="67">
        <v>5</v>
      </c>
      <c r="F121" s="87">
        <v>6.58</v>
      </c>
      <c r="G121" s="87">
        <v>4.1500000000000004</v>
      </c>
    </row>
    <row r="122" spans="1:7" s="1" customFormat="1">
      <c r="A122" s="105">
        <v>44433</v>
      </c>
      <c r="B122" s="65">
        <v>5294</v>
      </c>
      <c r="C122" s="65">
        <v>57982</v>
      </c>
      <c r="D122" s="65">
        <f t="shared" si="5"/>
        <v>805.30555555555566</v>
      </c>
      <c r="E122" s="67">
        <v>5</v>
      </c>
      <c r="F122" s="87">
        <v>5.07</v>
      </c>
      <c r="G122" s="87">
        <v>1.9</v>
      </c>
    </row>
    <row r="123" spans="1:7" s="1" customFormat="1">
      <c r="A123" s="105">
        <v>44434</v>
      </c>
      <c r="B123" s="65">
        <v>3934</v>
      </c>
      <c r="C123" s="65">
        <v>51886</v>
      </c>
      <c r="D123" s="65">
        <f t="shared" si="5"/>
        <v>720.63888888888891</v>
      </c>
      <c r="E123" s="67">
        <v>5</v>
      </c>
      <c r="F123" s="87">
        <v>4.12</v>
      </c>
      <c r="G123" s="87">
        <v>1.42</v>
      </c>
    </row>
    <row r="124" spans="1:7" s="1" customFormat="1">
      <c r="A124" s="105">
        <v>44435</v>
      </c>
      <c r="B124" s="65">
        <v>5383</v>
      </c>
      <c r="C124" s="65">
        <v>62349</v>
      </c>
      <c r="D124" s="65">
        <f t="shared" si="5"/>
        <v>865.95833333333337</v>
      </c>
      <c r="E124" s="67">
        <v>5</v>
      </c>
      <c r="F124" s="87">
        <v>4.4000000000000004</v>
      </c>
      <c r="G124" s="87">
        <v>8.09</v>
      </c>
    </row>
    <row r="125" spans="1:7" s="1" customFormat="1">
      <c r="A125" s="105">
        <v>44436</v>
      </c>
      <c r="B125" s="65">
        <v>5481</v>
      </c>
      <c r="C125" s="65">
        <v>39546</v>
      </c>
      <c r="D125" s="65">
        <f t="shared" si="5"/>
        <v>549.25</v>
      </c>
      <c r="E125" s="67">
        <v>5</v>
      </c>
      <c r="F125" s="87">
        <v>2.93</v>
      </c>
      <c r="G125" s="87">
        <v>1.82</v>
      </c>
    </row>
    <row r="126" spans="1:7" s="1" customFormat="1">
      <c r="A126" s="105">
        <v>44437</v>
      </c>
      <c r="B126" s="65">
        <v>4957</v>
      </c>
      <c r="C126" s="65">
        <v>32603</v>
      </c>
      <c r="D126" s="65">
        <f t="shared" si="5"/>
        <v>452.8194444444444</v>
      </c>
      <c r="E126" s="67">
        <v>5</v>
      </c>
      <c r="F126" s="87">
        <v>7.65</v>
      </c>
      <c r="G126" s="87">
        <v>5.98</v>
      </c>
    </row>
    <row r="127" spans="1:7" s="1" customFormat="1">
      <c r="A127" s="105">
        <v>44438</v>
      </c>
      <c r="B127" s="65">
        <v>5889</v>
      </c>
      <c r="C127" s="65">
        <v>30109</v>
      </c>
      <c r="D127" s="65">
        <f t="shared" si="5"/>
        <v>418.1805555555556</v>
      </c>
      <c r="E127" s="67">
        <v>5</v>
      </c>
      <c r="F127" s="87">
        <v>4.67</v>
      </c>
      <c r="G127" s="87">
        <v>2.84</v>
      </c>
    </row>
    <row r="128" spans="1:7" s="1" customFormat="1">
      <c r="A128" s="105">
        <v>44439</v>
      </c>
      <c r="B128" s="65">
        <v>5444</v>
      </c>
      <c r="C128" s="65">
        <v>40212</v>
      </c>
      <c r="D128" s="65">
        <f t="shared" si="5"/>
        <v>558.5</v>
      </c>
      <c r="E128" s="67">
        <v>5</v>
      </c>
      <c r="F128" s="87">
        <v>6.55</v>
      </c>
      <c r="G128" s="87">
        <v>3.27</v>
      </c>
    </row>
    <row r="129" spans="1:7" s="1" customFormat="1">
      <c r="A129" s="105">
        <v>44440</v>
      </c>
      <c r="B129" s="65">
        <v>5368</v>
      </c>
      <c r="C129" s="65">
        <v>33448</v>
      </c>
      <c r="D129" s="65">
        <f t="shared" si="5"/>
        <v>464.55555555555554</v>
      </c>
      <c r="E129" s="67">
        <v>5</v>
      </c>
      <c r="F129" s="87">
        <v>6.34</v>
      </c>
      <c r="G129" s="87">
        <v>2.9</v>
      </c>
    </row>
    <row r="130" spans="1:7" s="1" customFormat="1">
      <c r="A130" s="105">
        <v>44441</v>
      </c>
      <c r="B130" s="65">
        <v>5964</v>
      </c>
      <c r="C130" s="65">
        <v>63341</v>
      </c>
      <c r="D130" s="65">
        <f t="shared" si="5"/>
        <v>879.7361111111112</v>
      </c>
      <c r="E130" s="67">
        <v>5</v>
      </c>
      <c r="F130" s="87">
        <v>6.22</v>
      </c>
      <c r="G130" s="87">
        <v>1.5</v>
      </c>
    </row>
    <row r="131" spans="1:7" s="1" customFormat="1">
      <c r="A131" s="105">
        <v>44442</v>
      </c>
      <c r="B131" s="65">
        <v>8510</v>
      </c>
      <c r="C131" s="65">
        <v>41777.5</v>
      </c>
      <c r="D131" s="65">
        <f t="shared" ref="D131:D194" si="6">C131/7200000*100000</f>
        <v>580.24305555555554</v>
      </c>
      <c r="E131" s="67">
        <v>5</v>
      </c>
      <c r="F131" s="87">
        <v>5.89</v>
      </c>
      <c r="G131" s="87">
        <v>4.6500000000000004</v>
      </c>
    </row>
    <row r="132" spans="1:7" s="1" customFormat="1">
      <c r="A132" s="105">
        <v>44443</v>
      </c>
      <c r="B132" s="65">
        <v>4104</v>
      </c>
      <c r="C132" s="65">
        <v>74998</v>
      </c>
      <c r="D132" s="65">
        <f t="shared" si="6"/>
        <v>1041.6388888888889</v>
      </c>
      <c r="E132" s="67">
        <v>5</v>
      </c>
      <c r="F132" s="87">
        <v>7.76</v>
      </c>
      <c r="G132" s="87">
        <v>4.78</v>
      </c>
    </row>
    <row r="133" spans="1:7" s="1" customFormat="1">
      <c r="A133" s="105">
        <v>44444</v>
      </c>
      <c r="B133" s="65">
        <v>6226</v>
      </c>
      <c r="C133" s="65">
        <v>87683</v>
      </c>
      <c r="D133" s="65">
        <f t="shared" si="6"/>
        <v>1217.8194444444446</v>
      </c>
      <c r="E133" s="67">
        <v>5</v>
      </c>
      <c r="F133" s="87">
        <v>3.26</v>
      </c>
      <c r="G133" s="87">
        <v>3.21</v>
      </c>
    </row>
    <row r="134" spans="1:7" s="1" customFormat="1">
      <c r="A134" s="105">
        <v>44445</v>
      </c>
      <c r="B134" s="65">
        <v>7122</v>
      </c>
      <c r="C134" s="65">
        <v>105781</v>
      </c>
      <c r="D134" s="65">
        <f t="shared" si="6"/>
        <v>1469.1805555555554</v>
      </c>
      <c r="E134" s="67">
        <v>5</v>
      </c>
      <c r="F134" s="87">
        <v>6.17</v>
      </c>
      <c r="G134" s="87">
        <v>4.13</v>
      </c>
    </row>
    <row r="135" spans="1:7" s="1" customFormat="1">
      <c r="A135" s="105">
        <v>44446</v>
      </c>
      <c r="B135" s="65">
        <v>7310</v>
      </c>
      <c r="C135" s="65">
        <v>161286</v>
      </c>
      <c r="D135" s="65">
        <f t="shared" si="6"/>
        <v>2240.083333333333</v>
      </c>
      <c r="E135" s="67">
        <v>5</v>
      </c>
      <c r="F135" s="87">
        <v>2.48</v>
      </c>
      <c r="G135" s="87">
        <v>1.42</v>
      </c>
    </row>
    <row r="136" spans="1:7" s="1" customFormat="1">
      <c r="A136" s="105">
        <v>44447</v>
      </c>
      <c r="B136" s="65">
        <v>7308</v>
      </c>
      <c r="C136" s="65">
        <v>163548</v>
      </c>
      <c r="D136" s="65">
        <f t="shared" si="6"/>
        <v>2271.5</v>
      </c>
      <c r="E136" s="67">
        <v>5</v>
      </c>
      <c r="F136" s="87">
        <v>6.7</v>
      </c>
      <c r="G136" s="87">
        <v>2.9</v>
      </c>
    </row>
    <row r="137" spans="1:7" s="1" customFormat="1">
      <c r="A137" s="105">
        <v>44448</v>
      </c>
      <c r="B137" s="65">
        <v>5549</v>
      </c>
      <c r="C137" s="65">
        <v>188124</v>
      </c>
      <c r="D137" s="65">
        <f t="shared" si="6"/>
        <v>2612.8333333333335</v>
      </c>
      <c r="E137" s="67">
        <v>5</v>
      </c>
      <c r="F137" s="87">
        <v>5.22</v>
      </c>
      <c r="G137" s="87">
        <v>3.44</v>
      </c>
    </row>
    <row r="138" spans="1:7" s="1" customFormat="1">
      <c r="A138" s="105">
        <v>44449</v>
      </c>
      <c r="B138" s="65">
        <v>7539</v>
      </c>
      <c r="C138" s="65">
        <v>183699</v>
      </c>
      <c r="D138" s="65">
        <f t="shared" si="6"/>
        <v>2551.375</v>
      </c>
      <c r="E138" s="67">
        <v>5</v>
      </c>
      <c r="F138" s="87">
        <v>1.86</v>
      </c>
      <c r="G138" s="87">
        <v>4.1500000000000004</v>
      </c>
    </row>
    <row r="139" spans="1:7" s="1" customFormat="1">
      <c r="A139" s="105">
        <v>44450</v>
      </c>
      <c r="B139" s="65">
        <v>5629</v>
      </c>
      <c r="C139" s="65">
        <v>214347</v>
      </c>
      <c r="D139" s="65">
        <f t="shared" si="6"/>
        <v>2977.0416666666665</v>
      </c>
      <c r="E139" s="67">
        <v>5</v>
      </c>
      <c r="F139" s="87">
        <v>2.39</v>
      </c>
      <c r="G139" s="87">
        <v>5.56</v>
      </c>
    </row>
    <row r="140" spans="1:7" s="1" customFormat="1">
      <c r="A140" s="105">
        <v>44451</v>
      </c>
      <c r="B140" s="65">
        <v>6158</v>
      </c>
      <c r="C140" s="65">
        <v>246332</v>
      </c>
      <c r="D140" s="65">
        <f t="shared" si="6"/>
        <v>3421.2777777777778</v>
      </c>
      <c r="E140" s="67">
        <v>5</v>
      </c>
      <c r="F140" s="87">
        <v>7.02</v>
      </c>
      <c r="G140" s="87">
        <v>2.71</v>
      </c>
    </row>
    <row r="141" spans="1:7" s="1" customFormat="1">
      <c r="A141" s="105">
        <v>44452</v>
      </c>
      <c r="B141" s="65">
        <v>5446</v>
      </c>
      <c r="C141" s="65">
        <v>174090</v>
      </c>
      <c r="D141" s="65">
        <f t="shared" si="6"/>
        <v>2417.916666666667</v>
      </c>
      <c r="E141" s="67">
        <v>5</v>
      </c>
      <c r="F141" s="87">
        <v>6.87</v>
      </c>
      <c r="G141" s="87">
        <v>2.9</v>
      </c>
    </row>
    <row r="142" spans="1:7" s="1" customFormat="1">
      <c r="A142" s="105">
        <v>44453</v>
      </c>
      <c r="B142" s="65">
        <v>6315</v>
      </c>
      <c r="C142" s="65">
        <v>177119</v>
      </c>
      <c r="D142" s="65">
        <f t="shared" si="6"/>
        <v>2459.9861111111109</v>
      </c>
      <c r="E142" s="67">
        <v>5</v>
      </c>
      <c r="F142" s="87">
        <v>4.75</v>
      </c>
      <c r="G142" s="87">
        <v>1.42</v>
      </c>
    </row>
    <row r="143" spans="1:7" s="1" customFormat="1">
      <c r="A143" s="105">
        <v>44454</v>
      </c>
      <c r="B143" s="65">
        <v>5301</v>
      </c>
      <c r="C143" s="65">
        <v>148671</v>
      </c>
      <c r="D143" s="65">
        <f t="shared" si="6"/>
        <v>2064.875</v>
      </c>
      <c r="E143" s="67">
        <v>5</v>
      </c>
      <c r="F143" s="87">
        <v>4.5</v>
      </c>
      <c r="G143" s="87">
        <v>4.38</v>
      </c>
    </row>
    <row r="144" spans="1:7" s="1" customFormat="1">
      <c r="A144" s="105">
        <v>44455</v>
      </c>
      <c r="B144" s="65">
        <v>5735</v>
      </c>
      <c r="C144" s="65">
        <v>119193</v>
      </c>
      <c r="D144" s="65">
        <f t="shared" si="6"/>
        <v>1655.4583333333335</v>
      </c>
      <c r="E144" s="67">
        <v>5</v>
      </c>
      <c r="F144" s="87">
        <v>2.38</v>
      </c>
      <c r="G144" s="87">
        <v>5.09</v>
      </c>
    </row>
    <row r="145" spans="1:7" s="1" customFormat="1">
      <c r="A145" s="105">
        <v>44456</v>
      </c>
      <c r="B145" s="65">
        <v>5972</v>
      </c>
      <c r="C145" s="65">
        <v>78163</v>
      </c>
      <c r="D145" s="65">
        <f t="shared" si="6"/>
        <v>1085.5972222222222</v>
      </c>
      <c r="E145" s="67">
        <v>5</v>
      </c>
      <c r="F145" s="87">
        <v>3.54</v>
      </c>
      <c r="G145" s="87">
        <v>1.62</v>
      </c>
    </row>
    <row r="146" spans="1:7" s="1" customFormat="1">
      <c r="A146" s="105">
        <v>44457</v>
      </c>
      <c r="B146" s="65">
        <v>4273</v>
      </c>
      <c r="C146" s="65">
        <v>86403</v>
      </c>
      <c r="D146" s="65">
        <f t="shared" si="6"/>
        <v>1200.0416666666665</v>
      </c>
      <c r="E146" s="67">
        <v>5</v>
      </c>
      <c r="F146" s="87">
        <v>5.74</v>
      </c>
      <c r="G146" s="87">
        <v>2.71</v>
      </c>
    </row>
    <row r="147" spans="1:7" s="1" customFormat="1">
      <c r="A147" s="105">
        <v>44458</v>
      </c>
      <c r="B147" s="65">
        <v>5496</v>
      </c>
      <c r="C147" s="65">
        <v>87666</v>
      </c>
      <c r="D147" s="65">
        <f t="shared" si="6"/>
        <v>1217.5833333333333</v>
      </c>
      <c r="E147" s="67">
        <v>5</v>
      </c>
      <c r="F147" s="87">
        <v>4.6100000000000003</v>
      </c>
      <c r="G147" s="87">
        <v>0.12</v>
      </c>
    </row>
    <row r="148" spans="1:7" s="1" customFormat="1">
      <c r="A148" s="105">
        <v>44459</v>
      </c>
      <c r="B148" s="65">
        <v>5172</v>
      </c>
      <c r="C148" s="65">
        <v>30117</v>
      </c>
      <c r="D148" s="65">
        <f t="shared" si="6"/>
        <v>418.29166666666663</v>
      </c>
      <c r="E148" s="67">
        <v>5</v>
      </c>
      <c r="F148" s="87">
        <v>4.59</v>
      </c>
      <c r="G148" s="87">
        <v>3.91</v>
      </c>
    </row>
    <row r="149" spans="1:7" s="1" customFormat="1">
      <c r="A149" s="105">
        <v>44460</v>
      </c>
      <c r="B149" s="65">
        <v>6521</v>
      </c>
      <c r="C149" s="65">
        <v>71836</v>
      </c>
      <c r="D149" s="65">
        <f t="shared" si="6"/>
        <v>997.72222222222229</v>
      </c>
      <c r="E149" s="67">
        <v>5</v>
      </c>
      <c r="F149" s="87">
        <v>4.6900000000000004</v>
      </c>
      <c r="G149" s="87">
        <v>3.02</v>
      </c>
    </row>
    <row r="150" spans="1:7" s="1" customFormat="1">
      <c r="A150" s="105">
        <v>44461</v>
      </c>
      <c r="B150" s="65">
        <v>5435</v>
      </c>
      <c r="C150" s="65">
        <v>513377</v>
      </c>
      <c r="D150" s="65">
        <f t="shared" si="6"/>
        <v>7130.2361111111113</v>
      </c>
      <c r="E150" s="67">
        <v>5</v>
      </c>
      <c r="F150" s="87">
        <v>2.13</v>
      </c>
      <c r="G150" s="87">
        <v>1.77</v>
      </c>
    </row>
    <row r="151" spans="1:7" s="1" customFormat="1">
      <c r="A151" s="105">
        <v>44462</v>
      </c>
      <c r="B151" s="65">
        <v>5052</v>
      </c>
      <c r="C151" s="65">
        <v>67566</v>
      </c>
      <c r="D151" s="65">
        <f t="shared" si="6"/>
        <v>938.41666666666674</v>
      </c>
      <c r="E151" s="67">
        <v>5</v>
      </c>
      <c r="F151" s="87">
        <v>3.04</v>
      </c>
      <c r="G151" s="87">
        <v>4.7</v>
      </c>
    </row>
    <row r="152" spans="1:7" s="1" customFormat="1">
      <c r="A152" s="105">
        <v>44463</v>
      </c>
      <c r="B152" s="65">
        <v>3786</v>
      </c>
      <c r="C152" s="65">
        <v>70899</v>
      </c>
      <c r="D152" s="65">
        <f t="shared" si="6"/>
        <v>984.70833333333326</v>
      </c>
      <c r="E152" s="67">
        <v>5</v>
      </c>
      <c r="F152" s="87">
        <v>3.06</v>
      </c>
      <c r="G152" s="87">
        <v>3.69</v>
      </c>
    </row>
    <row r="153" spans="1:7" s="1" customFormat="1">
      <c r="A153" s="105">
        <v>44464</v>
      </c>
      <c r="B153" s="65">
        <v>4050</v>
      </c>
      <c r="C153" s="65">
        <v>134617</v>
      </c>
      <c r="D153" s="65">
        <f t="shared" si="6"/>
        <v>1869.6805555555557</v>
      </c>
      <c r="E153" s="67">
        <v>5</v>
      </c>
      <c r="F153" s="87">
        <v>1.86</v>
      </c>
      <c r="G153" s="87">
        <v>0.88</v>
      </c>
    </row>
    <row r="154" spans="1:7" s="1" customFormat="1">
      <c r="A154" s="105">
        <v>44465</v>
      </c>
      <c r="B154" s="65">
        <v>5121</v>
      </c>
      <c r="C154" s="65">
        <v>237373</v>
      </c>
      <c r="D154" s="65">
        <f t="shared" si="6"/>
        <v>3296.8472222222226</v>
      </c>
      <c r="E154" s="67">
        <v>5</v>
      </c>
      <c r="F154" s="87">
        <v>4.68</v>
      </c>
      <c r="G154" s="87">
        <v>0.64</v>
      </c>
    </row>
    <row r="155" spans="1:7" s="1" customFormat="1">
      <c r="A155" s="105">
        <v>44466</v>
      </c>
      <c r="B155" s="65">
        <v>4134</v>
      </c>
      <c r="C155" s="65">
        <v>205951</v>
      </c>
      <c r="D155" s="65">
        <f t="shared" si="6"/>
        <v>2860.4305555555557</v>
      </c>
      <c r="E155" s="67">
        <v>5</v>
      </c>
      <c r="F155" s="87">
        <v>7.48</v>
      </c>
      <c r="G155" s="87">
        <v>2.38</v>
      </c>
    </row>
    <row r="156" spans="1:7" s="1" customFormat="1">
      <c r="A156" s="105">
        <v>44467</v>
      </c>
      <c r="B156" s="65">
        <v>3749</v>
      </c>
      <c r="C156" s="65">
        <v>132884</v>
      </c>
      <c r="D156" s="65">
        <f t="shared" si="6"/>
        <v>1845.6111111111111</v>
      </c>
      <c r="E156" s="67">
        <v>5</v>
      </c>
      <c r="F156" s="87">
        <v>1.89</v>
      </c>
      <c r="G156" s="87">
        <v>3.26</v>
      </c>
    </row>
    <row r="157" spans="1:7" s="1" customFormat="1">
      <c r="A157" s="105">
        <v>44468</v>
      </c>
      <c r="B157" s="65">
        <v>4699</v>
      </c>
      <c r="C157" s="65">
        <v>325696</v>
      </c>
      <c r="D157" s="65">
        <f t="shared" si="6"/>
        <v>4523.5555555555557</v>
      </c>
      <c r="E157" s="67">
        <v>5</v>
      </c>
      <c r="F157" s="87">
        <v>5.94</v>
      </c>
      <c r="G157" s="87">
        <v>2.9</v>
      </c>
    </row>
    <row r="158" spans="1:7" s="1" customFormat="1">
      <c r="A158" s="105">
        <v>44469</v>
      </c>
      <c r="B158" s="65">
        <v>4372</v>
      </c>
      <c r="C158" s="65">
        <v>251678</v>
      </c>
      <c r="D158" s="65">
        <f t="shared" si="6"/>
        <v>3495.5277777777778</v>
      </c>
      <c r="E158" s="67">
        <v>5</v>
      </c>
      <c r="F158" s="87">
        <v>7.13</v>
      </c>
      <c r="G158" s="87">
        <v>2.48</v>
      </c>
    </row>
    <row r="159" spans="1:7" s="1" customFormat="1">
      <c r="A159" s="105">
        <v>44470</v>
      </c>
      <c r="B159" s="65">
        <v>3670</v>
      </c>
      <c r="C159" s="65">
        <v>157600</v>
      </c>
      <c r="D159" s="65">
        <f t="shared" si="6"/>
        <v>2188.8888888888887</v>
      </c>
      <c r="E159" s="67">
        <v>2</v>
      </c>
      <c r="F159" s="87">
        <v>2.29</v>
      </c>
      <c r="G159" s="87">
        <v>5.07</v>
      </c>
    </row>
    <row r="160" spans="1:7" s="1" customFormat="1">
      <c r="A160" s="105">
        <v>44471</v>
      </c>
      <c r="B160" s="65">
        <v>2723</v>
      </c>
      <c r="C160" s="65">
        <v>269621</v>
      </c>
      <c r="D160" s="65">
        <f t="shared" si="6"/>
        <v>3744.7361111111113</v>
      </c>
      <c r="E160" s="67">
        <v>2</v>
      </c>
      <c r="F160" s="87">
        <v>2.44</v>
      </c>
      <c r="G160" s="87">
        <v>4.18</v>
      </c>
    </row>
    <row r="161" spans="1:7" s="1" customFormat="1">
      <c r="A161" s="105">
        <v>44472</v>
      </c>
      <c r="B161" s="65">
        <v>2461</v>
      </c>
      <c r="C161" s="65">
        <v>233471</v>
      </c>
      <c r="D161" s="65">
        <f t="shared" si="6"/>
        <v>3242.6527777777778</v>
      </c>
      <c r="E161" s="67">
        <v>2</v>
      </c>
      <c r="F161" s="87">
        <v>3.27</v>
      </c>
      <c r="G161" s="87">
        <v>3.72</v>
      </c>
    </row>
    <row r="162" spans="1:7" s="1" customFormat="1">
      <c r="A162" s="105">
        <v>44473</v>
      </c>
      <c r="B162" s="65">
        <v>2490</v>
      </c>
      <c r="C162" s="65">
        <v>283448</v>
      </c>
      <c r="D162" s="65">
        <f t="shared" si="6"/>
        <v>3936.7777777777778</v>
      </c>
      <c r="E162" s="67">
        <v>2</v>
      </c>
      <c r="F162" s="87">
        <v>4.4000000000000004</v>
      </c>
      <c r="G162" s="87">
        <v>1.44</v>
      </c>
    </row>
    <row r="163" spans="1:7" s="1" customFormat="1">
      <c r="A163" s="105">
        <v>44474</v>
      </c>
      <c r="B163" s="65">
        <v>1491</v>
      </c>
      <c r="C163" s="65">
        <v>225322</v>
      </c>
      <c r="D163" s="65">
        <f t="shared" si="6"/>
        <v>3129.4722222222222</v>
      </c>
      <c r="E163" s="67">
        <v>2</v>
      </c>
      <c r="F163" s="87">
        <v>3.89</v>
      </c>
      <c r="G163" s="87">
        <v>4.1900000000000004</v>
      </c>
    </row>
    <row r="164" spans="1:7" s="1" customFormat="1">
      <c r="A164" s="105">
        <v>44475</v>
      </c>
      <c r="B164" s="65">
        <v>1960</v>
      </c>
      <c r="C164" s="65">
        <v>173924</v>
      </c>
      <c r="D164" s="65">
        <f t="shared" si="6"/>
        <v>2415.6111111111109</v>
      </c>
      <c r="E164" s="67">
        <v>2</v>
      </c>
      <c r="F164" s="87">
        <v>4.55</v>
      </c>
      <c r="G164" s="87">
        <v>3.28</v>
      </c>
    </row>
    <row r="165" spans="1:7" s="1" customFormat="1">
      <c r="A165" s="105">
        <v>44476</v>
      </c>
      <c r="B165" s="65">
        <v>1730</v>
      </c>
      <c r="C165" s="65">
        <v>128966</v>
      </c>
      <c r="D165" s="65">
        <f t="shared" si="6"/>
        <v>1791.1944444444446</v>
      </c>
      <c r="E165" s="67">
        <v>2</v>
      </c>
      <c r="F165" s="87">
        <v>2.89</v>
      </c>
      <c r="G165" s="87">
        <v>5.36</v>
      </c>
    </row>
    <row r="166" spans="1:7" s="1" customFormat="1">
      <c r="A166" s="105">
        <v>44477</v>
      </c>
      <c r="B166" s="65">
        <v>2215</v>
      </c>
      <c r="C166" s="65">
        <v>102080</v>
      </c>
      <c r="D166" s="65">
        <f t="shared" si="6"/>
        <v>1417.7777777777776</v>
      </c>
      <c r="E166" s="67">
        <v>2</v>
      </c>
      <c r="F166" s="87">
        <v>7.86</v>
      </c>
      <c r="G166" s="87">
        <v>2.88</v>
      </c>
    </row>
    <row r="167" spans="1:7" s="1" customFormat="1">
      <c r="A167" s="105">
        <v>44478</v>
      </c>
      <c r="B167" s="65">
        <v>1662</v>
      </c>
      <c r="C167" s="65">
        <v>80506</v>
      </c>
      <c r="D167" s="65">
        <f t="shared" si="6"/>
        <v>1118.1388888888889</v>
      </c>
      <c r="E167" s="67">
        <v>2</v>
      </c>
      <c r="F167" s="87">
        <v>4.74</v>
      </c>
      <c r="G167" s="87">
        <v>5.01</v>
      </c>
    </row>
    <row r="168" spans="1:7" s="1" customFormat="1">
      <c r="A168" s="105">
        <v>44479</v>
      </c>
      <c r="B168" s="65">
        <v>1067</v>
      </c>
      <c r="C168" s="65">
        <v>96186</v>
      </c>
      <c r="D168" s="65">
        <f t="shared" si="6"/>
        <v>1335.9166666666667</v>
      </c>
      <c r="E168" s="67">
        <v>2</v>
      </c>
      <c r="F168" s="87">
        <v>5.45</v>
      </c>
      <c r="G168" s="87">
        <v>3.54</v>
      </c>
    </row>
    <row r="169" spans="1:7" s="1" customFormat="1">
      <c r="A169" s="105">
        <v>44480</v>
      </c>
      <c r="B169" s="65">
        <v>1527</v>
      </c>
      <c r="C169" s="65">
        <v>56731</v>
      </c>
      <c r="D169" s="65">
        <f t="shared" si="6"/>
        <v>787.93055555555566</v>
      </c>
      <c r="E169" s="67">
        <v>2</v>
      </c>
      <c r="F169" s="87">
        <v>0.57999999999999996</v>
      </c>
      <c r="G169" s="87">
        <v>2.14</v>
      </c>
    </row>
    <row r="170" spans="1:7" s="1" customFormat="1">
      <c r="A170" s="105">
        <v>44481</v>
      </c>
      <c r="B170" s="65">
        <v>1018</v>
      </c>
      <c r="C170" s="65">
        <v>61728</v>
      </c>
      <c r="D170" s="65">
        <f t="shared" si="6"/>
        <v>857.33333333333337</v>
      </c>
      <c r="E170" s="67">
        <v>2</v>
      </c>
      <c r="F170" s="87">
        <v>4.28</v>
      </c>
      <c r="G170" s="87">
        <v>1.65</v>
      </c>
    </row>
    <row r="171" spans="1:7" s="1" customFormat="1">
      <c r="A171" s="105">
        <v>44482</v>
      </c>
      <c r="B171" s="65">
        <v>1162</v>
      </c>
      <c r="C171" s="65">
        <v>51325</v>
      </c>
      <c r="D171" s="65">
        <f t="shared" si="6"/>
        <v>712.84722222222217</v>
      </c>
      <c r="E171" s="67">
        <v>2</v>
      </c>
      <c r="F171" s="87">
        <v>-0.81</v>
      </c>
      <c r="G171" s="87">
        <v>3.95</v>
      </c>
    </row>
    <row r="172" spans="1:7" s="1" customFormat="1">
      <c r="A172" s="105">
        <v>44483</v>
      </c>
      <c r="B172" s="65">
        <v>909</v>
      </c>
      <c r="C172" s="65">
        <v>36191</v>
      </c>
      <c r="D172" s="65">
        <f t="shared" si="6"/>
        <v>502.65277777777783</v>
      </c>
      <c r="E172" s="67">
        <v>2</v>
      </c>
      <c r="F172" s="87">
        <v>2.86</v>
      </c>
      <c r="G172" s="87">
        <v>1.74</v>
      </c>
    </row>
    <row r="173" spans="1:7" s="1" customFormat="1">
      <c r="A173" s="105">
        <v>44484</v>
      </c>
      <c r="B173" s="65">
        <v>1131</v>
      </c>
      <c r="C173" s="65">
        <v>38759</v>
      </c>
      <c r="D173" s="65">
        <f t="shared" si="6"/>
        <v>538.31944444444446</v>
      </c>
      <c r="E173" s="67">
        <v>2</v>
      </c>
      <c r="F173" s="87">
        <v>0.39</v>
      </c>
      <c r="G173" s="87">
        <v>0.86</v>
      </c>
    </row>
    <row r="174" spans="1:7" s="1" customFormat="1">
      <c r="A174" s="105">
        <v>44485</v>
      </c>
      <c r="B174" s="65">
        <v>790</v>
      </c>
      <c r="C174" s="65">
        <v>27716</v>
      </c>
      <c r="D174" s="65">
        <f t="shared" si="6"/>
        <v>384.94444444444446</v>
      </c>
      <c r="E174" s="67">
        <v>2</v>
      </c>
      <c r="F174" s="87">
        <v>4.45</v>
      </c>
      <c r="G174" s="87">
        <v>3.09</v>
      </c>
    </row>
    <row r="175" spans="1:7" s="1" customFormat="1">
      <c r="A175" s="105">
        <v>44486</v>
      </c>
      <c r="B175" s="65">
        <v>1059</v>
      </c>
      <c r="C175" s="65">
        <v>25451</v>
      </c>
      <c r="D175" s="65">
        <f t="shared" si="6"/>
        <v>353.48611111111109</v>
      </c>
      <c r="E175" s="67">
        <v>2</v>
      </c>
      <c r="F175" s="87">
        <v>3.5</v>
      </c>
      <c r="G175" s="87">
        <v>0.92</v>
      </c>
    </row>
    <row r="176" spans="1:7" s="1" customFormat="1">
      <c r="A176" s="105">
        <v>44487</v>
      </c>
      <c r="B176" s="65">
        <v>968</v>
      </c>
      <c r="C176" s="65">
        <v>15216</v>
      </c>
      <c r="D176" s="65">
        <f t="shared" si="6"/>
        <v>211.33333333333334</v>
      </c>
      <c r="E176" s="67">
        <v>2</v>
      </c>
      <c r="F176" s="87">
        <v>4.5999999999999996</v>
      </c>
      <c r="G176" s="87">
        <v>5.48</v>
      </c>
    </row>
    <row r="177" spans="1:7" s="1" customFormat="1">
      <c r="A177" s="105">
        <v>44488</v>
      </c>
      <c r="B177" s="65">
        <v>907</v>
      </c>
      <c r="C177" s="65">
        <v>23537</v>
      </c>
      <c r="D177" s="65">
        <f t="shared" si="6"/>
        <v>326.90277777777777</v>
      </c>
      <c r="E177" s="67">
        <v>2</v>
      </c>
      <c r="F177" s="87">
        <v>3.12</v>
      </c>
      <c r="G177" s="87">
        <v>2.09</v>
      </c>
    </row>
    <row r="178" spans="1:7" s="1" customFormat="1">
      <c r="A178" s="105">
        <v>44489</v>
      </c>
      <c r="B178" s="65">
        <v>1347</v>
      </c>
      <c r="C178" s="65">
        <v>20939</v>
      </c>
      <c r="D178" s="65">
        <f t="shared" si="6"/>
        <v>290.81944444444446</v>
      </c>
      <c r="E178" s="67">
        <v>2</v>
      </c>
      <c r="F178" s="87">
        <v>2.2400000000000002</v>
      </c>
      <c r="G178" s="87">
        <v>3.76</v>
      </c>
    </row>
    <row r="179" spans="1:7" s="1" customFormat="1">
      <c r="A179" s="105">
        <v>44490</v>
      </c>
      <c r="B179" s="65">
        <v>1255</v>
      </c>
      <c r="C179" s="65">
        <v>21193</v>
      </c>
      <c r="D179" s="65">
        <f t="shared" si="6"/>
        <v>294.34722222222223</v>
      </c>
      <c r="E179" s="67">
        <v>2</v>
      </c>
      <c r="F179" s="87">
        <v>1.57</v>
      </c>
      <c r="G179" s="87">
        <v>4.26</v>
      </c>
    </row>
    <row r="180" spans="1:7" s="1" customFormat="1">
      <c r="A180" s="105">
        <v>44491</v>
      </c>
      <c r="B180" s="65">
        <v>1205</v>
      </c>
      <c r="C180" s="65">
        <v>20223</v>
      </c>
      <c r="D180" s="65">
        <f t="shared" si="6"/>
        <v>280.875</v>
      </c>
      <c r="E180" s="67">
        <v>2</v>
      </c>
      <c r="F180" s="87">
        <v>5.31</v>
      </c>
      <c r="G180" s="87">
        <v>1.81</v>
      </c>
    </row>
    <row r="181" spans="1:7" s="1" customFormat="1">
      <c r="A181" s="105">
        <v>44492</v>
      </c>
      <c r="B181" s="65">
        <v>749</v>
      </c>
      <c r="C181" s="65">
        <v>23382</v>
      </c>
      <c r="D181" s="65">
        <f t="shared" si="6"/>
        <v>324.75</v>
      </c>
      <c r="E181" s="67">
        <v>2</v>
      </c>
      <c r="F181" s="87">
        <v>4.6100000000000003</v>
      </c>
      <c r="G181" s="87">
        <v>4.08</v>
      </c>
    </row>
    <row r="182" spans="1:7" s="1" customFormat="1">
      <c r="A182" s="105">
        <v>44493</v>
      </c>
      <c r="B182" s="65">
        <v>966</v>
      </c>
      <c r="C182" s="65">
        <v>16741</v>
      </c>
      <c r="D182" s="65">
        <f t="shared" si="6"/>
        <v>232.51388888888889</v>
      </c>
      <c r="E182" s="67">
        <v>2</v>
      </c>
      <c r="F182" s="87">
        <v>3.45</v>
      </c>
      <c r="G182" s="87">
        <v>2.9</v>
      </c>
    </row>
    <row r="183" spans="1:7" s="1" customFormat="1">
      <c r="A183" s="105">
        <v>44494</v>
      </c>
      <c r="B183" s="65">
        <v>969</v>
      </c>
      <c r="C183" s="65">
        <v>7922</v>
      </c>
      <c r="D183" s="65">
        <f t="shared" si="6"/>
        <v>110.02777777777777</v>
      </c>
      <c r="E183" s="67">
        <v>1.5</v>
      </c>
      <c r="F183" s="87">
        <v>2.93</v>
      </c>
      <c r="G183" s="87">
        <v>6.54</v>
      </c>
    </row>
    <row r="184" spans="1:7" s="1" customFormat="1">
      <c r="A184" s="105">
        <v>44495</v>
      </c>
      <c r="B184" s="65">
        <v>783</v>
      </c>
      <c r="C184" s="65">
        <v>23506</v>
      </c>
      <c r="D184" s="65">
        <f t="shared" si="6"/>
        <v>326.47222222222223</v>
      </c>
      <c r="E184" s="67">
        <v>1.5</v>
      </c>
      <c r="F184" s="87">
        <v>4.3</v>
      </c>
      <c r="G184" s="87">
        <v>4.63</v>
      </c>
    </row>
    <row r="185" spans="1:7" s="1" customFormat="1">
      <c r="A185" s="105">
        <v>44496</v>
      </c>
      <c r="B185" s="65">
        <v>1140</v>
      </c>
      <c r="C185" s="65">
        <v>23035</v>
      </c>
      <c r="D185" s="65">
        <f t="shared" si="6"/>
        <v>319.93055555555554</v>
      </c>
      <c r="E185" s="67">
        <v>1.5</v>
      </c>
      <c r="F185" s="87">
        <v>4.46</v>
      </c>
      <c r="G185" s="87">
        <v>6.74</v>
      </c>
    </row>
    <row r="186" spans="1:7" s="1" customFormat="1">
      <c r="A186" s="105">
        <v>44497</v>
      </c>
      <c r="B186" s="65">
        <v>1069</v>
      </c>
      <c r="C186" s="65">
        <v>36248</v>
      </c>
      <c r="D186" s="65">
        <f t="shared" si="6"/>
        <v>503.44444444444446</v>
      </c>
      <c r="E186" s="67">
        <v>1.5</v>
      </c>
      <c r="F186" s="87">
        <v>4.41</v>
      </c>
      <c r="G186" s="87">
        <v>2.9</v>
      </c>
    </row>
    <row r="187" spans="1:7" s="1" customFormat="1">
      <c r="A187" s="105">
        <v>44498</v>
      </c>
      <c r="B187" s="65">
        <v>977</v>
      </c>
      <c r="C187" s="65">
        <v>68863</v>
      </c>
      <c r="D187" s="65">
        <f t="shared" si="6"/>
        <v>956.43055555555554</v>
      </c>
      <c r="E187" s="67">
        <v>1.5</v>
      </c>
      <c r="F187" s="87">
        <v>1.35</v>
      </c>
      <c r="G187" s="87">
        <v>0.51</v>
      </c>
    </row>
    <row r="188" spans="1:7" s="1" customFormat="1">
      <c r="A188" s="105">
        <v>44499</v>
      </c>
      <c r="B188" s="65">
        <v>1042</v>
      </c>
      <c r="C188" s="65">
        <v>68996</v>
      </c>
      <c r="D188" s="65">
        <f t="shared" si="6"/>
        <v>958.27777777777783</v>
      </c>
      <c r="E188" s="67">
        <v>1.5</v>
      </c>
      <c r="F188" s="87">
        <v>4.3499999999999996</v>
      </c>
      <c r="G188" s="87">
        <v>5.0199999999999996</v>
      </c>
    </row>
    <row r="189" spans="1:7" s="1" customFormat="1">
      <c r="A189" s="105">
        <v>44500</v>
      </c>
      <c r="B189" s="65">
        <v>1041</v>
      </c>
      <c r="C189" s="65">
        <v>32272</v>
      </c>
      <c r="D189" s="65">
        <f t="shared" si="6"/>
        <v>448.22222222222223</v>
      </c>
      <c r="E189" s="67">
        <v>1.5</v>
      </c>
      <c r="F189" s="87">
        <v>4.05</v>
      </c>
      <c r="G189" s="87">
        <v>2.81</v>
      </c>
    </row>
    <row r="190" spans="1:7" s="1" customFormat="1">
      <c r="A190" s="105">
        <v>44501</v>
      </c>
      <c r="B190" s="65">
        <v>927</v>
      </c>
      <c r="C190" s="65">
        <v>27746</v>
      </c>
      <c r="D190" s="65">
        <f t="shared" si="6"/>
        <v>385.36111111111109</v>
      </c>
      <c r="E190" s="67">
        <v>1.5</v>
      </c>
      <c r="F190" s="87">
        <v>3.54</v>
      </c>
      <c r="G190" s="87">
        <v>4.97</v>
      </c>
    </row>
    <row r="191" spans="1:7" s="1" customFormat="1">
      <c r="A191" s="105">
        <v>44502</v>
      </c>
      <c r="B191" s="65">
        <v>682</v>
      </c>
      <c r="C191" s="65">
        <v>29989</v>
      </c>
      <c r="D191" s="65">
        <f t="shared" si="6"/>
        <v>416.51388888888891</v>
      </c>
      <c r="E191" s="67">
        <v>1.5</v>
      </c>
      <c r="F191" s="87">
        <v>6.1</v>
      </c>
      <c r="G191" s="87">
        <v>3.59</v>
      </c>
    </row>
    <row r="192" spans="1:7" s="1" customFormat="1">
      <c r="A192" s="105">
        <v>44503</v>
      </c>
      <c r="B192" s="65">
        <v>985</v>
      </c>
      <c r="C192" s="65">
        <v>26850</v>
      </c>
      <c r="D192" s="65">
        <f t="shared" si="6"/>
        <v>372.91666666666669</v>
      </c>
      <c r="E192" s="67">
        <v>1.5</v>
      </c>
      <c r="F192" s="87">
        <v>5.51</v>
      </c>
      <c r="G192" s="87">
        <v>2.2400000000000002</v>
      </c>
    </row>
    <row r="193" spans="1:7" s="1" customFormat="1">
      <c r="A193" s="105">
        <v>44504</v>
      </c>
      <c r="B193" s="65">
        <v>981</v>
      </c>
      <c r="C193" s="65">
        <v>24424</v>
      </c>
      <c r="D193" s="65">
        <f t="shared" si="6"/>
        <v>339.22222222222223</v>
      </c>
      <c r="E193" s="67">
        <v>1.5</v>
      </c>
      <c r="F193" s="87">
        <v>2.7</v>
      </c>
      <c r="G193" s="87">
        <v>5.23</v>
      </c>
    </row>
    <row r="194" spans="1:7" s="1" customFormat="1">
      <c r="A194" s="105">
        <v>44505</v>
      </c>
      <c r="B194" s="65">
        <v>912</v>
      </c>
      <c r="C194" s="65">
        <v>21597</v>
      </c>
      <c r="D194" s="65">
        <f t="shared" si="6"/>
        <v>299.95833333333331</v>
      </c>
      <c r="E194" s="67">
        <v>1.5</v>
      </c>
      <c r="F194" s="87">
        <v>3.48</v>
      </c>
      <c r="G194" s="87">
        <v>2.9</v>
      </c>
    </row>
    <row r="195" spans="1:7" s="1" customFormat="1">
      <c r="A195" s="105">
        <v>44506</v>
      </c>
      <c r="B195" s="65">
        <v>986</v>
      </c>
      <c r="C195" s="65">
        <v>26246</v>
      </c>
      <c r="D195" s="65">
        <f t="shared" ref="D195:D212" si="7">C195/7200000*100000</f>
        <v>364.52777777777777</v>
      </c>
      <c r="E195" s="67">
        <v>1.5</v>
      </c>
      <c r="F195" s="87">
        <v>5.71</v>
      </c>
      <c r="G195" s="87">
        <v>4.1900000000000004</v>
      </c>
    </row>
    <row r="196" spans="1:7" s="1" customFormat="1">
      <c r="A196" s="105">
        <v>44507</v>
      </c>
      <c r="B196" s="65">
        <v>1009</v>
      </c>
      <c r="C196" s="65">
        <v>13830</v>
      </c>
      <c r="D196" s="65">
        <f t="shared" si="7"/>
        <v>192.08333333333334</v>
      </c>
      <c r="E196" s="67">
        <v>1.5</v>
      </c>
      <c r="F196" s="87">
        <v>7.87</v>
      </c>
      <c r="G196" s="87">
        <v>5.17</v>
      </c>
    </row>
    <row r="197" spans="1:7" s="1" customFormat="1">
      <c r="A197" s="105">
        <v>44508</v>
      </c>
      <c r="B197" s="65">
        <v>1316</v>
      </c>
      <c r="C197" s="65">
        <v>5541</v>
      </c>
      <c r="D197" s="65">
        <f t="shared" si="7"/>
        <v>76.958333333333343</v>
      </c>
      <c r="E197" s="67">
        <v>1.5</v>
      </c>
      <c r="F197" s="87">
        <v>6.89</v>
      </c>
      <c r="G197" s="87">
        <v>1.89</v>
      </c>
    </row>
    <row r="198" spans="1:7" s="1" customFormat="1">
      <c r="A198" s="105">
        <v>44509</v>
      </c>
      <c r="B198" s="65">
        <v>1276</v>
      </c>
      <c r="C198" s="65">
        <v>20730</v>
      </c>
      <c r="D198" s="65">
        <f t="shared" si="7"/>
        <v>287.91666666666669</v>
      </c>
      <c r="E198" s="67">
        <v>1.5</v>
      </c>
      <c r="F198" s="87">
        <v>3.26</v>
      </c>
      <c r="G198" s="87">
        <v>4.6900000000000004</v>
      </c>
    </row>
    <row r="199" spans="1:7" s="1" customFormat="1">
      <c r="A199" s="105">
        <v>44510</v>
      </c>
      <c r="B199" s="65">
        <v>1414</v>
      </c>
      <c r="C199" s="65">
        <v>15926</v>
      </c>
      <c r="D199" s="65">
        <f t="shared" si="7"/>
        <v>221.19444444444443</v>
      </c>
      <c r="E199" s="67">
        <v>1.5</v>
      </c>
      <c r="F199" s="87">
        <v>1.73</v>
      </c>
      <c r="G199" s="87">
        <v>2.4900000000000002</v>
      </c>
    </row>
    <row r="200" spans="1:7" s="1" customFormat="1">
      <c r="A200" s="105">
        <v>44511</v>
      </c>
      <c r="B200" s="65">
        <v>1185</v>
      </c>
      <c r="C200" s="65">
        <v>16297</v>
      </c>
      <c r="D200" s="65">
        <f t="shared" si="7"/>
        <v>226.34722222222223</v>
      </c>
      <c r="E200" s="67">
        <v>1.5</v>
      </c>
      <c r="F200" s="87">
        <v>1.29</v>
      </c>
      <c r="G200" s="87">
        <v>2.81</v>
      </c>
    </row>
    <row r="201" spans="1:7" s="1" customFormat="1">
      <c r="A201" s="105">
        <v>44512</v>
      </c>
      <c r="B201" s="65">
        <v>1388</v>
      </c>
      <c r="C201" s="65">
        <v>46409</v>
      </c>
      <c r="D201" s="65">
        <f t="shared" si="7"/>
        <v>644.56944444444446</v>
      </c>
      <c r="E201" s="67">
        <v>1.5</v>
      </c>
      <c r="F201" s="87">
        <v>4.01</v>
      </c>
      <c r="G201" s="87">
        <v>2.16</v>
      </c>
    </row>
    <row r="202" spans="1:7" s="1" customFormat="1">
      <c r="A202" s="105">
        <v>44513</v>
      </c>
      <c r="B202" s="65">
        <v>1240</v>
      </c>
      <c r="C202" s="65">
        <v>24596</v>
      </c>
      <c r="D202" s="65">
        <f t="shared" si="7"/>
        <v>341.61111111111109</v>
      </c>
      <c r="E202" s="67">
        <v>1.5</v>
      </c>
      <c r="F202" s="87">
        <v>4.24</v>
      </c>
      <c r="G202" s="87">
        <v>5.73</v>
      </c>
    </row>
    <row r="203" spans="1:7" s="1" customFormat="1">
      <c r="A203" s="105">
        <v>44514</v>
      </c>
      <c r="B203" s="65">
        <v>985</v>
      </c>
      <c r="C203" s="65">
        <v>13743</v>
      </c>
      <c r="D203" s="65">
        <f t="shared" si="7"/>
        <v>190.875</v>
      </c>
      <c r="E203" s="67">
        <v>1.5</v>
      </c>
      <c r="F203" s="87">
        <v>5.64</v>
      </c>
      <c r="G203" s="87">
        <v>2.17</v>
      </c>
    </row>
    <row r="204" spans="1:7" s="1" customFormat="1">
      <c r="A204" s="105">
        <v>44515</v>
      </c>
      <c r="B204" s="65">
        <v>1165</v>
      </c>
      <c r="C204" s="65">
        <v>4920</v>
      </c>
      <c r="D204" s="65">
        <f t="shared" si="7"/>
        <v>68.333333333333329</v>
      </c>
      <c r="E204" s="67">
        <v>1.5</v>
      </c>
      <c r="F204" s="87">
        <v>5.68</v>
      </c>
      <c r="G204" s="87">
        <v>3.4</v>
      </c>
    </row>
    <row r="205" spans="1:7" s="1" customFormat="1">
      <c r="A205" s="105">
        <v>44516</v>
      </c>
      <c r="B205" s="65">
        <v>1183</v>
      </c>
      <c r="C205" s="65">
        <v>18184</v>
      </c>
      <c r="D205" s="65">
        <f t="shared" si="7"/>
        <v>252.55555555555557</v>
      </c>
      <c r="E205" s="67">
        <v>1.5</v>
      </c>
      <c r="F205" s="87">
        <v>2.75</v>
      </c>
      <c r="G205" s="87">
        <v>6.07</v>
      </c>
    </row>
    <row r="206" spans="1:7" s="1" customFormat="1">
      <c r="A206" s="105">
        <v>44517</v>
      </c>
      <c r="B206" s="65">
        <v>1337</v>
      </c>
      <c r="C206" s="65">
        <v>39113</v>
      </c>
      <c r="D206" s="65">
        <f t="shared" si="7"/>
        <v>543.23611111111109</v>
      </c>
      <c r="E206" s="67">
        <v>1.5</v>
      </c>
      <c r="F206" s="87">
        <v>3.93</v>
      </c>
      <c r="G206" s="87">
        <v>5.19</v>
      </c>
    </row>
    <row r="207" spans="1:7" s="1" customFormat="1">
      <c r="A207" s="105">
        <v>44518</v>
      </c>
      <c r="B207" s="65">
        <v>1609</v>
      </c>
      <c r="C207" s="65">
        <v>18451</v>
      </c>
      <c r="D207" s="65">
        <f t="shared" si="7"/>
        <v>256.26388888888891</v>
      </c>
      <c r="E207" s="67">
        <v>1.5</v>
      </c>
      <c r="F207" s="87">
        <v>8.01</v>
      </c>
      <c r="G207" s="87">
        <v>4.84</v>
      </c>
    </row>
    <row r="208" spans="1:7" s="1" customFormat="1">
      <c r="A208" s="105">
        <v>44519</v>
      </c>
      <c r="B208" s="65">
        <v>1339</v>
      </c>
      <c r="C208" s="65">
        <v>19214</v>
      </c>
      <c r="D208" s="65">
        <f t="shared" si="7"/>
        <v>266.86111111111114</v>
      </c>
      <c r="E208" s="67">
        <v>1.5</v>
      </c>
      <c r="F208" s="87">
        <v>3.53</v>
      </c>
      <c r="G208" s="87">
        <v>5.7</v>
      </c>
    </row>
    <row r="209" spans="1:7" s="1" customFormat="1">
      <c r="A209" s="105">
        <v>44520</v>
      </c>
      <c r="B209" s="86">
        <v>1046</v>
      </c>
      <c r="C209" s="86">
        <v>18328</v>
      </c>
      <c r="D209" s="65">
        <f t="shared" si="7"/>
        <v>254.55555555555557</v>
      </c>
      <c r="E209" s="67">
        <v>1</v>
      </c>
      <c r="F209" s="87">
        <v>4.8499999999999996</v>
      </c>
      <c r="G209" s="87">
        <v>4.66</v>
      </c>
    </row>
    <row r="210" spans="1:7" s="1" customFormat="1">
      <c r="A210" s="105">
        <v>44521</v>
      </c>
      <c r="B210" s="86">
        <v>1265</v>
      </c>
      <c r="C210" s="86">
        <v>9881</v>
      </c>
      <c r="D210" s="65">
        <f t="shared" si="7"/>
        <v>137.23611111111111</v>
      </c>
      <c r="E210" s="67">
        <v>1</v>
      </c>
      <c r="F210" s="87">
        <v>3.25</v>
      </c>
      <c r="G210" s="87">
        <v>0.54</v>
      </c>
    </row>
    <row r="211" spans="1:7" s="1" customFormat="1">
      <c r="A211" s="105">
        <v>44522</v>
      </c>
      <c r="B211" s="86">
        <v>1547</v>
      </c>
      <c r="C211" s="86">
        <v>7754</v>
      </c>
      <c r="D211" s="65">
        <f t="shared" si="7"/>
        <v>107.69444444444444</v>
      </c>
      <c r="E211" s="67">
        <v>1</v>
      </c>
      <c r="F211" s="87">
        <v>3.31</v>
      </c>
      <c r="G211" s="87">
        <v>1.91</v>
      </c>
    </row>
    <row r="212" spans="1:7" s="1" customFormat="1">
      <c r="A212" s="105">
        <v>44523</v>
      </c>
      <c r="B212" s="86">
        <v>1204</v>
      </c>
      <c r="C212" s="86">
        <v>23182</v>
      </c>
      <c r="D212" s="65">
        <f t="shared" si="7"/>
        <v>321.97222222222223</v>
      </c>
      <c r="E212" s="67">
        <v>1</v>
      </c>
      <c r="F212" s="87">
        <v>5.57</v>
      </c>
      <c r="G212" s="87">
        <v>2.62</v>
      </c>
    </row>
  </sheetData>
  <mergeCells count="3">
    <mergeCell ref="I2:K2"/>
    <mergeCell ref="I6:K6"/>
    <mergeCell ref="L2:O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91F-FBAD-4D3D-86AE-4A88551C98D4}">
  <dimension ref="A1:R214"/>
  <sheetViews>
    <sheetView showGridLines="0" zoomScale="60" zoomScaleNormal="60" workbookViewId="0">
      <selection activeCell="H19" sqref="H19"/>
    </sheetView>
  </sheetViews>
  <sheetFormatPr defaultColWidth="9.125" defaultRowHeight="14.25"/>
  <cols>
    <col min="1" max="1" width="13.125" style="44" customWidth="1"/>
    <col min="2" max="3" width="12.375" style="44" customWidth="1"/>
    <col min="4" max="4" width="12.375" style="92" customWidth="1"/>
    <col min="5" max="8" width="12.375" style="44" customWidth="1"/>
    <col min="9" max="10" width="12.375" style="45" customWidth="1"/>
    <col min="11" max="11" width="9.875" style="44" hidden="1" customWidth="1"/>
    <col min="12" max="12" width="10.875" style="44" hidden="1" customWidth="1"/>
    <col min="13" max="13" width="10.125" style="44" customWidth="1"/>
    <col min="14" max="17" width="9.125" style="44"/>
    <col min="18" max="18" width="8.875" style="44" customWidth="1"/>
    <col min="19" max="23" width="9.125" style="44"/>
    <col min="24" max="24" width="8.875" style="44" customWidth="1"/>
    <col min="25" max="16384" width="9.125" style="44"/>
  </cols>
  <sheetData>
    <row r="1" spans="1:12" ht="16.5">
      <c r="A1" s="51" t="s">
        <v>112</v>
      </c>
      <c r="B1" s="51"/>
      <c r="C1" s="51"/>
      <c r="D1" s="93"/>
      <c r="E1" s="51"/>
      <c r="F1" s="51"/>
      <c r="G1" s="51"/>
      <c r="H1" s="51"/>
      <c r="I1" s="52"/>
      <c r="J1" s="52"/>
      <c r="K1" s="53"/>
      <c r="L1" s="53"/>
    </row>
    <row r="2" spans="1:12">
      <c r="A2" s="53"/>
      <c r="B2" s="53">
        <f t="shared" ref="B2:C2" si="0">MAX(B4:B214)</f>
        <v>8510</v>
      </c>
      <c r="C2" s="53">
        <f t="shared" si="0"/>
        <v>34040</v>
      </c>
      <c r="E2" s="53"/>
      <c r="F2" s="53"/>
      <c r="G2" s="53"/>
      <c r="H2" s="53"/>
      <c r="I2" s="45">
        <f>MAX(I4:I214)</f>
        <v>3368.9928594444445</v>
      </c>
      <c r="J2" s="45">
        <f>MAX(J4:J214)</f>
        <v>8131.2651033333323</v>
      </c>
      <c r="K2" s="54">
        <f>SUM(K6:K214)</f>
        <v>8292.4763833020588</v>
      </c>
      <c r="L2" s="54"/>
    </row>
    <row r="3" spans="1:12" s="49" customFormat="1" ht="42.75">
      <c r="A3" s="112" t="s">
        <v>14</v>
      </c>
      <c r="B3" s="112" t="s">
        <v>34</v>
      </c>
      <c r="C3" s="112" t="s">
        <v>102</v>
      </c>
      <c r="D3" s="113" t="s">
        <v>105</v>
      </c>
      <c r="E3" s="112" t="s">
        <v>32</v>
      </c>
      <c r="F3" s="112" t="s">
        <v>107</v>
      </c>
      <c r="G3" s="112" t="s">
        <v>108</v>
      </c>
      <c r="H3" s="113" t="s">
        <v>31</v>
      </c>
      <c r="I3" s="113" t="s">
        <v>30</v>
      </c>
      <c r="J3" s="113" t="s">
        <v>29</v>
      </c>
      <c r="K3" s="113" t="s">
        <v>35</v>
      </c>
      <c r="L3" s="113" t="s">
        <v>80</v>
      </c>
    </row>
    <row r="4" spans="1:12" ht="15">
      <c r="A4" s="114">
        <v>44313</v>
      </c>
      <c r="B4" s="56">
        <v>0</v>
      </c>
      <c r="C4" s="56">
        <f>B4*4</f>
        <v>0</v>
      </c>
      <c r="D4" s="94">
        <v>111.7638888888889</v>
      </c>
      <c r="E4" s="58">
        <v>2</v>
      </c>
      <c r="F4" s="89">
        <v>3.41</v>
      </c>
      <c r="G4" s="89">
        <v>2.76</v>
      </c>
      <c r="H4" s="59"/>
      <c r="I4" s="60"/>
      <c r="J4" s="60">
        <f>B4</f>
        <v>0</v>
      </c>
      <c r="K4" s="60">
        <f t="shared" ref="K4:K67" si="1">SQRT((J4-B4)^2/209)</f>
        <v>0</v>
      </c>
      <c r="L4" s="60">
        <f t="shared" ref="L4:L67" si="2">J4-B4</f>
        <v>0</v>
      </c>
    </row>
    <row r="5" spans="1:12" ht="15">
      <c r="A5" s="114">
        <v>44314</v>
      </c>
      <c r="B5" s="56">
        <v>0</v>
      </c>
      <c r="C5" s="56">
        <f t="shared" ref="C5:C68" si="3">B5*4</f>
        <v>0</v>
      </c>
      <c r="D5" s="94">
        <v>111.05224867724866</v>
      </c>
      <c r="E5" s="58">
        <v>2</v>
      </c>
      <c r="F5" s="89">
        <v>6.02</v>
      </c>
      <c r="G5" s="89">
        <v>3.89</v>
      </c>
      <c r="H5" s="59"/>
      <c r="I5" s="60"/>
      <c r="J5" s="60">
        <f>B5</f>
        <v>0</v>
      </c>
      <c r="K5" s="60">
        <f t="shared" si="1"/>
        <v>0</v>
      </c>
      <c r="L5" s="60">
        <f t="shared" si="2"/>
        <v>0</v>
      </c>
    </row>
    <row r="6" spans="1:12" ht="15">
      <c r="A6" s="114">
        <v>44315</v>
      </c>
      <c r="B6" s="56">
        <v>1</v>
      </c>
      <c r="C6" s="56">
        <f t="shared" si="3"/>
        <v>4</v>
      </c>
      <c r="D6" s="94">
        <v>111.71362433862431</v>
      </c>
      <c r="E6" s="58">
        <v>2</v>
      </c>
      <c r="F6" s="89">
        <v>7.04</v>
      </c>
      <c r="G6" s="89">
        <v>2.5099999999999998</v>
      </c>
      <c r="H6" s="59">
        <f t="shared" ref="H6:H69" si="4">10.4+B5-0.6276*(B5-B4)</f>
        <v>10.4</v>
      </c>
      <c r="I6" s="60">
        <f>0.361*D4+0.577*E4-0.03*F4+0.091*G4</f>
        <v>41.649623888888897</v>
      </c>
      <c r="J6" s="60">
        <f>SUM(H6:I6)</f>
        <v>52.049623888888895</v>
      </c>
      <c r="K6" s="60">
        <f t="shared" si="1"/>
        <v>3.531176321886754</v>
      </c>
      <c r="L6" s="60">
        <f t="shared" si="2"/>
        <v>51.049623888888895</v>
      </c>
    </row>
    <row r="7" spans="1:12" ht="15">
      <c r="A7" s="114">
        <v>44316</v>
      </c>
      <c r="B7" s="56">
        <v>2</v>
      </c>
      <c r="C7" s="56">
        <f t="shared" si="3"/>
        <v>8</v>
      </c>
      <c r="D7" s="94">
        <v>104.45039682539681</v>
      </c>
      <c r="E7" s="58">
        <v>2</v>
      </c>
      <c r="F7" s="89">
        <v>2.2799999999999998</v>
      </c>
      <c r="G7" s="89">
        <v>0.4</v>
      </c>
      <c r="H7" s="59">
        <f t="shared" si="4"/>
        <v>10.772400000000001</v>
      </c>
      <c r="I7" s="60">
        <f t="shared" ref="I7:I70" si="5">0.361*D5+0.577*E5-0.03*F5+0.091*G5</f>
        <v>41.417251772486772</v>
      </c>
      <c r="J7" s="60">
        <f t="shared" ref="J7:J70" si="6">SUM(H7:I7)</f>
        <v>52.189651772486769</v>
      </c>
      <c r="K7" s="60">
        <f t="shared" si="1"/>
        <v>3.4716908067430672</v>
      </c>
      <c r="L7" s="60">
        <f t="shared" si="2"/>
        <v>50.189651772486769</v>
      </c>
    </row>
    <row r="8" spans="1:12" ht="15">
      <c r="A8" s="114">
        <v>44317</v>
      </c>
      <c r="B8" s="56">
        <v>3</v>
      </c>
      <c r="C8" s="56">
        <f t="shared" si="3"/>
        <v>12</v>
      </c>
      <c r="D8" s="94">
        <v>97.984126984126945</v>
      </c>
      <c r="E8" s="58">
        <v>2</v>
      </c>
      <c r="F8" s="89">
        <v>1.1599999999999999</v>
      </c>
      <c r="G8" s="89">
        <v>4.82</v>
      </c>
      <c r="H8" s="59">
        <f t="shared" si="4"/>
        <v>11.772400000000001</v>
      </c>
      <c r="I8" s="60">
        <f t="shared" si="5"/>
        <v>41.499828386243372</v>
      </c>
      <c r="J8" s="60">
        <f>SUM(H8:I8)</f>
        <v>53.27222838624337</v>
      </c>
      <c r="K8" s="60">
        <f t="shared" si="1"/>
        <v>3.4774027505543192</v>
      </c>
      <c r="L8" s="60">
        <f t="shared" si="2"/>
        <v>50.27222838624337</v>
      </c>
    </row>
    <row r="9" spans="1:12" ht="15">
      <c r="A9" s="114">
        <v>44318</v>
      </c>
      <c r="B9" s="56">
        <v>0</v>
      </c>
      <c r="C9" s="56">
        <f t="shared" si="3"/>
        <v>0</v>
      </c>
      <c r="D9" s="94">
        <v>89.488095238095212</v>
      </c>
      <c r="E9" s="58">
        <v>2</v>
      </c>
      <c r="F9" s="89">
        <v>5.97</v>
      </c>
      <c r="G9" s="89">
        <v>5.16</v>
      </c>
      <c r="H9" s="59">
        <f t="shared" si="4"/>
        <v>12.772400000000001</v>
      </c>
      <c r="I9" s="60">
        <f t="shared" si="5"/>
        <v>38.828593253968251</v>
      </c>
      <c r="J9" s="60">
        <f t="shared" si="6"/>
        <v>51.600993253968255</v>
      </c>
      <c r="K9" s="60">
        <f t="shared" si="1"/>
        <v>3.5693153383625589</v>
      </c>
      <c r="L9" s="60">
        <f t="shared" si="2"/>
        <v>51.600993253968255</v>
      </c>
    </row>
    <row r="10" spans="1:12" ht="15">
      <c r="A10" s="114">
        <v>44319</v>
      </c>
      <c r="B10" s="56">
        <v>0</v>
      </c>
      <c r="C10" s="56">
        <f t="shared" si="3"/>
        <v>0</v>
      </c>
      <c r="D10" s="94">
        <v>47.549603174603149</v>
      </c>
      <c r="E10" s="58">
        <v>2</v>
      </c>
      <c r="F10" s="89">
        <v>0.9</v>
      </c>
      <c r="G10" s="89">
        <v>2.87</v>
      </c>
      <c r="H10" s="59">
        <f t="shared" si="4"/>
        <v>12.2828</v>
      </c>
      <c r="I10" s="60">
        <f t="shared" si="5"/>
        <v>36.930089841269826</v>
      </c>
      <c r="J10" s="60">
        <f t="shared" si="6"/>
        <v>49.212889841269828</v>
      </c>
      <c r="K10" s="60">
        <f t="shared" si="1"/>
        <v>3.4041267711854153</v>
      </c>
      <c r="L10" s="60">
        <f t="shared" si="2"/>
        <v>49.212889841269828</v>
      </c>
    </row>
    <row r="11" spans="1:12" ht="15">
      <c r="A11" s="114">
        <v>44320</v>
      </c>
      <c r="B11" s="56">
        <v>3</v>
      </c>
      <c r="C11" s="56">
        <f t="shared" si="3"/>
        <v>12</v>
      </c>
      <c r="D11" s="94">
        <v>14.472222222222195</v>
      </c>
      <c r="E11" s="58">
        <v>2</v>
      </c>
      <c r="F11" s="89">
        <v>4.92</v>
      </c>
      <c r="G11" s="89">
        <v>2.86</v>
      </c>
      <c r="H11" s="59">
        <f t="shared" si="4"/>
        <v>10.4</v>
      </c>
      <c r="I11" s="60">
        <f>0.361*D9+0.577*E9-0.03*F9+0.091*G9</f>
        <v>33.74966238095238</v>
      </c>
      <c r="J11" s="60">
        <f t="shared" si="6"/>
        <v>44.149662380952378</v>
      </c>
      <c r="K11" s="60">
        <f t="shared" si="1"/>
        <v>2.8463816652110454</v>
      </c>
      <c r="L11" s="60">
        <f t="shared" si="2"/>
        <v>41.149662380952378</v>
      </c>
    </row>
    <row r="12" spans="1:12" ht="15">
      <c r="A12" s="114">
        <v>44321</v>
      </c>
      <c r="B12" s="56">
        <v>1</v>
      </c>
      <c r="C12" s="56">
        <f t="shared" si="3"/>
        <v>4</v>
      </c>
      <c r="D12" s="94">
        <v>21.616402116402096</v>
      </c>
      <c r="E12" s="58">
        <v>2</v>
      </c>
      <c r="F12" s="89">
        <v>6.29</v>
      </c>
      <c r="G12" s="89">
        <v>0.9</v>
      </c>
      <c r="H12" s="59">
        <f t="shared" si="4"/>
        <v>11.517200000000001</v>
      </c>
      <c r="I12" s="60">
        <f t="shared" si="5"/>
        <v>18.553576746031734</v>
      </c>
      <c r="J12" s="60">
        <f t="shared" si="6"/>
        <v>30.070776746031733</v>
      </c>
      <c r="K12" s="60">
        <f t="shared" si="1"/>
        <v>2.0108676751051693</v>
      </c>
      <c r="L12" s="60">
        <f t="shared" si="2"/>
        <v>29.070776746031733</v>
      </c>
    </row>
    <row r="13" spans="1:12" ht="15">
      <c r="A13" s="114">
        <v>44322</v>
      </c>
      <c r="B13" s="56">
        <v>0</v>
      </c>
      <c r="C13" s="56">
        <f t="shared" si="3"/>
        <v>0</v>
      </c>
      <c r="D13" s="94">
        <v>24.089947089947081</v>
      </c>
      <c r="E13" s="58">
        <v>2</v>
      </c>
      <c r="F13" s="89">
        <v>6.04</v>
      </c>
      <c r="G13" s="89">
        <v>4.53</v>
      </c>
      <c r="H13" s="59">
        <f t="shared" si="4"/>
        <v>12.655200000000001</v>
      </c>
      <c r="I13" s="60">
        <f t="shared" si="5"/>
        <v>6.4911322222222116</v>
      </c>
      <c r="J13" s="60">
        <f t="shared" si="6"/>
        <v>19.146332222222213</v>
      </c>
      <c r="K13" s="60">
        <f t="shared" si="1"/>
        <v>1.3243794928096189</v>
      </c>
      <c r="L13" s="60">
        <f t="shared" si="2"/>
        <v>19.146332222222213</v>
      </c>
    </row>
    <row r="14" spans="1:12" ht="15">
      <c r="A14" s="114">
        <v>44323</v>
      </c>
      <c r="B14" s="56">
        <v>2</v>
      </c>
      <c r="C14" s="56">
        <f t="shared" si="3"/>
        <v>8</v>
      </c>
      <c r="D14" s="94">
        <v>26.474206349206348</v>
      </c>
      <c r="E14" s="58">
        <v>2</v>
      </c>
      <c r="F14" s="89">
        <v>3.08</v>
      </c>
      <c r="G14" s="89">
        <v>2.2000000000000002</v>
      </c>
      <c r="H14" s="59">
        <f t="shared" si="4"/>
        <v>11.0276</v>
      </c>
      <c r="I14" s="60">
        <f t="shared" si="5"/>
        <v>8.8507211640211541</v>
      </c>
      <c r="J14" s="60">
        <f t="shared" si="6"/>
        <v>19.878321164021152</v>
      </c>
      <c r="K14" s="60">
        <f t="shared" si="1"/>
        <v>1.2366693338796386</v>
      </c>
      <c r="L14" s="60">
        <f t="shared" si="2"/>
        <v>17.878321164021152</v>
      </c>
    </row>
    <row r="15" spans="1:12" ht="15">
      <c r="A15" s="114">
        <v>44324</v>
      </c>
      <c r="B15" s="56">
        <v>1</v>
      </c>
      <c r="C15" s="56">
        <f t="shared" si="3"/>
        <v>4</v>
      </c>
      <c r="D15" s="94">
        <v>27.531746031746032</v>
      </c>
      <c r="E15" s="58">
        <v>2</v>
      </c>
      <c r="F15" s="89">
        <v>2.66</v>
      </c>
      <c r="G15" s="89">
        <v>5.15</v>
      </c>
      <c r="H15" s="59">
        <f t="shared" si="4"/>
        <v>11.1448</v>
      </c>
      <c r="I15" s="60">
        <f t="shared" si="5"/>
        <v>10.081500899470894</v>
      </c>
      <c r="J15" s="60">
        <f t="shared" si="6"/>
        <v>21.226300899470893</v>
      </c>
      <c r="K15" s="60">
        <f t="shared" si="1"/>
        <v>1.3990824882671411</v>
      </c>
      <c r="L15" s="60">
        <f t="shared" si="2"/>
        <v>20.226300899470893</v>
      </c>
    </row>
    <row r="16" spans="1:12" ht="15">
      <c r="A16" s="114">
        <v>44325</v>
      </c>
      <c r="B16" s="56">
        <v>0</v>
      </c>
      <c r="C16" s="56">
        <f t="shared" si="3"/>
        <v>0</v>
      </c>
      <c r="D16" s="94">
        <v>27.271825396825399</v>
      </c>
      <c r="E16" s="58">
        <v>2</v>
      </c>
      <c r="F16" s="89">
        <v>2.29</v>
      </c>
      <c r="G16" s="89">
        <v>2.5</v>
      </c>
      <c r="H16" s="59">
        <f t="shared" si="4"/>
        <v>12.0276</v>
      </c>
      <c r="I16" s="60">
        <f t="shared" si="5"/>
        <v>10.818988492063491</v>
      </c>
      <c r="J16" s="60">
        <f t="shared" si="6"/>
        <v>22.846588492063489</v>
      </c>
      <c r="K16" s="60">
        <f t="shared" si="1"/>
        <v>1.5803315709956527</v>
      </c>
      <c r="L16" s="60">
        <f t="shared" si="2"/>
        <v>22.846588492063489</v>
      </c>
    </row>
    <row r="17" spans="1:18" ht="15">
      <c r="A17" s="114">
        <v>44326</v>
      </c>
      <c r="B17" s="56">
        <v>0</v>
      </c>
      <c r="C17" s="56">
        <f t="shared" si="3"/>
        <v>0</v>
      </c>
      <c r="D17" s="94">
        <v>24.819444444444443</v>
      </c>
      <c r="E17" s="58">
        <v>2</v>
      </c>
      <c r="F17" s="89">
        <v>4.33</v>
      </c>
      <c r="G17" s="89">
        <v>4.13</v>
      </c>
      <c r="H17" s="59">
        <f t="shared" si="4"/>
        <v>11.0276</v>
      </c>
      <c r="I17" s="60">
        <f t="shared" si="5"/>
        <v>11.481810317460317</v>
      </c>
      <c r="J17" s="60">
        <f t="shared" si="6"/>
        <v>22.509410317460315</v>
      </c>
      <c r="K17" s="60">
        <f t="shared" si="1"/>
        <v>1.5570084689683552</v>
      </c>
      <c r="L17" s="60">
        <f t="shared" si="2"/>
        <v>22.509410317460315</v>
      </c>
    </row>
    <row r="18" spans="1:18" ht="15">
      <c r="A18" s="114">
        <v>44327</v>
      </c>
      <c r="B18" s="56">
        <v>3</v>
      </c>
      <c r="C18" s="56">
        <f t="shared" si="3"/>
        <v>12</v>
      </c>
      <c r="D18" s="94">
        <v>19.960317460317459</v>
      </c>
      <c r="E18" s="58">
        <v>2</v>
      </c>
      <c r="F18" s="89">
        <v>1.82</v>
      </c>
      <c r="G18" s="89">
        <v>3.23</v>
      </c>
      <c r="H18" s="59">
        <f t="shared" si="4"/>
        <v>10.4</v>
      </c>
      <c r="I18" s="60">
        <f t="shared" si="5"/>
        <v>11.157928968253968</v>
      </c>
      <c r="J18" s="60">
        <f t="shared" si="6"/>
        <v>21.557928968253968</v>
      </c>
      <c r="K18" s="60">
        <f t="shared" si="1"/>
        <v>1.2836787886740488</v>
      </c>
      <c r="L18" s="60">
        <f t="shared" si="2"/>
        <v>18.557928968253968</v>
      </c>
    </row>
    <row r="19" spans="1:18" ht="15">
      <c r="A19" s="114">
        <v>44328</v>
      </c>
      <c r="B19" s="56">
        <v>0</v>
      </c>
      <c r="C19" s="56">
        <f t="shared" si="3"/>
        <v>0</v>
      </c>
      <c r="D19" s="94">
        <v>13.480158730158731</v>
      </c>
      <c r="E19" s="58">
        <v>2</v>
      </c>
      <c r="F19" s="89">
        <v>5.88</v>
      </c>
      <c r="G19" s="89">
        <v>4.34</v>
      </c>
      <c r="H19" s="59">
        <f t="shared" si="4"/>
        <v>11.517200000000001</v>
      </c>
      <c r="I19" s="60">
        <f t="shared" si="5"/>
        <v>10.359749444444445</v>
      </c>
      <c r="J19" s="60">
        <f t="shared" si="6"/>
        <v>21.876949444444445</v>
      </c>
      <c r="K19" s="60">
        <f t="shared" si="1"/>
        <v>1.5132602355989109</v>
      </c>
      <c r="L19" s="60">
        <f t="shared" si="2"/>
        <v>21.876949444444445</v>
      </c>
    </row>
    <row r="20" spans="1:18" ht="15">
      <c r="A20" s="114">
        <v>44329</v>
      </c>
      <c r="B20" s="56">
        <v>0</v>
      </c>
      <c r="C20" s="56">
        <f t="shared" si="3"/>
        <v>0</v>
      </c>
      <c r="D20" s="94">
        <v>11.416666666666668</v>
      </c>
      <c r="E20" s="58">
        <v>2</v>
      </c>
      <c r="F20" s="89">
        <v>4.74</v>
      </c>
      <c r="G20" s="89">
        <v>4.75</v>
      </c>
      <c r="H20" s="59">
        <f t="shared" si="4"/>
        <v>12.2828</v>
      </c>
      <c r="I20" s="60">
        <f t="shared" si="5"/>
        <v>8.5990046031746008</v>
      </c>
      <c r="J20" s="60">
        <f t="shared" si="6"/>
        <v>20.881804603174601</v>
      </c>
      <c r="K20" s="60">
        <f t="shared" si="1"/>
        <v>1.4444246275641048</v>
      </c>
      <c r="L20" s="60">
        <f t="shared" si="2"/>
        <v>20.881804603174601</v>
      </c>
    </row>
    <row r="21" spans="1:18" ht="15">
      <c r="A21" s="114">
        <v>44330</v>
      </c>
      <c r="B21" s="56">
        <v>0</v>
      </c>
      <c r="C21" s="56">
        <f t="shared" si="3"/>
        <v>0</v>
      </c>
      <c r="D21" s="94">
        <v>11.547619047619047</v>
      </c>
      <c r="E21" s="58">
        <v>2</v>
      </c>
      <c r="F21" s="89">
        <v>3.67</v>
      </c>
      <c r="G21" s="89">
        <v>4.66</v>
      </c>
      <c r="H21" s="59">
        <f t="shared" si="4"/>
        <v>10.4</v>
      </c>
      <c r="I21" s="60">
        <f t="shared" si="5"/>
        <v>6.2388773015873014</v>
      </c>
      <c r="J21" s="60">
        <f t="shared" si="6"/>
        <v>16.6388773015873</v>
      </c>
      <c r="K21" s="60">
        <f t="shared" si="1"/>
        <v>1.150935209200086</v>
      </c>
      <c r="L21" s="60">
        <f t="shared" si="2"/>
        <v>16.6388773015873</v>
      </c>
    </row>
    <row r="22" spans="1:18" ht="15">
      <c r="A22" s="114">
        <v>44331</v>
      </c>
      <c r="B22" s="56">
        <v>0</v>
      </c>
      <c r="C22" s="56">
        <f t="shared" si="3"/>
        <v>0</v>
      </c>
      <c r="D22" s="94">
        <v>12.486111111111111</v>
      </c>
      <c r="E22" s="58">
        <v>2</v>
      </c>
      <c r="F22" s="89">
        <v>8.32</v>
      </c>
      <c r="G22" s="89">
        <v>4.28</v>
      </c>
      <c r="H22" s="59">
        <f t="shared" si="4"/>
        <v>10.4</v>
      </c>
      <c r="I22" s="60">
        <f t="shared" si="5"/>
        <v>5.5654666666666666</v>
      </c>
      <c r="J22" s="60">
        <f t="shared" si="6"/>
        <v>15.965466666666668</v>
      </c>
      <c r="K22" s="60">
        <f t="shared" si="1"/>
        <v>1.1043544215705019</v>
      </c>
      <c r="L22" s="60">
        <f t="shared" si="2"/>
        <v>15.965466666666668</v>
      </c>
    </row>
    <row r="23" spans="1:18" ht="15">
      <c r="A23" s="114">
        <v>44332</v>
      </c>
      <c r="B23" s="56">
        <v>0</v>
      </c>
      <c r="C23" s="56">
        <f t="shared" si="3"/>
        <v>0</v>
      </c>
      <c r="D23" s="94">
        <v>12.53950746965454</v>
      </c>
      <c r="E23" s="58">
        <v>2</v>
      </c>
      <c r="F23" s="89">
        <v>6.8</v>
      </c>
      <c r="G23" s="89">
        <v>4.78</v>
      </c>
      <c r="H23" s="59">
        <f t="shared" si="4"/>
        <v>10.4</v>
      </c>
      <c r="I23" s="60">
        <f t="shared" si="5"/>
        <v>5.6366504761904759</v>
      </c>
      <c r="J23" s="60">
        <f t="shared" si="6"/>
        <v>16.036650476190477</v>
      </c>
      <c r="K23" s="60">
        <f t="shared" si="1"/>
        <v>1.1092783086345726</v>
      </c>
      <c r="L23" s="60">
        <f t="shared" si="2"/>
        <v>16.036650476190477</v>
      </c>
    </row>
    <row r="24" spans="1:18" ht="15">
      <c r="A24" s="114">
        <v>44333</v>
      </c>
      <c r="B24" s="56">
        <v>2</v>
      </c>
      <c r="C24" s="56">
        <f t="shared" si="3"/>
        <v>8</v>
      </c>
      <c r="D24" s="94">
        <v>12.100840336134478</v>
      </c>
      <c r="E24" s="58">
        <v>2</v>
      </c>
      <c r="F24" s="89">
        <v>8.0299999999999994</v>
      </c>
      <c r="G24" s="89">
        <v>4.72</v>
      </c>
      <c r="H24" s="59">
        <f t="shared" si="4"/>
        <v>10.4</v>
      </c>
      <c r="I24" s="60">
        <f t="shared" si="5"/>
        <v>5.8013661111111103</v>
      </c>
      <c r="J24" s="60">
        <f t="shared" si="6"/>
        <v>16.20136611111111</v>
      </c>
      <c r="K24" s="60">
        <f t="shared" si="1"/>
        <v>0.98232903457130627</v>
      </c>
      <c r="L24" s="60">
        <f t="shared" si="2"/>
        <v>14.20136611111111</v>
      </c>
    </row>
    <row r="25" spans="1:18" ht="15">
      <c r="A25" s="114">
        <v>44334</v>
      </c>
      <c r="B25" s="56">
        <v>1</v>
      </c>
      <c r="C25" s="56">
        <f t="shared" si="3"/>
        <v>4</v>
      </c>
      <c r="D25" s="94">
        <v>8.7832049486461603</v>
      </c>
      <c r="E25" s="58">
        <v>2</v>
      </c>
      <c r="F25" s="89">
        <v>6.33</v>
      </c>
      <c r="G25" s="89">
        <v>0.26</v>
      </c>
      <c r="H25" s="59">
        <f t="shared" si="4"/>
        <v>11.1448</v>
      </c>
      <c r="I25" s="60">
        <f t="shared" si="5"/>
        <v>5.9117421965452888</v>
      </c>
      <c r="J25" s="60">
        <f t="shared" si="6"/>
        <v>17.056542196545287</v>
      </c>
      <c r="K25" s="60">
        <f t="shared" si="1"/>
        <v>1.1106542477026329</v>
      </c>
      <c r="L25" s="60">
        <f t="shared" si="2"/>
        <v>16.056542196545287</v>
      </c>
    </row>
    <row r="26" spans="1:18" ht="15">
      <c r="A26" s="114">
        <v>44335</v>
      </c>
      <c r="B26" s="56">
        <v>1</v>
      </c>
      <c r="C26" s="56">
        <f t="shared" si="3"/>
        <v>4</v>
      </c>
      <c r="D26" s="94">
        <v>7.8623949579832422</v>
      </c>
      <c r="E26" s="58">
        <v>2</v>
      </c>
      <c r="F26" s="89">
        <v>4.54</v>
      </c>
      <c r="G26" s="89">
        <v>1.85</v>
      </c>
      <c r="H26" s="59">
        <f t="shared" si="4"/>
        <v>12.0276</v>
      </c>
      <c r="I26" s="60">
        <f t="shared" si="5"/>
        <v>5.7110233613445462</v>
      </c>
      <c r="J26" s="60">
        <f t="shared" si="6"/>
        <v>17.738623361344544</v>
      </c>
      <c r="K26" s="60">
        <f t="shared" si="1"/>
        <v>1.1578347884248594</v>
      </c>
      <c r="L26" s="60">
        <f t="shared" si="2"/>
        <v>16.738623361344544</v>
      </c>
    </row>
    <row r="27" spans="1:18" ht="15">
      <c r="A27" s="114">
        <v>44336</v>
      </c>
      <c r="B27" s="56">
        <v>3</v>
      </c>
      <c r="C27" s="56">
        <f t="shared" si="3"/>
        <v>12</v>
      </c>
      <c r="D27" s="94">
        <v>7.1955532212885753</v>
      </c>
      <c r="E27" s="58">
        <v>2</v>
      </c>
      <c r="F27" s="89">
        <v>2.1800000000000002</v>
      </c>
      <c r="G27" s="89">
        <v>2.9</v>
      </c>
      <c r="H27" s="59">
        <f t="shared" si="4"/>
        <v>11.4</v>
      </c>
      <c r="I27" s="60">
        <f t="shared" si="5"/>
        <v>4.1584969864612633</v>
      </c>
      <c r="J27" s="60">
        <f t="shared" si="6"/>
        <v>15.558496986461265</v>
      </c>
      <c r="K27" s="60">
        <f t="shared" si="1"/>
        <v>0.86868940099537684</v>
      </c>
      <c r="L27" s="60">
        <f t="shared" si="2"/>
        <v>12.558496986461265</v>
      </c>
      <c r="R27" s="107"/>
    </row>
    <row r="28" spans="1:18" ht="15">
      <c r="A28" s="114">
        <v>44337</v>
      </c>
      <c r="B28" s="56">
        <v>0</v>
      </c>
      <c r="C28" s="56">
        <f t="shared" si="3"/>
        <v>0</v>
      </c>
      <c r="D28" s="94">
        <v>4.4235527544351791</v>
      </c>
      <c r="E28" s="58">
        <v>2</v>
      </c>
      <c r="F28" s="89">
        <v>4.22</v>
      </c>
      <c r="G28" s="89">
        <v>0.45</v>
      </c>
      <c r="H28" s="59">
        <f t="shared" si="4"/>
        <v>12.1448</v>
      </c>
      <c r="I28" s="60">
        <f t="shared" si="5"/>
        <v>4.0244745798319501</v>
      </c>
      <c r="J28" s="60">
        <f t="shared" si="6"/>
        <v>16.169274579831949</v>
      </c>
      <c r="K28" s="60">
        <f t="shared" si="1"/>
        <v>1.1184521097091806</v>
      </c>
      <c r="L28" s="60">
        <f t="shared" si="2"/>
        <v>16.169274579831949</v>
      </c>
    </row>
    <row r="29" spans="1:18" ht="15">
      <c r="A29" s="114">
        <v>44338</v>
      </c>
      <c r="B29" s="56">
        <v>0</v>
      </c>
      <c r="C29" s="56">
        <f t="shared" si="3"/>
        <v>0</v>
      </c>
      <c r="D29" s="94">
        <v>2.8321078431373379</v>
      </c>
      <c r="E29" s="58">
        <v>2</v>
      </c>
      <c r="F29" s="89">
        <v>4.43</v>
      </c>
      <c r="G29" s="89">
        <v>1.53</v>
      </c>
      <c r="H29" s="59">
        <f t="shared" si="4"/>
        <v>12.2828</v>
      </c>
      <c r="I29" s="60">
        <f t="shared" si="5"/>
        <v>3.9500947128851758</v>
      </c>
      <c r="J29" s="60">
        <f t="shared" si="6"/>
        <v>16.232894712885177</v>
      </c>
      <c r="K29" s="60">
        <f t="shared" si="1"/>
        <v>1.1228528063317809</v>
      </c>
      <c r="L29" s="60">
        <f t="shared" si="2"/>
        <v>16.232894712885177</v>
      </c>
    </row>
    <row r="30" spans="1:18" ht="15">
      <c r="A30" s="114">
        <v>44339</v>
      </c>
      <c r="B30" s="56">
        <v>0</v>
      </c>
      <c r="C30" s="56">
        <f t="shared" si="3"/>
        <v>0</v>
      </c>
      <c r="D30" s="94">
        <v>2.8321078431373379</v>
      </c>
      <c r="E30" s="58">
        <v>2</v>
      </c>
      <c r="F30" s="89">
        <v>2.95</v>
      </c>
      <c r="G30" s="89">
        <v>1.56</v>
      </c>
      <c r="H30" s="59">
        <f t="shared" si="4"/>
        <v>10.4</v>
      </c>
      <c r="I30" s="60">
        <f t="shared" si="5"/>
        <v>2.6652525443510995</v>
      </c>
      <c r="J30" s="60">
        <f t="shared" si="6"/>
        <v>13.0652525443511</v>
      </c>
      <c r="K30" s="60">
        <f t="shared" si="1"/>
        <v>0.9037424158990689</v>
      </c>
      <c r="L30" s="60">
        <f t="shared" si="2"/>
        <v>13.0652525443511</v>
      </c>
    </row>
    <row r="31" spans="1:18" ht="15">
      <c r="A31" s="114">
        <v>44340</v>
      </c>
      <c r="B31" s="56">
        <v>1</v>
      </c>
      <c r="C31" s="56">
        <f t="shared" si="3"/>
        <v>4</v>
      </c>
      <c r="D31" s="94">
        <v>2.8321078431373379</v>
      </c>
      <c r="E31" s="58">
        <v>2</v>
      </c>
      <c r="F31" s="89">
        <v>3.66</v>
      </c>
      <c r="G31" s="89">
        <v>2.9</v>
      </c>
      <c r="H31" s="59">
        <f t="shared" si="4"/>
        <v>10.4</v>
      </c>
      <c r="I31" s="60">
        <f t="shared" si="5"/>
        <v>2.1827209313725788</v>
      </c>
      <c r="J31" s="60">
        <f t="shared" si="6"/>
        <v>12.582720931372579</v>
      </c>
      <c r="K31" s="60">
        <f t="shared" si="1"/>
        <v>0.80119355991547436</v>
      </c>
      <c r="L31" s="60">
        <f t="shared" si="2"/>
        <v>11.582720931372579</v>
      </c>
    </row>
    <row r="32" spans="1:18" ht="15">
      <c r="A32" s="114">
        <v>44341</v>
      </c>
      <c r="B32" s="56">
        <v>1</v>
      </c>
      <c r="C32" s="56">
        <f t="shared" si="3"/>
        <v>4</v>
      </c>
      <c r="D32" s="94">
        <v>2.8321078431373379</v>
      </c>
      <c r="E32" s="58">
        <v>2</v>
      </c>
      <c r="F32" s="89">
        <v>4.88</v>
      </c>
      <c r="G32" s="89">
        <v>1.31</v>
      </c>
      <c r="H32" s="59">
        <f t="shared" si="4"/>
        <v>10.772400000000001</v>
      </c>
      <c r="I32" s="60">
        <f t="shared" si="5"/>
        <v>2.2298509313725789</v>
      </c>
      <c r="J32" s="60">
        <f t="shared" si="6"/>
        <v>13.002250931372579</v>
      </c>
      <c r="K32" s="60">
        <f t="shared" si="1"/>
        <v>0.83021305681804791</v>
      </c>
      <c r="L32" s="60">
        <f t="shared" si="2"/>
        <v>12.002250931372579</v>
      </c>
    </row>
    <row r="33" spans="1:12" ht="15">
      <c r="A33" s="114">
        <v>44342</v>
      </c>
      <c r="B33" s="56">
        <v>0</v>
      </c>
      <c r="C33" s="56">
        <f t="shared" si="3"/>
        <v>0</v>
      </c>
      <c r="D33" s="94">
        <v>2.8321078431373379</v>
      </c>
      <c r="E33" s="58">
        <v>2</v>
      </c>
      <c r="F33" s="89">
        <v>3.71</v>
      </c>
      <c r="G33" s="89">
        <v>3.57</v>
      </c>
      <c r="H33" s="59">
        <f t="shared" si="4"/>
        <v>11.4</v>
      </c>
      <c r="I33" s="60">
        <f t="shared" si="5"/>
        <v>2.3304909313725788</v>
      </c>
      <c r="J33" s="60">
        <f t="shared" si="6"/>
        <v>13.730490931372579</v>
      </c>
      <c r="K33" s="60">
        <f t="shared" si="1"/>
        <v>0.94975791732123838</v>
      </c>
      <c r="L33" s="60">
        <f t="shared" si="2"/>
        <v>13.730490931372579</v>
      </c>
    </row>
    <row r="34" spans="1:12" ht="15">
      <c r="A34" s="114">
        <v>44343</v>
      </c>
      <c r="B34" s="56">
        <v>36</v>
      </c>
      <c r="C34" s="56">
        <f t="shared" si="3"/>
        <v>144</v>
      </c>
      <c r="D34" s="94">
        <v>2.8321078431373379</v>
      </c>
      <c r="E34" s="58">
        <v>2</v>
      </c>
      <c r="F34" s="89">
        <v>5.25</v>
      </c>
      <c r="G34" s="89">
        <v>4.12</v>
      </c>
      <c r="H34" s="59">
        <f t="shared" si="4"/>
        <v>11.0276</v>
      </c>
      <c r="I34" s="60">
        <f t="shared" si="5"/>
        <v>2.1492009313725786</v>
      </c>
      <c r="J34" s="60">
        <f t="shared" si="6"/>
        <v>13.176800931372579</v>
      </c>
      <c r="K34" s="60">
        <f t="shared" si="1"/>
        <v>1.5787136907464312</v>
      </c>
      <c r="L34" s="60">
        <f t="shared" si="2"/>
        <v>-22.823199068627421</v>
      </c>
    </row>
    <row r="35" spans="1:12" ht="15">
      <c r="A35" s="114">
        <v>44344</v>
      </c>
      <c r="B35" s="56">
        <v>0</v>
      </c>
      <c r="C35" s="56">
        <f t="shared" si="3"/>
        <v>0</v>
      </c>
      <c r="D35" s="94">
        <v>2.8321078431373379</v>
      </c>
      <c r="E35" s="58">
        <v>2</v>
      </c>
      <c r="F35" s="89">
        <v>3.98</v>
      </c>
      <c r="G35" s="89">
        <v>0.94</v>
      </c>
      <c r="H35" s="59">
        <f t="shared" si="4"/>
        <v>23.806399999999996</v>
      </c>
      <c r="I35" s="60">
        <f t="shared" si="5"/>
        <v>2.3899609313725785</v>
      </c>
      <c r="J35" s="60">
        <f t="shared" si="6"/>
        <v>26.196360931372574</v>
      </c>
      <c r="K35" s="60">
        <f t="shared" si="1"/>
        <v>1.8120401756886564</v>
      </c>
      <c r="L35" s="60">
        <f t="shared" si="2"/>
        <v>26.196360931372574</v>
      </c>
    </row>
    <row r="36" spans="1:12" ht="15">
      <c r="A36" s="114">
        <v>44345</v>
      </c>
      <c r="B36" s="56">
        <v>0</v>
      </c>
      <c r="C36" s="56">
        <f t="shared" si="3"/>
        <v>0</v>
      </c>
      <c r="D36" s="94">
        <v>2.8321078431373379</v>
      </c>
      <c r="E36" s="58">
        <v>2</v>
      </c>
      <c r="F36" s="89">
        <v>3.45</v>
      </c>
      <c r="G36" s="89">
        <v>4.7699999999999996</v>
      </c>
      <c r="H36" s="59">
        <f t="shared" si="4"/>
        <v>32.993600000000001</v>
      </c>
      <c r="I36" s="60">
        <f t="shared" si="5"/>
        <v>2.3938109313725784</v>
      </c>
      <c r="J36" s="60">
        <f t="shared" si="6"/>
        <v>35.387410931372578</v>
      </c>
      <c r="K36" s="60">
        <f t="shared" si="1"/>
        <v>2.4477983980002853</v>
      </c>
      <c r="L36" s="60">
        <f t="shared" si="2"/>
        <v>35.387410931372578</v>
      </c>
    </row>
    <row r="37" spans="1:12" ht="15">
      <c r="A37" s="114">
        <v>44346</v>
      </c>
      <c r="B37" s="56">
        <v>51</v>
      </c>
      <c r="C37" s="56">
        <f t="shared" si="3"/>
        <v>204</v>
      </c>
      <c r="D37" s="94">
        <v>2.8321078431373379</v>
      </c>
      <c r="E37" s="58">
        <v>2</v>
      </c>
      <c r="F37" s="89">
        <v>3.05</v>
      </c>
      <c r="G37" s="89">
        <v>2.2000000000000002</v>
      </c>
      <c r="H37" s="59">
        <f t="shared" si="4"/>
        <v>10.4</v>
      </c>
      <c r="I37" s="60">
        <f t="shared" si="5"/>
        <v>2.1425309313725784</v>
      </c>
      <c r="J37" s="60">
        <f t="shared" si="6"/>
        <v>12.542530931372578</v>
      </c>
      <c r="K37" s="60">
        <f t="shared" si="1"/>
        <v>2.6601587598451761</v>
      </c>
      <c r="L37" s="60">
        <f t="shared" si="2"/>
        <v>-38.457469068627418</v>
      </c>
    </row>
    <row r="38" spans="1:12" ht="15">
      <c r="A38" s="114">
        <v>44347</v>
      </c>
      <c r="B38" s="56">
        <v>0</v>
      </c>
      <c r="C38" s="56">
        <f t="shared" si="3"/>
        <v>0</v>
      </c>
      <c r="D38" s="94">
        <v>2.8321078431373379</v>
      </c>
      <c r="E38" s="58">
        <v>2</v>
      </c>
      <c r="F38" s="89">
        <v>4.5199999999999996</v>
      </c>
      <c r="G38" s="89">
        <v>3.64</v>
      </c>
      <c r="H38" s="59">
        <f t="shared" si="4"/>
        <v>29.392399999999995</v>
      </c>
      <c r="I38" s="60">
        <f t="shared" si="5"/>
        <v>2.5069609313725785</v>
      </c>
      <c r="J38" s="60">
        <f t="shared" si="6"/>
        <v>31.899360931372573</v>
      </c>
      <c r="K38" s="60">
        <f t="shared" si="1"/>
        <v>2.2065249344314788</v>
      </c>
      <c r="L38" s="60">
        <f t="shared" si="2"/>
        <v>31.899360931372573</v>
      </c>
    </row>
    <row r="39" spans="1:12" ht="15">
      <c r="A39" s="114">
        <v>44348</v>
      </c>
      <c r="B39" s="56">
        <v>0</v>
      </c>
      <c r="C39" s="56">
        <f t="shared" si="3"/>
        <v>0</v>
      </c>
      <c r="D39" s="94">
        <v>2.8321078431373379</v>
      </c>
      <c r="E39" s="58">
        <v>2</v>
      </c>
      <c r="F39" s="89">
        <v>1.77</v>
      </c>
      <c r="G39" s="89">
        <v>3.18</v>
      </c>
      <c r="H39" s="59">
        <f t="shared" si="4"/>
        <v>42.407600000000002</v>
      </c>
      <c r="I39" s="60">
        <f t="shared" si="5"/>
        <v>2.2850909313725789</v>
      </c>
      <c r="J39" s="60">
        <f t="shared" si="6"/>
        <v>44.692690931372582</v>
      </c>
      <c r="K39" s="60">
        <f t="shared" si="1"/>
        <v>3.0914580746326563</v>
      </c>
      <c r="L39" s="60">
        <f t="shared" si="2"/>
        <v>44.692690931372582</v>
      </c>
    </row>
    <row r="40" spans="1:12" ht="15">
      <c r="A40" s="114">
        <v>44349</v>
      </c>
      <c r="B40" s="56">
        <v>33</v>
      </c>
      <c r="C40" s="56">
        <f t="shared" si="3"/>
        <v>132</v>
      </c>
      <c r="D40" s="94">
        <v>2.8321078431373379</v>
      </c>
      <c r="E40" s="58">
        <v>2</v>
      </c>
      <c r="F40" s="89">
        <v>3.87</v>
      </c>
      <c r="G40" s="89">
        <v>4.5</v>
      </c>
      <c r="H40" s="59">
        <f t="shared" si="4"/>
        <v>10.4</v>
      </c>
      <c r="I40" s="60">
        <f t="shared" si="5"/>
        <v>2.3720309313725787</v>
      </c>
      <c r="J40" s="60">
        <f t="shared" si="6"/>
        <v>12.77203093137258</v>
      </c>
      <c r="K40" s="60">
        <f t="shared" si="1"/>
        <v>1.3991978779405159</v>
      </c>
      <c r="L40" s="60">
        <f t="shared" si="2"/>
        <v>-20.22796906862742</v>
      </c>
    </row>
    <row r="41" spans="1:12" ht="15">
      <c r="A41" s="114">
        <v>44350</v>
      </c>
      <c r="B41" s="56">
        <v>0</v>
      </c>
      <c r="C41" s="56">
        <f t="shared" si="3"/>
        <v>0</v>
      </c>
      <c r="D41" s="94">
        <v>2.8321078431373379</v>
      </c>
      <c r="E41" s="58">
        <v>2</v>
      </c>
      <c r="F41" s="89">
        <v>6.34</v>
      </c>
      <c r="G41" s="89">
        <v>3.92</v>
      </c>
      <c r="H41" s="59">
        <f t="shared" si="4"/>
        <v>22.689199999999996</v>
      </c>
      <c r="I41" s="60">
        <f t="shared" si="5"/>
        <v>2.4126709313725785</v>
      </c>
      <c r="J41" s="60">
        <f t="shared" si="6"/>
        <v>25.101870931372574</v>
      </c>
      <c r="K41" s="60">
        <f t="shared" si="1"/>
        <v>1.7363327193329785</v>
      </c>
      <c r="L41" s="60">
        <f t="shared" si="2"/>
        <v>25.101870931372574</v>
      </c>
    </row>
    <row r="42" spans="1:12" ht="15">
      <c r="A42" s="114">
        <v>44351</v>
      </c>
      <c r="B42" s="56">
        <v>36</v>
      </c>
      <c r="C42" s="56">
        <f t="shared" si="3"/>
        <v>144</v>
      </c>
      <c r="D42" s="94">
        <v>2.8321078431373379</v>
      </c>
      <c r="E42" s="58">
        <v>2</v>
      </c>
      <c r="F42" s="89">
        <v>5.53</v>
      </c>
      <c r="G42" s="89">
        <v>2.92</v>
      </c>
      <c r="H42" s="59">
        <f t="shared" si="4"/>
        <v>31.110800000000005</v>
      </c>
      <c r="I42" s="60">
        <f t="shared" si="5"/>
        <v>2.4697909313725788</v>
      </c>
      <c r="J42" s="60">
        <f t="shared" si="6"/>
        <v>33.580590931372583</v>
      </c>
      <c r="K42" s="60">
        <f t="shared" si="1"/>
        <v>0.16735402467783325</v>
      </c>
      <c r="L42" s="60">
        <f t="shared" si="2"/>
        <v>-2.4194090686274166</v>
      </c>
    </row>
    <row r="43" spans="1:12" ht="15">
      <c r="A43" s="114">
        <v>44352</v>
      </c>
      <c r="B43" s="56">
        <v>31</v>
      </c>
      <c r="C43" s="56">
        <f t="shared" si="3"/>
        <v>124</v>
      </c>
      <c r="D43" s="94">
        <v>2.8321078431373379</v>
      </c>
      <c r="E43" s="58">
        <v>2</v>
      </c>
      <c r="F43" s="89">
        <v>1.89</v>
      </c>
      <c r="G43" s="89">
        <v>3.67</v>
      </c>
      <c r="H43" s="59">
        <f t="shared" si="4"/>
        <v>23.806399999999996</v>
      </c>
      <c r="I43" s="60">
        <f t="shared" si="5"/>
        <v>2.3429109313725789</v>
      </c>
      <c r="J43" s="60">
        <f t="shared" si="6"/>
        <v>26.149310931372575</v>
      </c>
      <c r="K43" s="60">
        <f t="shared" si="1"/>
        <v>0.33552917884866479</v>
      </c>
      <c r="L43" s="60">
        <f t="shared" si="2"/>
        <v>-4.8506890686274247</v>
      </c>
    </row>
    <row r="44" spans="1:12" ht="15">
      <c r="A44" s="114">
        <v>44353</v>
      </c>
      <c r="B44" s="56">
        <v>33</v>
      </c>
      <c r="C44" s="56">
        <f t="shared" si="3"/>
        <v>132</v>
      </c>
      <c r="D44" s="94">
        <v>2.8321078431373379</v>
      </c>
      <c r="E44" s="58">
        <v>2</v>
      </c>
      <c r="F44" s="89">
        <v>4.7</v>
      </c>
      <c r="G44" s="89">
        <v>5.61</v>
      </c>
      <c r="H44" s="59">
        <f t="shared" si="4"/>
        <v>44.537999999999997</v>
      </c>
      <c r="I44" s="60">
        <f t="shared" si="5"/>
        <v>2.2762109313725785</v>
      </c>
      <c r="J44" s="60">
        <f t="shared" si="6"/>
        <v>46.814210931372578</v>
      </c>
      <c r="K44" s="60">
        <f t="shared" si="1"/>
        <v>0.95554895081272506</v>
      </c>
      <c r="L44" s="60">
        <f t="shared" si="2"/>
        <v>13.814210931372578</v>
      </c>
    </row>
    <row r="45" spans="1:12" ht="15">
      <c r="A45" s="114">
        <v>44354</v>
      </c>
      <c r="B45" s="56">
        <v>69</v>
      </c>
      <c r="C45" s="56">
        <f t="shared" si="3"/>
        <v>276</v>
      </c>
      <c r="D45" s="94">
        <v>2.8321078431373379</v>
      </c>
      <c r="E45" s="58">
        <v>2</v>
      </c>
      <c r="F45" s="89">
        <v>3.73</v>
      </c>
      <c r="G45" s="89">
        <v>3.83</v>
      </c>
      <c r="H45" s="59">
        <f t="shared" si="4"/>
        <v>42.144799999999996</v>
      </c>
      <c r="I45" s="60">
        <f t="shared" si="5"/>
        <v>2.4536609313725783</v>
      </c>
      <c r="J45" s="60">
        <f t="shared" si="6"/>
        <v>44.598460931372571</v>
      </c>
      <c r="K45" s="60">
        <f t="shared" si="1"/>
        <v>1.6878897514362696</v>
      </c>
      <c r="L45" s="60">
        <f t="shared" si="2"/>
        <v>-24.401539068627429</v>
      </c>
    </row>
    <row r="46" spans="1:12" ht="15">
      <c r="A46" s="114">
        <v>44355</v>
      </c>
      <c r="B46" s="56">
        <v>39</v>
      </c>
      <c r="C46" s="56">
        <f t="shared" si="3"/>
        <v>156</v>
      </c>
      <c r="D46" s="94">
        <v>2.8321078431373379</v>
      </c>
      <c r="E46" s="58">
        <v>2</v>
      </c>
      <c r="F46" s="89">
        <v>5.77</v>
      </c>
      <c r="G46" s="89">
        <v>4.08</v>
      </c>
      <c r="H46" s="59">
        <f t="shared" si="4"/>
        <v>56.806400000000004</v>
      </c>
      <c r="I46" s="60">
        <f t="shared" si="5"/>
        <v>2.5459009313725787</v>
      </c>
      <c r="J46" s="60">
        <f t="shared" si="6"/>
        <v>59.352300931372582</v>
      </c>
      <c r="K46" s="60">
        <f t="shared" si="1"/>
        <v>1.4077980927185398</v>
      </c>
      <c r="L46" s="60">
        <f t="shared" si="2"/>
        <v>20.352300931372582</v>
      </c>
    </row>
    <row r="47" spans="1:12" ht="15">
      <c r="A47" s="114">
        <v>44356</v>
      </c>
      <c r="B47" s="56">
        <v>66</v>
      </c>
      <c r="C47" s="56">
        <f t="shared" si="3"/>
        <v>264</v>
      </c>
      <c r="D47" s="94">
        <v>2.8321078431373379</v>
      </c>
      <c r="E47" s="58">
        <v>2</v>
      </c>
      <c r="F47" s="89">
        <v>2.77</v>
      </c>
      <c r="G47" s="89">
        <v>3.12</v>
      </c>
      <c r="H47" s="59">
        <f t="shared" si="4"/>
        <v>68.228000000000009</v>
      </c>
      <c r="I47" s="60">
        <f t="shared" si="5"/>
        <v>2.4130209313725786</v>
      </c>
      <c r="J47" s="60">
        <f t="shared" si="6"/>
        <v>70.641020931372594</v>
      </c>
      <c r="K47" s="60">
        <f t="shared" si="1"/>
        <v>0.32102613053356244</v>
      </c>
      <c r="L47" s="60">
        <f t="shared" si="2"/>
        <v>4.6410209313725943</v>
      </c>
    </row>
    <row r="48" spans="1:12" ht="15">
      <c r="A48" s="114">
        <v>44357</v>
      </c>
      <c r="B48" s="56">
        <v>45</v>
      </c>
      <c r="C48" s="56">
        <f t="shared" si="3"/>
        <v>180</v>
      </c>
      <c r="D48" s="94">
        <v>2.8321078431373379</v>
      </c>
      <c r="E48" s="58">
        <v>2</v>
      </c>
      <c r="F48" s="89">
        <v>3.85</v>
      </c>
      <c r="G48" s="89">
        <v>0.68</v>
      </c>
      <c r="H48" s="59">
        <f t="shared" si="4"/>
        <v>59.454800000000006</v>
      </c>
      <c r="I48" s="60">
        <f t="shared" si="5"/>
        <v>2.3745709313725789</v>
      </c>
      <c r="J48" s="60">
        <f t="shared" si="6"/>
        <v>61.829370931372587</v>
      </c>
      <c r="K48" s="60">
        <f t="shared" si="1"/>
        <v>1.164111929099769</v>
      </c>
      <c r="L48" s="60">
        <f t="shared" si="2"/>
        <v>16.829370931372587</v>
      </c>
    </row>
    <row r="49" spans="1:12" ht="15">
      <c r="A49" s="114">
        <v>44358</v>
      </c>
      <c r="B49" s="56">
        <v>58</v>
      </c>
      <c r="C49" s="56">
        <f t="shared" si="3"/>
        <v>232</v>
      </c>
      <c r="D49" s="94">
        <v>2.8321078431373379</v>
      </c>
      <c r="E49" s="58">
        <v>2</v>
      </c>
      <c r="F49" s="89">
        <v>3.6</v>
      </c>
      <c r="G49" s="89">
        <v>4.5</v>
      </c>
      <c r="H49" s="59">
        <f t="shared" si="4"/>
        <v>68.579599999999999</v>
      </c>
      <c r="I49" s="60">
        <f t="shared" si="5"/>
        <v>2.3772109313725789</v>
      </c>
      <c r="J49" s="60">
        <f t="shared" si="6"/>
        <v>70.956810931372573</v>
      </c>
      <c r="K49" s="60">
        <f t="shared" si="1"/>
        <v>0.89624135268084748</v>
      </c>
      <c r="L49" s="60">
        <f t="shared" si="2"/>
        <v>12.956810931372573</v>
      </c>
    </row>
    <row r="50" spans="1:12" ht="15">
      <c r="A50" s="114">
        <v>44359</v>
      </c>
      <c r="B50" s="56">
        <v>84</v>
      </c>
      <c r="C50" s="56">
        <f t="shared" si="3"/>
        <v>336</v>
      </c>
      <c r="D50" s="94">
        <v>2.8321078431373379</v>
      </c>
      <c r="E50" s="58">
        <v>2</v>
      </c>
      <c r="F50" s="89">
        <v>6.05</v>
      </c>
      <c r="G50" s="89">
        <v>2.95</v>
      </c>
      <c r="H50" s="59">
        <f t="shared" si="4"/>
        <v>60.241200000000006</v>
      </c>
      <c r="I50" s="60">
        <f t="shared" si="5"/>
        <v>2.1227709313725787</v>
      </c>
      <c r="J50" s="60">
        <f t="shared" si="6"/>
        <v>62.363970931372585</v>
      </c>
      <c r="K50" s="60">
        <f t="shared" si="1"/>
        <v>1.496595424739642</v>
      </c>
      <c r="L50" s="60">
        <f t="shared" si="2"/>
        <v>-21.636029068627415</v>
      </c>
    </row>
    <row r="51" spans="1:12" ht="15">
      <c r="A51" s="114">
        <v>44360</v>
      </c>
      <c r="B51" s="56">
        <v>95</v>
      </c>
      <c r="C51" s="56">
        <f t="shared" si="3"/>
        <v>380</v>
      </c>
      <c r="D51" s="94">
        <v>2.8321078431373379</v>
      </c>
      <c r="E51" s="58">
        <v>2</v>
      </c>
      <c r="F51" s="89">
        <v>6.22</v>
      </c>
      <c r="G51" s="89">
        <v>3.46</v>
      </c>
      <c r="H51" s="59">
        <f t="shared" si="4"/>
        <v>78.082400000000007</v>
      </c>
      <c r="I51" s="60">
        <f t="shared" si="5"/>
        <v>2.4778909313725785</v>
      </c>
      <c r="J51" s="60">
        <f t="shared" si="6"/>
        <v>80.560290931372592</v>
      </c>
      <c r="K51" s="60">
        <f t="shared" si="1"/>
        <v>0.99881556167877039</v>
      </c>
      <c r="L51" s="60">
        <f t="shared" si="2"/>
        <v>-14.439709068627408</v>
      </c>
    </row>
    <row r="52" spans="1:12" ht="15">
      <c r="A52" s="114">
        <v>44361</v>
      </c>
      <c r="B52" s="56">
        <v>86</v>
      </c>
      <c r="C52" s="56">
        <f t="shared" si="3"/>
        <v>344</v>
      </c>
      <c r="D52" s="94">
        <v>2.8321078431373379</v>
      </c>
      <c r="E52" s="58">
        <v>2</v>
      </c>
      <c r="F52" s="89">
        <v>6.17</v>
      </c>
      <c r="G52" s="89">
        <v>4.7699999999999996</v>
      </c>
      <c r="H52" s="59">
        <f t="shared" si="4"/>
        <v>98.496400000000008</v>
      </c>
      <c r="I52" s="60">
        <f t="shared" si="5"/>
        <v>2.2633409313725785</v>
      </c>
      <c r="J52" s="60">
        <f t="shared" si="6"/>
        <v>100.75974093137259</v>
      </c>
      <c r="K52" s="60">
        <f t="shared" si="1"/>
        <v>1.0209526285146548</v>
      </c>
      <c r="L52" s="60">
        <f t="shared" si="2"/>
        <v>14.75974093137259</v>
      </c>
    </row>
    <row r="53" spans="1:12" ht="15">
      <c r="A53" s="114">
        <v>44362</v>
      </c>
      <c r="B53" s="56">
        <v>90</v>
      </c>
      <c r="C53" s="56">
        <f t="shared" si="3"/>
        <v>360</v>
      </c>
      <c r="D53" s="94">
        <v>2.8321078431373379</v>
      </c>
      <c r="E53" s="58">
        <v>2</v>
      </c>
      <c r="F53" s="89">
        <v>3.05</v>
      </c>
      <c r="G53" s="89">
        <v>3.52</v>
      </c>
      <c r="H53" s="59">
        <f t="shared" si="4"/>
        <v>102.0484</v>
      </c>
      <c r="I53" s="60">
        <f t="shared" si="5"/>
        <v>2.3046509313725787</v>
      </c>
      <c r="J53" s="60">
        <f t="shared" si="6"/>
        <v>104.35305093137258</v>
      </c>
      <c r="K53" s="60">
        <f t="shared" si="1"/>
        <v>0.99282129298368471</v>
      </c>
      <c r="L53" s="60">
        <f t="shared" si="2"/>
        <v>14.353050931372579</v>
      </c>
    </row>
    <row r="54" spans="1:12" ht="15">
      <c r="A54" s="114">
        <v>44363</v>
      </c>
      <c r="B54" s="56">
        <v>100</v>
      </c>
      <c r="C54" s="56">
        <f t="shared" si="3"/>
        <v>400</v>
      </c>
      <c r="D54" s="94">
        <v>2.8321078431373379</v>
      </c>
      <c r="E54" s="58">
        <v>2</v>
      </c>
      <c r="F54" s="89">
        <v>3.09</v>
      </c>
      <c r="G54" s="89">
        <v>2.5</v>
      </c>
      <c r="H54" s="59">
        <f t="shared" si="4"/>
        <v>97.889600000000002</v>
      </c>
      <c r="I54" s="60">
        <f t="shared" si="5"/>
        <v>2.4253609313725786</v>
      </c>
      <c r="J54" s="60">
        <f t="shared" si="6"/>
        <v>100.31496093137258</v>
      </c>
      <c r="K54" s="60">
        <f t="shared" si="1"/>
        <v>2.1786303178314499E-2</v>
      </c>
      <c r="L54" s="60">
        <f t="shared" si="2"/>
        <v>0.31496093137258185</v>
      </c>
    </row>
    <row r="55" spans="1:12" ht="15">
      <c r="A55" s="114">
        <v>44364</v>
      </c>
      <c r="B55" s="56">
        <v>137</v>
      </c>
      <c r="C55" s="56">
        <f t="shared" si="3"/>
        <v>548</v>
      </c>
      <c r="D55" s="94">
        <v>2.8321078431373379</v>
      </c>
      <c r="E55" s="58">
        <v>2</v>
      </c>
      <c r="F55" s="91">
        <v>2</v>
      </c>
      <c r="G55" s="89">
        <v>3.71</v>
      </c>
      <c r="H55" s="59">
        <f t="shared" si="4"/>
        <v>104.12400000000001</v>
      </c>
      <c r="I55" s="60">
        <f t="shared" si="5"/>
        <v>2.4052109313725789</v>
      </c>
      <c r="J55" s="60">
        <f t="shared" si="6"/>
        <v>106.52921093137259</v>
      </c>
      <c r="K55" s="60">
        <f t="shared" si="1"/>
        <v>2.1077085524181856</v>
      </c>
      <c r="L55" s="60">
        <f t="shared" si="2"/>
        <v>-30.470789068627411</v>
      </c>
    </row>
    <row r="56" spans="1:12" ht="15">
      <c r="A56" s="114">
        <v>44365</v>
      </c>
      <c r="B56" s="56">
        <v>149</v>
      </c>
      <c r="C56" s="56">
        <f t="shared" si="3"/>
        <v>596</v>
      </c>
      <c r="D56" s="94">
        <v>2.8321078431369338</v>
      </c>
      <c r="E56" s="58">
        <v>2</v>
      </c>
      <c r="F56" s="89">
        <v>2.34</v>
      </c>
      <c r="G56" s="89">
        <v>0.69</v>
      </c>
      <c r="H56" s="59">
        <f t="shared" si="4"/>
        <v>124.1788</v>
      </c>
      <c r="I56" s="60">
        <f t="shared" si="5"/>
        <v>2.3111909313725789</v>
      </c>
      <c r="J56" s="60">
        <f t="shared" si="6"/>
        <v>126.48999093137257</v>
      </c>
      <c r="K56" s="60">
        <f t="shared" si="1"/>
        <v>1.5570498854526098</v>
      </c>
      <c r="L56" s="60">
        <f t="shared" si="2"/>
        <v>-22.510009068627426</v>
      </c>
    </row>
    <row r="57" spans="1:12" ht="15">
      <c r="A57" s="114">
        <v>44366</v>
      </c>
      <c r="B57" s="56">
        <v>135</v>
      </c>
      <c r="C57" s="56">
        <f t="shared" si="3"/>
        <v>540</v>
      </c>
      <c r="D57" s="94">
        <v>45.328976034858044</v>
      </c>
      <c r="E57" s="58">
        <v>3</v>
      </c>
      <c r="F57" s="89">
        <v>8.59</v>
      </c>
      <c r="G57" s="89">
        <v>0.54</v>
      </c>
      <c r="H57" s="59">
        <f t="shared" si="4"/>
        <v>151.86879999999999</v>
      </c>
      <c r="I57" s="60">
        <f t="shared" si="5"/>
        <v>2.4540009313725788</v>
      </c>
      <c r="J57" s="60">
        <f t="shared" si="6"/>
        <v>154.32280093137257</v>
      </c>
      <c r="K57" s="60">
        <f t="shared" si="1"/>
        <v>1.3365860886635266</v>
      </c>
      <c r="L57" s="60">
        <f t="shared" si="2"/>
        <v>19.322800931372569</v>
      </c>
    </row>
    <row r="58" spans="1:12" ht="15">
      <c r="A58" s="114">
        <v>44367</v>
      </c>
      <c r="B58" s="56">
        <v>137</v>
      </c>
      <c r="C58" s="56">
        <f t="shared" si="3"/>
        <v>548</v>
      </c>
      <c r="D58" s="94">
        <v>87.82584422657915</v>
      </c>
      <c r="E58" s="58">
        <v>3</v>
      </c>
      <c r="F58" s="89">
        <v>7.79</v>
      </c>
      <c r="G58" s="89">
        <v>2.79</v>
      </c>
      <c r="H58" s="59">
        <f t="shared" si="4"/>
        <v>154.18639999999999</v>
      </c>
      <c r="I58" s="60">
        <f t="shared" si="5"/>
        <v>2.1689809313724333</v>
      </c>
      <c r="J58" s="60">
        <f t="shared" si="6"/>
        <v>156.35538093137242</v>
      </c>
      <c r="K58" s="60">
        <f t="shared" si="1"/>
        <v>1.338839694386792</v>
      </c>
      <c r="L58" s="60">
        <f t="shared" si="2"/>
        <v>19.355380931372423</v>
      </c>
    </row>
    <row r="59" spans="1:12" ht="15">
      <c r="A59" s="114">
        <v>44368</v>
      </c>
      <c r="B59" s="56">
        <v>166</v>
      </c>
      <c r="C59" s="56">
        <f t="shared" si="3"/>
        <v>664</v>
      </c>
      <c r="D59" s="94">
        <v>130.32271241830028</v>
      </c>
      <c r="E59" s="58">
        <v>3</v>
      </c>
      <c r="F59" s="89">
        <v>3.58</v>
      </c>
      <c r="G59" s="89">
        <v>1.84</v>
      </c>
      <c r="H59" s="59">
        <f t="shared" si="4"/>
        <v>146.1448</v>
      </c>
      <c r="I59" s="60">
        <f t="shared" si="5"/>
        <v>17.886200348583756</v>
      </c>
      <c r="J59" s="60">
        <f t="shared" si="6"/>
        <v>164.03100034858375</v>
      </c>
      <c r="K59" s="60">
        <f t="shared" si="1"/>
        <v>0.13619855382318824</v>
      </c>
      <c r="L59" s="60">
        <f t="shared" si="2"/>
        <v>-1.9689996514162544</v>
      </c>
    </row>
    <row r="60" spans="1:12" ht="15">
      <c r="A60" s="114">
        <v>44369</v>
      </c>
      <c r="B60" s="56">
        <v>136</v>
      </c>
      <c r="C60" s="56">
        <f t="shared" si="3"/>
        <v>544</v>
      </c>
      <c r="D60" s="94">
        <v>129.91812558356639</v>
      </c>
      <c r="E60" s="58">
        <v>3</v>
      </c>
      <c r="F60" s="89">
        <v>2.5</v>
      </c>
      <c r="G60" s="89">
        <v>2.84</v>
      </c>
      <c r="H60" s="59">
        <f t="shared" si="4"/>
        <v>158.1996</v>
      </c>
      <c r="I60" s="60">
        <f t="shared" si="5"/>
        <v>33.456319765795072</v>
      </c>
      <c r="J60" s="60">
        <f t="shared" si="6"/>
        <v>191.65591976579509</v>
      </c>
      <c r="K60" s="60">
        <f t="shared" si="1"/>
        <v>3.8498004701770214</v>
      </c>
      <c r="L60" s="60">
        <f t="shared" si="2"/>
        <v>55.65591976579509</v>
      </c>
    </row>
    <row r="61" spans="1:12" ht="15">
      <c r="A61" s="114">
        <v>44370</v>
      </c>
      <c r="B61" s="56">
        <v>152</v>
      </c>
      <c r="C61" s="56">
        <f t="shared" si="3"/>
        <v>608</v>
      </c>
      <c r="D61" s="94">
        <v>371.57703081232461</v>
      </c>
      <c r="E61" s="58">
        <v>3</v>
      </c>
      <c r="F61" s="89">
        <v>4.38</v>
      </c>
      <c r="G61" s="89">
        <v>2.65</v>
      </c>
      <c r="H61" s="59">
        <f t="shared" si="4"/>
        <v>165.22800000000001</v>
      </c>
      <c r="I61" s="60">
        <f t="shared" si="5"/>
        <v>48.837539183006406</v>
      </c>
      <c r="J61" s="60">
        <f t="shared" si="6"/>
        <v>214.06553918300642</v>
      </c>
      <c r="K61" s="60">
        <f t="shared" si="1"/>
        <v>4.293163116053214</v>
      </c>
      <c r="L61" s="60">
        <f t="shared" si="2"/>
        <v>62.065539183006422</v>
      </c>
    </row>
    <row r="62" spans="1:12" ht="15">
      <c r="A62" s="114">
        <v>44371</v>
      </c>
      <c r="B62" s="56">
        <v>207</v>
      </c>
      <c r="C62" s="56">
        <f t="shared" si="3"/>
        <v>828</v>
      </c>
      <c r="D62" s="94">
        <v>714.28752334266994</v>
      </c>
      <c r="E62" s="58">
        <v>3</v>
      </c>
      <c r="F62" s="89">
        <v>5.47</v>
      </c>
      <c r="G62" s="89">
        <v>2.9</v>
      </c>
      <c r="H62" s="59">
        <f t="shared" si="4"/>
        <v>152.35840000000002</v>
      </c>
      <c r="I62" s="60">
        <f t="shared" si="5"/>
        <v>48.814883335667467</v>
      </c>
      <c r="J62" s="60">
        <f t="shared" si="6"/>
        <v>201.17328333566749</v>
      </c>
      <c r="K62" s="60">
        <f t="shared" si="1"/>
        <v>0.40304241935682839</v>
      </c>
      <c r="L62" s="60">
        <f t="shared" si="2"/>
        <v>-5.8267166643325083</v>
      </c>
    </row>
    <row r="63" spans="1:12" ht="15">
      <c r="A63" s="114">
        <v>44372</v>
      </c>
      <c r="B63" s="56">
        <v>165</v>
      </c>
      <c r="C63" s="56">
        <f t="shared" si="3"/>
        <v>660</v>
      </c>
      <c r="D63" s="94">
        <v>1017.5267857142857</v>
      </c>
      <c r="E63" s="58">
        <v>3</v>
      </c>
      <c r="F63" s="89">
        <v>5.93</v>
      </c>
      <c r="G63" s="89">
        <v>3.18</v>
      </c>
      <c r="H63" s="59">
        <f t="shared" si="4"/>
        <v>182.88200000000001</v>
      </c>
      <c r="I63" s="60">
        <f t="shared" si="5"/>
        <v>135.98005812324917</v>
      </c>
      <c r="J63" s="60">
        <f t="shared" si="6"/>
        <v>318.8620581232492</v>
      </c>
      <c r="K63" s="60">
        <f t="shared" si="1"/>
        <v>10.642861104405414</v>
      </c>
      <c r="L63" s="60">
        <f t="shared" si="2"/>
        <v>153.8620581232492</v>
      </c>
    </row>
    <row r="64" spans="1:12" ht="15">
      <c r="A64" s="114">
        <v>44373</v>
      </c>
      <c r="B64" s="56">
        <v>621</v>
      </c>
      <c r="C64" s="56">
        <f t="shared" si="3"/>
        <v>2484</v>
      </c>
      <c r="D64" s="94">
        <v>1278.2691798941801</v>
      </c>
      <c r="E64" s="58">
        <v>3</v>
      </c>
      <c r="F64" s="89">
        <v>5.32</v>
      </c>
      <c r="G64" s="89">
        <v>3.21</v>
      </c>
      <c r="H64" s="59">
        <f t="shared" si="4"/>
        <v>201.75920000000002</v>
      </c>
      <c r="I64" s="60">
        <f t="shared" si="5"/>
        <v>259.68859592670378</v>
      </c>
      <c r="J64" s="60">
        <f t="shared" si="6"/>
        <v>461.4477959267038</v>
      </c>
      <c r="K64" s="60">
        <f t="shared" si="1"/>
        <v>11.036456729921062</v>
      </c>
      <c r="L64" s="60">
        <f t="shared" si="2"/>
        <v>-159.5522040732962</v>
      </c>
    </row>
    <row r="65" spans="1:12" ht="15">
      <c r="A65" s="114">
        <v>44374</v>
      </c>
      <c r="B65" s="56">
        <v>230</v>
      </c>
      <c r="C65" s="56">
        <f t="shared" si="3"/>
        <v>920</v>
      </c>
      <c r="D65" s="94">
        <v>1235.367724867725</v>
      </c>
      <c r="E65" s="58">
        <v>3</v>
      </c>
      <c r="F65" s="89">
        <v>2.94</v>
      </c>
      <c r="G65" s="89">
        <v>1.44</v>
      </c>
      <c r="H65" s="59">
        <f t="shared" si="4"/>
        <v>345.21439999999996</v>
      </c>
      <c r="I65" s="60">
        <f t="shared" si="5"/>
        <v>369.16964964285705</v>
      </c>
      <c r="J65" s="60">
        <f t="shared" si="6"/>
        <v>714.38404964285701</v>
      </c>
      <c r="K65" s="60">
        <f t="shared" si="1"/>
        <v>33.505545320398696</v>
      </c>
      <c r="L65" s="60">
        <f t="shared" si="2"/>
        <v>484.38404964285701</v>
      </c>
    </row>
    <row r="66" spans="1:12" ht="15">
      <c r="A66" s="114">
        <v>44375</v>
      </c>
      <c r="B66" s="56">
        <v>218</v>
      </c>
      <c r="C66" s="56">
        <f t="shared" si="3"/>
        <v>872</v>
      </c>
      <c r="D66" s="94">
        <v>1319.4791666666667</v>
      </c>
      <c r="E66" s="58">
        <v>3</v>
      </c>
      <c r="F66" s="89">
        <v>7.62</v>
      </c>
      <c r="G66" s="89">
        <v>2.9</v>
      </c>
      <c r="H66" s="59">
        <f t="shared" si="4"/>
        <v>485.79160000000002</v>
      </c>
      <c r="I66" s="60">
        <f t="shared" si="5"/>
        <v>463.31868394179895</v>
      </c>
      <c r="J66" s="60">
        <f t="shared" si="6"/>
        <v>949.11028394179903</v>
      </c>
      <c r="K66" s="60">
        <f t="shared" si="1"/>
        <v>50.571955808377517</v>
      </c>
      <c r="L66" s="60">
        <f t="shared" si="2"/>
        <v>731.11028394179903</v>
      </c>
    </row>
    <row r="67" spans="1:12" ht="15">
      <c r="A67" s="114">
        <v>44376</v>
      </c>
      <c r="B67" s="56">
        <v>155</v>
      </c>
      <c r="C67" s="56">
        <f t="shared" si="3"/>
        <v>620</v>
      </c>
      <c r="D67" s="94">
        <v>1446.4920634920634</v>
      </c>
      <c r="E67" s="58">
        <v>3</v>
      </c>
      <c r="F67" s="89">
        <v>3.33</v>
      </c>
      <c r="G67" s="89">
        <v>2.65</v>
      </c>
      <c r="H67" s="59">
        <f t="shared" si="4"/>
        <v>235.93120000000002</v>
      </c>
      <c r="I67" s="60">
        <f t="shared" si="5"/>
        <v>447.74158867724873</v>
      </c>
      <c r="J67" s="60">
        <f t="shared" si="6"/>
        <v>683.67278867724872</v>
      </c>
      <c r="K67" s="60">
        <f t="shared" si="1"/>
        <v>36.569061458046569</v>
      </c>
      <c r="L67" s="60">
        <f t="shared" si="2"/>
        <v>528.67278867724872</v>
      </c>
    </row>
    <row r="68" spans="1:12" ht="15">
      <c r="A68" s="114">
        <v>44377</v>
      </c>
      <c r="B68" s="56">
        <v>249</v>
      </c>
      <c r="C68" s="56">
        <f t="shared" si="3"/>
        <v>996</v>
      </c>
      <c r="D68" s="94">
        <v>1204.4285714285713</v>
      </c>
      <c r="E68" s="58">
        <v>3</v>
      </c>
      <c r="F68" s="89">
        <v>6.88</v>
      </c>
      <c r="G68" s="89">
        <v>1.03</v>
      </c>
      <c r="H68" s="59">
        <f t="shared" si="4"/>
        <v>204.93880000000001</v>
      </c>
      <c r="I68" s="60">
        <f t="shared" si="5"/>
        <v>478.09827916666666</v>
      </c>
      <c r="J68" s="60">
        <f t="shared" si="6"/>
        <v>683.03707916666667</v>
      </c>
      <c r="K68" s="60">
        <f t="shared" ref="K68:K131" si="7">SQRT((J68-B68)^2/209)</f>
        <v>30.022972551376785</v>
      </c>
      <c r="L68" s="60">
        <f t="shared" ref="L68:L131" si="8">J68-B68</f>
        <v>434.03707916666667</v>
      </c>
    </row>
    <row r="69" spans="1:12" ht="15">
      <c r="A69" s="114">
        <v>44378</v>
      </c>
      <c r="B69" s="56">
        <v>464</v>
      </c>
      <c r="C69" s="56">
        <f t="shared" ref="C69:C132" si="9">B69*4</f>
        <v>1856</v>
      </c>
      <c r="D69" s="94">
        <v>861.38904151404142</v>
      </c>
      <c r="E69" s="58">
        <v>3</v>
      </c>
      <c r="F69" s="89">
        <v>3.91</v>
      </c>
      <c r="G69" s="89">
        <v>4.3099999999999996</v>
      </c>
      <c r="H69" s="59">
        <f t="shared" si="4"/>
        <v>200.40559999999996</v>
      </c>
      <c r="I69" s="60">
        <f t="shared" si="5"/>
        <v>524.05588492063475</v>
      </c>
      <c r="J69" s="60">
        <f t="shared" si="6"/>
        <v>724.46148492063469</v>
      </c>
      <c r="K69" s="60">
        <f t="shared" si="7"/>
        <v>18.016497639963852</v>
      </c>
      <c r="L69" s="60">
        <f t="shared" si="8"/>
        <v>260.46148492063469</v>
      </c>
    </row>
    <row r="70" spans="1:12" ht="15">
      <c r="A70" s="114">
        <v>44379</v>
      </c>
      <c r="B70" s="56">
        <v>419</v>
      </c>
      <c r="C70" s="56">
        <f t="shared" si="9"/>
        <v>1676</v>
      </c>
      <c r="D70" s="94">
        <v>557.82074175824152</v>
      </c>
      <c r="E70" s="58">
        <v>3</v>
      </c>
      <c r="F70" s="89">
        <v>3.26</v>
      </c>
      <c r="G70" s="89">
        <v>4.13</v>
      </c>
      <c r="H70" s="59">
        <f t="shared" ref="H70:H133" si="10">10.4+B69-0.6276*(B69-B68)</f>
        <v>339.46600000000001</v>
      </c>
      <c r="I70" s="60">
        <f t="shared" si="5"/>
        <v>436.41704428571427</v>
      </c>
      <c r="J70" s="60">
        <f t="shared" si="6"/>
        <v>775.88304428571428</v>
      </c>
      <c r="K70" s="60">
        <f t="shared" si="7"/>
        <v>24.686116364098545</v>
      </c>
      <c r="L70" s="60">
        <f t="shared" si="8"/>
        <v>356.88304428571428</v>
      </c>
    </row>
    <row r="71" spans="1:12" ht="15">
      <c r="A71" s="114">
        <v>44380</v>
      </c>
      <c r="B71" s="56">
        <v>714</v>
      </c>
      <c r="C71" s="56">
        <f t="shared" si="9"/>
        <v>2856</v>
      </c>
      <c r="D71" s="94">
        <v>254.25244200244171</v>
      </c>
      <c r="E71" s="58">
        <v>3</v>
      </c>
      <c r="F71" s="89">
        <v>4.2699999999999996</v>
      </c>
      <c r="G71" s="89">
        <v>4.3499999999999996</v>
      </c>
      <c r="H71" s="59">
        <f t="shared" si="10"/>
        <v>457.642</v>
      </c>
      <c r="I71" s="60">
        <f t="shared" ref="I71:I134" si="11">0.361*D69+0.577*E69-0.03*F69+0.091*G69</f>
        <v>312.96735398656892</v>
      </c>
      <c r="J71" s="60">
        <f t="shared" ref="J71:J134" si="12">SUM(H71:I71)</f>
        <v>770.60935398656898</v>
      </c>
      <c r="K71" s="60">
        <f t="shared" si="7"/>
        <v>3.9157508942624397</v>
      </c>
      <c r="L71" s="60">
        <f t="shared" si="8"/>
        <v>56.609353986568976</v>
      </c>
    </row>
    <row r="72" spans="1:12" ht="15">
      <c r="A72" s="114">
        <v>44381</v>
      </c>
      <c r="B72" s="56">
        <v>599</v>
      </c>
      <c r="C72" s="56">
        <f t="shared" si="9"/>
        <v>2396</v>
      </c>
      <c r="D72" s="94">
        <v>254.32799145299109</v>
      </c>
      <c r="E72" s="58">
        <v>3</v>
      </c>
      <c r="F72" s="89">
        <v>4.12</v>
      </c>
      <c r="G72" s="89">
        <v>1.1000000000000001</v>
      </c>
      <c r="H72" s="59">
        <f t="shared" si="10"/>
        <v>539.25799999999992</v>
      </c>
      <c r="I72" s="60">
        <f t="shared" si="11"/>
        <v>203.38231777472518</v>
      </c>
      <c r="J72" s="60">
        <f t="shared" si="12"/>
        <v>742.64031777472508</v>
      </c>
      <c r="K72" s="60">
        <f t="shared" si="7"/>
        <v>9.9358085399096545</v>
      </c>
      <c r="L72" s="60">
        <f t="shared" si="8"/>
        <v>143.64031777472508</v>
      </c>
    </row>
    <row r="73" spans="1:12" ht="15">
      <c r="A73" s="114">
        <v>44382</v>
      </c>
      <c r="B73" s="56">
        <v>641</v>
      </c>
      <c r="C73" s="56">
        <f t="shared" si="9"/>
        <v>2564</v>
      </c>
      <c r="D73" s="94">
        <v>127.39064407814364</v>
      </c>
      <c r="E73" s="58">
        <v>3</v>
      </c>
      <c r="F73" s="89">
        <v>5.5</v>
      </c>
      <c r="G73" s="89">
        <v>3.78</v>
      </c>
      <c r="H73" s="59">
        <f t="shared" si="10"/>
        <v>681.57399999999996</v>
      </c>
      <c r="I73" s="60">
        <f t="shared" si="11"/>
        <v>93.783881562881447</v>
      </c>
      <c r="J73" s="60">
        <f t="shared" si="12"/>
        <v>775.3578815628814</v>
      </c>
      <c r="K73" s="60">
        <f t="shared" si="7"/>
        <v>9.2937290011450067</v>
      </c>
      <c r="L73" s="60">
        <f t="shared" si="8"/>
        <v>134.3578815628814</v>
      </c>
    </row>
    <row r="74" spans="1:12" ht="15">
      <c r="A74" s="114">
        <v>44383</v>
      </c>
      <c r="B74" s="56">
        <v>710</v>
      </c>
      <c r="C74" s="56">
        <f t="shared" si="9"/>
        <v>2840</v>
      </c>
      <c r="D74" s="94">
        <v>0.45329670329617028</v>
      </c>
      <c r="E74" s="58">
        <v>3</v>
      </c>
      <c r="F74" s="89">
        <v>5.85</v>
      </c>
      <c r="G74" s="89">
        <v>2.42</v>
      </c>
      <c r="H74" s="59">
        <f t="shared" si="10"/>
        <v>625.04079999999999</v>
      </c>
      <c r="I74" s="60">
        <f t="shared" si="11"/>
        <v>93.519904914529775</v>
      </c>
      <c r="J74" s="60">
        <f t="shared" si="12"/>
        <v>718.56070491452977</v>
      </c>
      <c r="K74" s="60">
        <f t="shared" si="7"/>
        <v>0.59215634102696268</v>
      </c>
      <c r="L74" s="60">
        <f t="shared" si="8"/>
        <v>8.5607049145297651</v>
      </c>
    </row>
    <row r="75" spans="1:12" ht="15">
      <c r="A75" s="114">
        <v>44384</v>
      </c>
      <c r="B75" s="56">
        <v>766</v>
      </c>
      <c r="C75" s="56">
        <f t="shared" si="9"/>
        <v>3064</v>
      </c>
      <c r="D75" s="94">
        <v>0.52884615384553191</v>
      </c>
      <c r="E75" s="58">
        <v>3</v>
      </c>
      <c r="F75" s="89">
        <v>4.1500000000000004</v>
      </c>
      <c r="G75" s="89">
        <v>4.9000000000000004</v>
      </c>
      <c r="H75" s="59">
        <f t="shared" si="10"/>
        <v>677.09559999999999</v>
      </c>
      <c r="I75" s="60">
        <f t="shared" si="11"/>
        <v>47.898002512209857</v>
      </c>
      <c r="J75" s="60">
        <f t="shared" si="12"/>
        <v>724.9936025122098</v>
      </c>
      <c r="K75" s="60">
        <f t="shared" si="7"/>
        <v>2.8364718253345944</v>
      </c>
      <c r="L75" s="60">
        <f t="shared" si="8"/>
        <v>-41.006397487790196</v>
      </c>
    </row>
    <row r="76" spans="1:12" ht="15">
      <c r="A76" s="114">
        <v>44385</v>
      </c>
      <c r="B76" s="56">
        <v>915</v>
      </c>
      <c r="C76" s="56">
        <f t="shared" si="9"/>
        <v>3660</v>
      </c>
      <c r="D76" s="94">
        <v>0.52884615384553191</v>
      </c>
      <c r="E76" s="58">
        <v>3</v>
      </c>
      <c r="F76" s="89">
        <v>4.25</v>
      </c>
      <c r="G76" s="89">
        <v>1.26</v>
      </c>
      <c r="H76" s="59">
        <f t="shared" si="10"/>
        <v>741.25440000000003</v>
      </c>
      <c r="I76" s="60">
        <f t="shared" si="11"/>
        <v>1.9393601098899174</v>
      </c>
      <c r="J76" s="60">
        <f t="shared" si="12"/>
        <v>743.19376010988992</v>
      </c>
      <c r="K76" s="60">
        <f t="shared" si="7"/>
        <v>11.88408611144337</v>
      </c>
      <c r="L76" s="60">
        <f t="shared" si="8"/>
        <v>-171.80623989011008</v>
      </c>
    </row>
    <row r="77" spans="1:12" ht="15">
      <c r="A77" s="114">
        <v>44386</v>
      </c>
      <c r="B77" s="56">
        <v>1229</v>
      </c>
      <c r="C77" s="56">
        <f t="shared" si="9"/>
        <v>4916</v>
      </c>
      <c r="D77" s="94">
        <v>0.52884615384553191</v>
      </c>
      <c r="E77" s="58">
        <v>3.5</v>
      </c>
      <c r="F77" s="89">
        <v>5.68</v>
      </c>
      <c r="G77" s="89">
        <v>2.71</v>
      </c>
      <c r="H77" s="59">
        <f t="shared" si="10"/>
        <v>831.88760000000002</v>
      </c>
      <c r="I77" s="60">
        <f t="shared" si="11"/>
        <v>2.2433134615382371</v>
      </c>
      <c r="J77" s="60">
        <f t="shared" si="12"/>
        <v>834.13091346153828</v>
      </c>
      <c r="K77" s="60">
        <f t="shared" si="7"/>
        <v>27.31366584922387</v>
      </c>
      <c r="L77" s="60">
        <f t="shared" si="8"/>
        <v>-394.86908653846172</v>
      </c>
    </row>
    <row r="78" spans="1:12" ht="15">
      <c r="A78" s="114">
        <v>44387</v>
      </c>
      <c r="B78" s="56">
        <v>1320</v>
      </c>
      <c r="C78" s="56">
        <f t="shared" si="9"/>
        <v>5280</v>
      </c>
      <c r="D78" s="94">
        <v>0.52884615384553191</v>
      </c>
      <c r="E78" s="58">
        <v>3.5</v>
      </c>
      <c r="F78" s="89">
        <v>3.25</v>
      </c>
      <c r="G78" s="89">
        <v>1.61</v>
      </c>
      <c r="H78" s="59">
        <f t="shared" si="10"/>
        <v>1042.3336000000002</v>
      </c>
      <c r="I78" s="60">
        <f t="shared" si="11"/>
        <v>1.909073461538237</v>
      </c>
      <c r="J78" s="60">
        <f t="shared" si="12"/>
        <v>1044.2426734615383</v>
      </c>
      <c r="K78" s="60">
        <f t="shared" si="7"/>
        <v>19.074533128369414</v>
      </c>
      <c r="L78" s="60">
        <f t="shared" si="8"/>
        <v>-275.75732653846171</v>
      </c>
    </row>
    <row r="79" spans="1:12" ht="15">
      <c r="A79" s="114">
        <v>44388</v>
      </c>
      <c r="B79" s="56">
        <v>1397</v>
      </c>
      <c r="C79" s="56">
        <f t="shared" si="9"/>
        <v>5588</v>
      </c>
      <c r="D79" s="94">
        <v>0.52884615384553191</v>
      </c>
      <c r="E79" s="58">
        <v>3.5</v>
      </c>
      <c r="F79" s="89">
        <v>5.51</v>
      </c>
      <c r="G79" s="89">
        <v>3.56</v>
      </c>
      <c r="H79" s="59">
        <f t="shared" si="10"/>
        <v>1273.2884000000001</v>
      </c>
      <c r="I79" s="60">
        <f t="shared" si="11"/>
        <v>2.286623461538237</v>
      </c>
      <c r="J79" s="60">
        <f t="shared" si="12"/>
        <v>1275.5750234615384</v>
      </c>
      <c r="K79" s="60">
        <f t="shared" si="7"/>
        <v>8.3991412546252651</v>
      </c>
      <c r="L79" s="60">
        <f t="shared" si="8"/>
        <v>-121.42497653846158</v>
      </c>
    </row>
    <row r="80" spans="1:12" ht="15">
      <c r="A80" s="114">
        <v>44389</v>
      </c>
      <c r="B80" s="56">
        <v>1764</v>
      </c>
      <c r="C80" s="56">
        <f t="shared" si="9"/>
        <v>7056</v>
      </c>
      <c r="D80" s="94">
        <v>0.52884615384553191</v>
      </c>
      <c r="E80" s="58">
        <v>3.5</v>
      </c>
      <c r="F80" s="89">
        <v>4.54</v>
      </c>
      <c r="G80" s="89">
        <v>2.9</v>
      </c>
      <c r="H80" s="59">
        <f t="shared" si="10"/>
        <v>1359.0748000000001</v>
      </c>
      <c r="I80" s="60">
        <f t="shared" si="11"/>
        <v>2.2594234615382369</v>
      </c>
      <c r="J80" s="60">
        <f t="shared" si="12"/>
        <v>1361.3342234615384</v>
      </c>
      <c r="K80" s="60">
        <f t="shared" si="7"/>
        <v>27.852974173551861</v>
      </c>
      <c r="L80" s="60">
        <f t="shared" si="8"/>
        <v>-402.66577653846161</v>
      </c>
    </row>
    <row r="81" spans="1:12" ht="15">
      <c r="A81" s="114">
        <v>44390</v>
      </c>
      <c r="B81" s="56">
        <v>1802</v>
      </c>
      <c r="C81" s="56">
        <f t="shared" si="9"/>
        <v>7208</v>
      </c>
      <c r="D81" s="94">
        <v>0.52884615384553191</v>
      </c>
      <c r="E81" s="58">
        <v>3.5</v>
      </c>
      <c r="F81" s="89">
        <v>3.68</v>
      </c>
      <c r="G81" s="89">
        <v>3.16</v>
      </c>
      <c r="H81" s="59">
        <f t="shared" si="10"/>
        <v>1544.0708</v>
      </c>
      <c r="I81" s="60">
        <f t="shared" si="11"/>
        <v>2.3690734615382372</v>
      </c>
      <c r="J81" s="60">
        <f t="shared" si="12"/>
        <v>1546.4398734615381</v>
      </c>
      <c r="K81" s="60">
        <f t="shared" si="7"/>
        <v>17.677463591409836</v>
      </c>
      <c r="L81" s="60">
        <f t="shared" si="8"/>
        <v>-255.56012653846187</v>
      </c>
    </row>
    <row r="82" spans="1:12" ht="15">
      <c r="A82" s="114">
        <v>44391</v>
      </c>
      <c r="B82" s="56">
        <v>2229</v>
      </c>
      <c r="C82" s="56">
        <f t="shared" si="9"/>
        <v>8916</v>
      </c>
      <c r="D82" s="94">
        <v>0.45329670329616945</v>
      </c>
      <c r="E82" s="58">
        <v>3.5</v>
      </c>
      <c r="F82" s="89">
        <v>1.71</v>
      </c>
      <c r="G82" s="89">
        <v>3.08</v>
      </c>
      <c r="H82" s="59">
        <f t="shared" si="10"/>
        <v>1788.5512000000001</v>
      </c>
      <c r="I82" s="60">
        <f t="shared" si="11"/>
        <v>2.3381134615382368</v>
      </c>
      <c r="J82" s="60">
        <f t="shared" si="12"/>
        <v>1790.8893134615384</v>
      </c>
      <c r="K82" s="60">
        <f t="shared" si="7"/>
        <v>30.304749865294983</v>
      </c>
      <c r="L82" s="60">
        <f t="shared" si="8"/>
        <v>-438.11068653846155</v>
      </c>
    </row>
    <row r="83" spans="1:12" ht="15">
      <c r="A83" s="114">
        <v>44392</v>
      </c>
      <c r="B83" s="56">
        <v>2691</v>
      </c>
      <c r="C83" s="56">
        <f t="shared" si="9"/>
        <v>10764</v>
      </c>
      <c r="D83" s="94">
        <v>1.6079059829055387</v>
      </c>
      <c r="E83" s="58">
        <v>3.5</v>
      </c>
      <c r="F83" s="89">
        <v>6.53</v>
      </c>
      <c r="G83" s="89">
        <v>4.3099999999999996</v>
      </c>
      <c r="H83" s="59">
        <f t="shared" si="10"/>
        <v>1971.4148</v>
      </c>
      <c r="I83" s="60">
        <f t="shared" si="11"/>
        <v>2.3875734615382371</v>
      </c>
      <c r="J83" s="60">
        <f t="shared" si="12"/>
        <v>1973.8023734615383</v>
      </c>
      <c r="K83" s="60">
        <f t="shared" si="7"/>
        <v>49.609597172707332</v>
      </c>
      <c r="L83" s="60">
        <f t="shared" si="8"/>
        <v>-717.19762653846169</v>
      </c>
    </row>
    <row r="84" spans="1:12" ht="15">
      <c r="A84" s="114">
        <v>44393</v>
      </c>
      <c r="B84" s="56">
        <v>2436</v>
      </c>
      <c r="C84" s="56">
        <f t="shared" si="9"/>
        <v>9744</v>
      </c>
      <c r="D84" s="94">
        <v>2.7625152625149072</v>
      </c>
      <c r="E84" s="58">
        <v>3.5</v>
      </c>
      <c r="F84" s="89">
        <v>4.8600000000000003</v>
      </c>
      <c r="G84" s="89">
        <v>2.5099999999999998</v>
      </c>
      <c r="H84" s="59">
        <f t="shared" si="10"/>
        <v>2411.4488000000001</v>
      </c>
      <c r="I84" s="60">
        <f t="shared" si="11"/>
        <v>2.412120109889917</v>
      </c>
      <c r="J84" s="60">
        <f t="shared" si="12"/>
        <v>2413.8609201098902</v>
      </c>
      <c r="K84" s="60">
        <f t="shared" si="7"/>
        <v>1.5313921776675474</v>
      </c>
      <c r="L84" s="60">
        <f t="shared" si="8"/>
        <v>-22.13907989010977</v>
      </c>
    </row>
    <row r="85" spans="1:12" ht="15">
      <c r="A85" s="114">
        <v>44394</v>
      </c>
      <c r="B85" s="56">
        <v>3420</v>
      </c>
      <c r="C85" s="56">
        <f t="shared" si="9"/>
        <v>13680</v>
      </c>
      <c r="D85" s="94">
        <v>3.917124542124276</v>
      </c>
      <c r="E85" s="58">
        <v>3.5</v>
      </c>
      <c r="F85" s="89">
        <v>5.31</v>
      </c>
      <c r="G85" s="89">
        <v>3.03</v>
      </c>
      <c r="H85" s="59">
        <f t="shared" si="10"/>
        <v>2606.4380000000001</v>
      </c>
      <c r="I85" s="60">
        <f t="shared" si="11"/>
        <v>2.7962640598288995</v>
      </c>
      <c r="J85" s="60">
        <f t="shared" si="12"/>
        <v>2609.234264059829</v>
      </c>
      <c r="K85" s="60">
        <f t="shared" si="7"/>
        <v>56.08183863568388</v>
      </c>
      <c r="L85" s="60">
        <f t="shared" si="8"/>
        <v>-810.765735940171</v>
      </c>
    </row>
    <row r="86" spans="1:12" ht="15">
      <c r="A86" s="114">
        <v>44395</v>
      </c>
      <c r="B86" s="56">
        <v>4083</v>
      </c>
      <c r="C86" s="56">
        <f t="shared" si="9"/>
        <v>16332</v>
      </c>
      <c r="D86" s="94">
        <v>5.0717338217336438</v>
      </c>
      <c r="E86" s="58">
        <v>3.5</v>
      </c>
      <c r="F86" s="89">
        <v>4.3499999999999996</v>
      </c>
      <c r="G86" s="89">
        <v>2.41</v>
      </c>
      <c r="H86" s="59">
        <f t="shared" si="10"/>
        <v>2812.8416000000002</v>
      </c>
      <c r="I86" s="60">
        <f t="shared" si="11"/>
        <v>3.0993780097678814</v>
      </c>
      <c r="J86" s="60">
        <f t="shared" si="12"/>
        <v>2815.9409780097681</v>
      </c>
      <c r="K86" s="60">
        <f t="shared" si="7"/>
        <v>87.644305208264612</v>
      </c>
      <c r="L86" s="60">
        <f t="shared" si="8"/>
        <v>-1267.0590219902319</v>
      </c>
    </row>
    <row r="87" spans="1:12" ht="15">
      <c r="A87" s="114">
        <v>44396</v>
      </c>
      <c r="B87" s="56">
        <v>3074</v>
      </c>
      <c r="C87" s="56">
        <f t="shared" si="9"/>
        <v>12296</v>
      </c>
      <c r="D87" s="94">
        <v>6.2263431013430113</v>
      </c>
      <c r="E87" s="58">
        <v>3.5</v>
      </c>
      <c r="F87" s="89">
        <v>5.62</v>
      </c>
      <c r="G87" s="89">
        <v>3.79</v>
      </c>
      <c r="H87" s="59">
        <f t="shared" si="10"/>
        <v>3677.3011999999999</v>
      </c>
      <c r="I87" s="60">
        <f t="shared" si="11"/>
        <v>3.5500119597068633</v>
      </c>
      <c r="J87" s="60">
        <f t="shared" si="12"/>
        <v>3680.8512119597067</v>
      </c>
      <c r="K87" s="60">
        <f t="shared" si="7"/>
        <v>41.976776072718614</v>
      </c>
      <c r="L87" s="60">
        <f t="shared" si="8"/>
        <v>606.85121195970669</v>
      </c>
    </row>
    <row r="88" spans="1:12" ht="15">
      <c r="A88" s="114">
        <v>44397</v>
      </c>
      <c r="B88" s="56">
        <v>3322</v>
      </c>
      <c r="C88" s="56">
        <f t="shared" si="9"/>
        <v>13288</v>
      </c>
      <c r="D88" s="94">
        <v>4.4944291819289601</v>
      </c>
      <c r="E88" s="58">
        <v>3.5</v>
      </c>
      <c r="F88" s="89">
        <v>5.09</v>
      </c>
      <c r="G88" s="89">
        <v>1.77</v>
      </c>
      <c r="H88" s="59">
        <f t="shared" si="10"/>
        <v>3717.6484</v>
      </c>
      <c r="I88" s="60">
        <f t="shared" si="11"/>
        <v>3.9392059096458452</v>
      </c>
      <c r="J88" s="60">
        <f t="shared" si="12"/>
        <v>3721.5876059096458</v>
      </c>
      <c r="K88" s="60">
        <f t="shared" si="7"/>
        <v>27.6400526589319</v>
      </c>
      <c r="L88" s="60">
        <f t="shared" si="8"/>
        <v>399.58760590964584</v>
      </c>
    </row>
    <row r="89" spans="1:12" ht="15">
      <c r="A89" s="114">
        <v>44398</v>
      </c>
      <c r="B89" s="56">
        <v>3558</v>
      </c>
      <c r="C89" s="56">
        <f t="shared" si="9"/>
        <v>14232</v>
      </c>
      <c r="D89" s="94">
        <v>4.9274076617824729</v>
      </c>
      <c r="E89" s="58">
        <v>3.5</v>
      </c>
      <c r="F89" s="89">
        <v>3.39</v>
      </c>
      <c r="G89" s="89">
        <v>4.5999999999999996</v>
      </c>
      <c r="H89" s="59">
        <f t="shared" si="10"/>
        <v>3176.7552000000001</v>
      </c>
      <c r="I89" s="60">
        <f t="shared" si="11"/>
        <v>4.4434998595848274</v>
      </c>
      <c r="J89" s="60">
        <f t="shared" si="12"/>
        <v>3181.1986998595848</v>
      </c>
      <c r="K89" s="60">
        <f t="shared" si="7"/>
        <v>26.063890931066716</v>
      </c>
      <c r="L89" s="60">
        <f t="shared" si="8"/>
        <v>-376.80130014041515</v>
      </c>
    </row>
    <row r="90" spans="1:12" ht="15">
      <c r="A90" s="114">
        <v>44399</v>
      </c>
      <c r="B90" s="56">
        <v>4473</v>
      </c>
      <c r="C90" s="56">
        <f t="shared" si="9"/>
        <v>17892</v>
      </c>
      <c r="D90" s="94">
        <v>43.055555555555557</v>
      </c>
      <c r="E90" s="58">
        <v>3.5</v>
      </c>
      <c r="F90" s="89">
        <v>4.47</v>
      </c>
      <c r="G90" s="89">
        <v>4.49</v>
      </c>
      <c r="H90" s="59">
        <f t="shared" si="10"/>
        <v>3420.2864</v>
      </c>
      <c r="I90" s="60">
        <f t="shared" si="11"/>
        <v>3.6503589346763547</v>
      </c>
      <c r="J90" s="60">
        <f t="shared" si="12"/>
        <v>3423.9367589346762</v>
      </c>
      <c r="K90" s="60">
        <f t="shared" si="7"/>
        <v>72.565221735510718</v>
      </c>
      <c r="L90" s="60">
        <f t="shared" si="8"/>
        <v>-1049.0632410653238</v>
      </c>
    </row>
    <row r="91" spans="1:12" ht="15">
      <c r="A91" s="114">
        <v>44400</v>
      </c>
      <c r="B91" s="56">
        <v>4913</v>
      </c>
      <c r="C91" s="56">
        <f t="shared" si="9"/>
        <v>19652</v>
      </c>
      <c r="D91" s="94">
        <v>42.069444444444443</v>
      </c>
      <c r="E91" s="58">
        <v>3.5</v>
      </c>
      <c r="F91" s="89">
        <v>1.31</v>
      </c>
      <c r="G91" s="89">
        <v>3.18</v>
      </c>
      <c r="H91" s="59">
        <f t="shared" si="10"/>
        <v>3909.1459999999997</v>
      </c>
      <c r="I91" s="60">
        <f t="shared" si="11"/>
        <v>4.1151941659034721</v>
      </c>
      <c r="J91" s="60">
        <f t="shared" si="12"/>
        <v>3913.2611941659034</v>
      </c>
      <c r="K91" s="60">
        <f t="shared" si="7"/>
        <v>69.153379208364186</v>
      </c>
      <c r="L91" s="60">
        <f t="shared" si="8"/>
        <v>-999.73880583409664</v>
      </c>
    </row>
    <row r="92" spans="1:12" ht="15">
      <c r="A92" s="114">
        <v>44401</v>
      </c>
      <c r="B92" s="56">
        <v>5546</v>
      </c>
      <c r="C92" s="56">
        <f t="shared" si="9"/>
        <v>22184</v>
      </c>
      <c r="D92" s="94">
        <v>229.83333333333331</v>
      </c>
      <c r="E92" s="58">
        <v>3.5</v>
      </c>
      <c r="F92" s="89">
        <v>0.22</v>
      </c>
      <c r="G92" s="89">
        <v>4.4400000000000004</v>
      </c>
      <c r="H92" s="59">
        <f t="shared" si="10"/>
        <v>4647.2559999999994</v>
      </c>
      <c r="I92" s="60">
        <f t="shared" si="11"/>
        <v>17.837045555555555</v>
      </c>
      <c r="J92" s="60">
        <f t="shared" si="12"/>
        <v>4665.0930455555554</v>
      </c>
      <c r="K92" s="60">
        <f t="shared" si="7"/>
        <v>60.933608170943565</v>
      </c>
      <c r="L92" s="60">
        <f t="shared" si="8"/>
        <v>-880.90695444444464</v>
      </c>
    </row>
    <row r="93" spans="1:12" ht="15">
      <c r="A93" s="114">
        <v>44402</v>
      </c>
      <c r="B93" s="56">
        <v>4555</v>
      </c>
      <c r="C93" s="56">
        <f t="shared" si="9"/>
        <v>18220</v>
      </c>
      <c r="D93" s="94">
        <v>501.30555555555554</v>
      </c>
      <c r="E93" s="58">
        <v>3.5</v>
      </c>
      <c r="F93" s="89">
        <v>5.78</v>
      </c>
      <c r="G93" s="89">
        <v>1.28</v>
      </c>
      <c r="H93" s="59">
        <f t="shared" si="10"/>
        <v>5159.1291999999994</v>
      </c>
      <c r="I93" s="60">
        <f t="shared" si="11"/>
        <v>17.456649444444444</v>
      </c>
      <c r="J93" s="60">
        <f t="shared" si="12"/>
        <v>5176.5858494444437</v>
      </c>
      <c r="K93" s="60">
        <f t="shared" si="7"/>
        <v>42.9959922595202</v>
      </c>
      <c r="L93" s="60">
        <f t="shared" si="8"/>
        <v>621.58584944444374</v>
      </c>
    </row>
    <row r="94" spans="1:12" ht="15">
      <c r="A94" s="114">
        <v>44403</v>
      </c>
      <c r="B94" s="56">
        <v>6097</v>
      </c>
      <c r="C94" s="56">
        <f t="shared" si="9"/>
        <v>24388</v>
      </c>
      <c r="D94" s="94">
        <v>662.16666666666663</v>
      </c>
      <c r="E94" s="58">
        <v>3.5</v>
      </c>
      <c r="F94" s="89">
        <v>2.4300000000000002</v>
      </c>
      <c r="G94" s="89">
        <v>3.2</v>
      </c>
      <c r="H94" s="59">
        <f t="shared" si="10"/>
        <v>5187.3516</v>
      </c>
      <c r="I94" s="60">
        <f t="shared" si="11"/>
        <v>85.386773333333309</v>
      </c>
      <c r="J94" s="60">
        <f t="shared" si="12"/>
        <v>5272.7383733333336</v>
      </c>
      <c r="K94" s="60">
        <f t="shared" si="7"/>
        <v>57.015368917511175</v>
      </c>
      <c r="L94" s="60">
        <f t="shared" si="8"/>
        <v>-824.26162666666642</v>
      </c>
    </row>
    <row r="95" spans="1:12" ht="15">
      <c r="A95" s="114">
        <v>44404</v>
      </c>
      <c r="B95" s="56">
        <v>6622</v>
      </c>
      <c r="C95" s="56">
        <f t="shared" si="9"/>
        <v>26488</v>
      </c>
      <c r="D95" s="94">
        <v>550.33333333333337</v>
      </c>
      <c r="E95" s="58">
        <v>3.5</v>
      </c>
      <c r="F95" s="89">
        <v>1.89</v>
      </c>
      <c r="G95" s="89">
        <v>4.34</v>
      </c>
      <c r="H95" s="59">
        <f t="shared" si="10"/>
        <v>5139.6407999999992</v>
      </c>
      <c r="I95" s="60">
        <f t="shared" si="11"/>
        <v>182.93388555555555</v>
      </c>
      <c r="J95" s="60">
        <f t="shared" si="12"/>
        <v>5322.5746855555544</v>
      </c>
      <c r="K95" s="60">
        <f t="shared" si="7"/>
        <v>89.883128471494516</v>
      </c>
      <c r="L95" s="60">
        <f t="shared" si="8"/>
        <v>-1299.4253144444456</v>
      </c>
    </row>
    <row r="96" spans="1:12" ht="15">
      <c r="A96" s="114">
        <v>44405</v>
      </c>
      <c r="B96" s="56">
        <v>4045</v>
      </c>
      <c r="C96" s="56">
        <f t="shared" si="9"/>
        <v>16180</v>
      </c>
      <c r="D96" s="94">
        <v>961.26388888888891</v>
      </c>
      <c r="E96" s="58">
        <v>3.5</v>
      </c>
      <c r="F96" s="89">
        <v>3.59</v>
      </c>
      <c r="G96" s="89">
        <v>4.58</v>
      </c>
      <c r="H96" s="59">
        <f t="shared" si="10"/>
        <v>6302.91</v>
      </c>
      <c r="I96" s="60">
        <f t="shared" si="11"/>
        <v>241.27996666666664</v>
      </c>
      <c r="J96" s="60">
        <f t="shared" si="12"/>
        <v>6544.1899666666668</v>
      </c>
      <c r="K96" s="60">
        <f t="shared" si="7"/>
        <v>172.87258478923064</v>
      </c>
      <c r="L96" s="60">
        <f t="shared" si="8"/>
        <v>2499.1899666666668</v>
      </c>
    </row>
    <row r="97" spans="1:12" ht="15">
      <c r="A97" s="114">
        <v>44406</v>
      </c>
      <c r="B97" s="56">
        <v>2877</v>
      </c>
      <c r="C97" s="56">
        <f t="shared" si="9"/>
        <v>11508</v>
      </c>
      <c r="D97" s="94">
        <v>1008.9722222222222</v>
      </c>
      <c r="E97" s="58">
        <v>3.5</v>
      </c>
      <c r="F97" s="89">
        <v>6.9</v>
      </c>
      <c r="G97" s="89">
        <v>3.47</v>
      </c>
      <c r="H97" s="59">
        <f t="shared" si="10"/>
        <v>5672.7252000000008</v>
      </c>
      <c r="I97" s="60">
        <f t="shared" si="11"/>
        <v>201.02807333333331</v>
      </c>
      <c r="J97" s="60">
        <f t="shared" si="12"/>
        <v>5873.7532733333337</v>
      </c>
      <c r="K97" s="60">
        <f t="shared" si="7"/>
        <v>207.28975838026713</v>
      </c>
      <c r="L97" s="60">
        <f t="shared" si="8"/>
        <v>2996.7532733333337</v>
      </c>
    </row>
    <row r="98" spans="1:12" ht="15">
      <c r="A98" s="114">
        <v>44407</v>
      </c>
      <c r="B98" s="56">
        <v>1541</v>
      </c>
      <c r="C98" s="56">
        <f t="shared" si="9"/>
        <v>6164</v>
      </c>
      <c r="D98" s="94">
        <v>1085.0277777777778</v>
      </c>
      <c r="E98" s="58">
        <v>3.5</v>
      </c>
      <c r="F98" s="89">
        <v>3.85</v>
      </c>
      <c r="G98" s="89">
        <v>5.64</v>
      </c>
      <c r="H98" s="59">
        <f t="shared" si="10"/>
        <v>3620.4368000000004</v>
      </c>
      <c r="I98" s="60">
        <f t="shared" si="11"/>
        <v>349.34484388888887</v>
      </c>
      <c r="J98" s="60">
        <f t="shared" si="12"/>
        <v>3969.7816438888894</v>
      </c>
      <c r="K98" s="60">
        <f t="shared" si="7"/>
        <v>168.00233926503665</v>
      </c>
      <c r="L98" s="60">
        <f t="shared" si="8"/>
        <v>2428.7816438888894</v>
      </c>
    </row>
    <row r="99" spans="1:12" ht="15">
      <c r="A99" s="114">
        <v>44408</v>
      </c>
      <c r="B99" s="56">
        <v>4180</v>
      </c>
      <c r="C99" s="56">
        <f t="shared" si="9"/>
        <v>16720</v>
      </c>
      <c r="D99" s="94">
        <v>1148.7361111111111</v>
      </c>
      <c r="E99" s="58">
        <v>3.5</v>
      </c>
      <c r="F99" s="89">
        <v>4.1100000000000003</v>
      </c>
      <c r="G99" s="89">
        <v>0.32</v>
      </c>
      <c r="H99" s="59">
        <f t="shared" si="10"/>
        <v>2389.8735999999999</v>
      </c>
      <c r="I99" s="60">
        <f t="shared" si="11"/>
        <v>366.36724222222216</v>
      </c>
      <c r="J99" s="60">
        <f t="shared" si="12"/>
        <v>2756.240842222222</v>
      </c>
      <c r="K99" s="60">
        <f t="shared" si="7"/>
        <v>98.483480249666968</v>
      </c>
      <c r="L99" s="60">
        <f t="shared" si="8"/>
        <v>-1423.759157777778</v>
      </c>
    </row>
    <row r="100" spans="1:12" ht="15">
      <c r="A100" s="114">
        <v>44409</v>
      </c>
      <c r="B100" s="56">
        <v>2025</v>
      </c>
      <c r="C100" s="56">
        <f t="shared" si="9"/>
        <v>8100</v>
      </c>
      <c r="D100" s="94">
        <v>1326.3888888888889</v>
      </c>
      <c r="E100" s="58">
        <v>3.5</v>
      </c>
      <c r="F100" s="89">
        <v>4.88</v>
      </c>
      <c r="G100" s="89">
        <v>2.9</v>
      </c>
      <c r="H100" s="59">
        <f t="shared" si="10"/>
        <v>2534.1635999999994</v>
      </c>
      <c r="I100" s="60">
        <f t="shared" si="11"/>
        <v>394.11226777777779</v>
      </c>
      <c r="J100" s="60">
        <f t="shared" si="12"/>
        <v>2928.2758677777774</v>
      </c>
      <c r="K100" s="60">
        <f t="shared" si="7"/>
        <v>62.480898260306866</v>
      </c>
      <c r="L100" s="60">
        <f t="shared" si="8"/>
        <v>903.27586777777742</v>
      </c>
    </row>
    <row r="101" spans="1:12" ht="15">
      <c r="A101" s="114">
        <v>44410</v>
      </c>
      <c r="B101" s="56">
        <v>2267</v>
      </c>
      <c r="C101" s="56">
        <f t="shared" si="9"/>
        <v>9068</v>
      </c>
      <c r="D101" s="94">
        <v>1640.5694444444446</v>
      </c>
      <c r="E101" s="58">
        <v>3.5</v>
      </c>
      <c r="F101" s="89">
        <v>6.66</v>
      </c>
      <c r="G101" s="89">
        <v>5.56</v>
      </c>
      <c r="H101" s="59">
        <f t="shared" si="10"/>
        <v>3387.8780000000002</v>
      </c>
      <c r="I101" s="60">
        <f t="shared" si="11"/>
        <v>416.61905611111109</v>
      </c>
      <c r="J101" s="60">
        <f t="shared" si="12"/>
        <v>3804.4970561111113</v>
      </c>
      <c r="K101" s="60">
        <f t="shared" si="7"/>
        <v>106.35089518635654</v>
      </c>
      <c r="L101" s="60">
        <f t="shared" si="8"/>
        <v>1537.4970561111113</v>
      </c>
    </row>
    <row r="102" spans="1:12" ht="15">
      <c r="A102" s="114">
        <v>44411</v>
      </c>
      <c r="B102" s="56">
        <v>4171</v>
      </c>
      <c r="C102" s="56">
        <f t="shared" si="9"/>
        <v>16684</v>
      </c>
      <c r="D102" s="94">
        <v>1553.8611111111111</v>
      </c>
      <c r="E102" s="58">
        <v>3.5</v>
      </c>
      <c r="F102" s="89">
        <v>6.08</v>
      </c>
      <c r="G102" s="89">
        <v>0.47</v>
      </c>
      <c r="H102" s="59">
        <f t="shared" si="10"/>
        <v>2125.5208000000002</v>
      </c>
      <c r="I102" s="60">
        <f t="shared" si="11"/>
        <v>480.9633888888888</v>
      </c>
      <c r="J102" s="60">
        <f t="shared" si="12"/>
        <v>2606.4841888888891</v>
      </c>
      <c r="K102" s="60">
        <f t="shared" si="7"/>
        <v>108.2198215492719</v>
      </c>
      <c r="L102" s="60">
        <f t="shared" si="8"/>
        <v>-1564.5158111111109</v>
      </c>
    </row>
    <row r="103" spans="1:12" ht="15">
      <c r="A103" s="114">
        <v>44412</v>
      </c>
      <c r="B103" s="56">
        <v>936</v>
      </c>
      <c r="C103" s="56">
        <f t="shared" si="9"/>
        <v>3744</v>
      </c>
      <c r="D103" s="94">
        <v>2021.8888888888891</v>
      </c>
      <c r="E103" s="58">
        <v>3.5</v>
      </c>
      <c r="F103" s="89">
        <v>4.04</v>
      </c>
      <c r="G103" s="89">
        <v>3.18</v>
      </c>
      <c r="H103" s="59">
        <f t="shared" si="10"/>
        <v>2986.4495999999995</v>
      </c>
      <c r="I103" s="60">
        <f t="shared" si="11"/>
        <v>594.57122944444438</v>
      </c>
      <c r="J103" s="60">
        <f t="shared" si="12"/>
        <v>3581.0208294444437</v>
      </c>
      <c r="K103" s="60">
        <f t="shared" si="7"/>
        <v>182.95991649537635</v>
      </c>
      <c r="L103" s="60">
        <f t="shared" si="8"/>
        <v>2645.0208294444437</v>
      </c>
    </row>
    <row r="104" spans="1:12" ht="15">
      <c r="A104" s="114">
        <v>44413</v>
      </c>
      <c r="B104" s="56">
        <v>3886</v>
      </c>
      <c r="C104" s="56">
        <f t="shared" si="9"/>
        <v>15544</v>
      </c>
      <c r="D104" s="94">
        <v>9326.5694444444453</v>
      </c>
      <c r="E104" s="58">
        <v>3.5</v>
      </c>
      <c r="F104" s="89">
        <v>3.31</v>
      </c>
      <c r="G104" s="89">
        <v>1.99</v>
      </c>
      <c r="H104" s="59">
        <f t="shared" si="10"/>
        <v>2976.6860000000001</v>
      </c>
      <c r="I104" s="60">
        <f t="shared" si="11"/>
        <v>562.8237311111111</v>
      </c>
      <c r="J104" s="60">
        <f t="shared" si="12"/>
        <v>3539.5097311111113</v>
      </c>
      <c r="K104" s="60">
        <f t="shared" si="7"/>
        <v>23.967233057928972</v>
      </c>
      <c r="L104" s="60">
        <f t="shared" si="8"/>
        <v>-346.49026888888875</v>
      </c>
    </row>
    <row r="105" spans="1:12" ht="15">
      <c r="A105" s="114">
        <v>44414</v>
      </c>
      <c r="B105" s="56">
        <v>1497</v>
      </c>
      <c r="C105" s="56">
        <f t="shared" si="9"/>
        <v>5988</v>
      </c>
      <c r="D105" s="94">
        <v>3475.5972222222222</v>
      </c>
      <c r="E105" s="58">
        <v>3.5</v>
      </c>
      <c r="F105" s="89">
        <v>5.23</v>
      </c>
      <c r="G105" s="89">
        <v>3.69</v>
      </c>
      <c r="H105" s="59">
        <f t="shared" si="10"/>
        <v>2044.98</v>
      </c>
      <c r="I105" s="60">
        <f t="shared" si="11"/>
        <v>732.08956888888895</v>
      </c>
      <c r="J105" s="60">
        <f t="shared" si="12"/>
        <v>2777.0695688888891</v>
      </c>
      <c r="K105" s="60">
        <f t="shared" si="7"/>
        <v>88.544263555525518</v>
      </c>
      <c r="L105" s="60">
        <f t="shared" si="8"/>
        <v>1280.0695688888891</v>
      </c>
    </row>
    <row r="106" spans="1:12" ht="15">
      <c r="A106" s="114">
        <v>44415</v>
      </c>
      <c r="B106" s="56">
        <v>5827</v>
      </c>
      <c r="C106" s="56">
        <f t="shared" si="9"/>
        <v>23308</v>
      </c>
      <c r="D106" s="94">
        <v>2927.6587301587301</v>
      </c>
      <c r="E106" s="58">
        <v>3.5</v>
      </c>
      <c r="F106" s="89">
        <v>2.2400000000000002</v>
      </c>
      <c r="G106" s="89">
        <v>7.31</v>
      </c>
      <c r="H106" s="59">
        <f t="shared" si="10"/>
        <v>3006.7364000000002</v>
      </c>
      <c r="I106" s="60">
        <f t="shared" si="11"/>
        <v>3368.9928594444445</v>
      </c>
      <c r="J106" s="60">
        <f t="shared" si="12"/>
        <v>6375.7292594444443</v>
      </c>
      <c r="K106" s="60">
        <f t="shared" si="7"/>
        <v>37.956396550424202</v>
      </c>
      <c r="L106" s="60">
        <f t="shared" si="8"/>
        <v>548.72925944444432</v>
      </c>
    </row>
    <row r="107" spans="1:12" ht="15">
      <c r="A107" s="114">
        <v>44416</v>
      </c>
      <c r="B107" s="56">
        <v>2002</v>
      </c>
      <c r="C107" s="56">
        <f t="shared" si="9"/>
        <v>8008</v>
      </c>
      <c r="D107" s="94">
        <v>4437.9285714285716</v>
      </c>
      <c r="E107" s="58">
        <v>3.5</v>
      </c>
      <c r="F107" s="89">
        <v>2.84</v>
      </c>
      <c r="G107" s="89">
        <v>3.46</v>
      </c>
      <c r="H107" s="59">
        <f t="shared" si="10"/>
        <v>3119.8919999999994</v>
      </c>
      <c r="I107" s="60">
        <f t="shared" si="11"/>
        <v>1256.8889872222223</v>
      </c>
      <c r="J107" s="60">
        <f t="shared" si="12"/>
        <v>4376.7809872222215</v>
      </c>
      <c r="K107" s="60">
        <f t="shared" si="7"/>
        <v>164.26703573757663</v>
      </c>
      <c r="L107" s="60">
        <f t="shared" si="8"/>
        <v>2374.7809872222215</v>
      </c>
    </row>
    <row r="108" spans="1:12" ht="15">
      <c r="A108" s="114">
        <v>44417</v>
      </c>
      <c r="B108" s="56">
        <v>4132</v>
      </c>
      <c r="C108" s="56">
        <f t="shared" si="9"/>
        <v>16528</v>
      </c>
      <c r="D108" s="94">
        <v>5041.938492063493</v>
      </c>
      <c r="E108" s="58">
        <v>3.5</v>
      </c>
      <c r="F108" s="89">
        <v>3.05</v>
      </c>
      <c r="G108" s="89">
        <v>4.4000000000000004</v>
      </c>
      <c r="H108" s="59">
        <f t="shared" si="10"/>
        <v>4412.97</v>
      </c>
      <c r="I108" s="60">
        <f t="shared" si="11"/>
        <v>1059.5023115873016</v>
      </c>
      <c r="J108" s="60">
        <f t="shared" si="12"/>
        <v>5472.4723115873021</v>
      </c>
      <c r="K108" s="60">
        <f t="shared" si="7"/>
        <v>92.722408633692851</v>
      </c>
      <c r="L108" s="60">
        <f t="shared" si="8"/>
        <v>1340.4723115873021</v>
      </c>
    </row>
    <row r="109" spans="1:12" ht="15">
      <c r="A109" s="114">
        <v>44418</v>
      </c>
      <c r="B109" s="56">
        <v>1466</v>
      </c>
      <c r="C109" s="56">
        <f t="shared" si="9"/>
        <v>5864</v>
      </c>
      <c r="D109" s="94">
        <v>3970.7807539682544</v>
      </c>
      <c r="E109" s="58">
        <v>3.5</v>
      </c>
      <c r="F109" s="89">
        <v>5.18</v>
      </c>
      <c r="G109" s="89">
        <v>2.5099999999999998</v>
      </c>
      <c r="H109" s="59">
        <f t="shared" si="10"/>
        <v>2805.6119999999996</v>
      </c>
      <c r="I109" s="60">
        <f t="shared" si="11"/>
        <v>1604.3413742857144</v>
      </c>
      <c r="J109" s="60">
        <f t="shared" si="12"/>
        <v>4409.9533742857138</v>
      </c>
      <c r="K109" s="60">
        <f t="shared" si="7"/>
        <v>203.63751299407639</v>
      </c>
      <c r="L109" s="60">
        <f t="shared" si="8"/>
        <v>2943.9533742857138</v>
      </c>
    </row>
    <row r="110" spans="1:12" ht="15">
      <c r="A110" s="114">
        <v>44419</v>
      </c>
      <c r="B110" s="56">
        <v>3609</v>
      </c>
      <c r="C110" s="56">
        <f t="shared" si="9"/>
        <v>14436</v>
      </c>
      <c r="D110" s="94">
        <v>4094.5766369047615</v>
      </c>
      <c r="E110" s="58">
        <v>3.5</v>
      </c>
      <c r="F110" s="89">
        <v>2.4</v>
      </c>
      <c r="G110" s="89">
        <v>5.36</v>
      </c>
      <c r="H110" s="59">
        <f t="shared" si="10"/>
        <v>3149.5816000000004</v>
      </c>
      <c r="I110" s="60">
        <f t="shared" si="11"/>
        <v>1822.4681956349209</v>
      </c>
      <c r="J110" s="60">
        <f t="shared" si="12"/>
        <v>4972.0497956349209</v>
      </c>
      <c r="K110" s="60">
        <f t="shared" si="7"/>
        <v>94.284125861037182</v>
      </c>
      <c r="L110" s="60">
        <f t="shared" si="8"/>
        <v>1363.0497956349209</v>
      </c>
    </row>
    <row r="111" spans="1:12" ht="15">
      <c r="A111" s="114">
        <v>44420</v>
      </c>
      <c r="B111" s="56">
        <v>1521</v>
      </c>
      <c r="C111" s="56">
        <f t="shared" si="9"/>
        <v>6084</v>
      </c>
      <c r="D111" s="94">
        <v>4386.3061135912703</v>
      </c>
      <c r="E111" s="58">
        <v>3.5</v>
      </c>
      <c r="F111" s="89">
        <v>5.83</v>
      </c>
      <c r="G111" s="89">
        <v>3.21</v>
      </c>
      <c r="H111" s="59">
        <f t="shared" si="10"/>
        <v>2274.4531999999999</v>
      </c>
      <c r="I111" s="60">
        <f t="shared" si="11"/>
        <v>1435.5443621825398</v>
      </c>
      <c r="J111" s="60">
        <f t="shared" si="12"/>
        <v>3709.9975621825397</v>
      </c>
      <c r="K111" s="60">
        <f t="shared" si="7"/>
        <v>151.41612751292399</v>
      </c>
      <c r="L111" s="60">
        <f t="shared" si="8"/>
        <v>2188.9975621825397</v>
      </c>
    </row>
    <row r="112" spans="1:12" ht="15">
      <c r="A112" s="114">
        <v>44421</v>
      </c>
      <c r="B112" s="56">
        <v>3399</v>
      </c>
      <c r="C112" s="56">
        <f t="shared" si="9"/>
        <v>13596</v>
      </c>
      <c r="D112" s="94">
        <v>1305.4583333333333</v>
      </c>
      <c r="E112" s="58">
        <v>3.5</v>
      </c>
      <c r="F112" s="89">
        <v>4.3499999999999996</v>
      </c>
      <c r="G112" s="89">
        <v>2.99</v>
      </c>
      <c r="H112" s="59">
        <f t="shared" si="10"/>
        <v>2841.8288000000002</v>
      </c>
      <c r="I112" s="60">
        <f t="shared" si="11"/>
        <v>1480.5774259226191</v>
      </c>
      <c r="J112" s="60">
        <f t="shared" si="12"/>
        <v>4322.4062259226193</v>
      </c>
      <c r="K112" s="60">
        <f t="shared" si="7"/>
        <v>63.873344249466001</v>
      </c>
      <c r="L112" s="60">
        <f t="shared" si="8"/>
        <v>923.40622592261934</v>
      </c>
    </row>
    <row r="113" spans="1:12" ht="15">
      <c r="A113" s="114">
        <v>44422</v>
      </c>
      <c r="B113" s="56">
        <v>4915</v>
      </c>
      <c r="C113" s="56">
        <f t="shared" si="9"/>
        <v>19660</v>
      </c>
      <c r="D113" s="94">
        <v>1189</v>
      </c>
      <c r="E113" s="58">
        <v>3.5</v>
      </c>
      <c r="F113" s="89">
        <v>7.18</v>
      </c>
      <c r="G113" s="89">
        <v>1.5</v>
      </c>
      <c r="H113" s="59">
        <f t="shared" si="10"/>
        <v>2230.7672000000002</v>
      </c>
      <c r="I113" s="60">
        <f t="shared" si="11"/>
        <v>1585.5932170064489</v>
      </c>
      <c r="J113" s="60">
        <f t="shared" si="12"/>
        <v>3816.3604170064491</v>
      </c>
      <c r="K113" s="60">
        <f t="shared" si="7"/>
        <v>75.994489013243182</v>
      </c>
      <c r="L113" s="60">
        <f t="shared" si="8"/>
        <v>-1098.6395829935509</v>
      </c>
    </row>
    <row r="114" spans="1:12" ht="15">
      <c r="A114" s="114">
        <v>44423</v>
      </c>
      <c r="B114" s="56">
        <v>3975</v>
      </c>
      <c r="C114" s="56">
        <f t="shared" si="9"/>
        <v>15900</v>
      </c>
      <c r="D114" s="94">
        <v>2743.8352709573414</v>
      </c>
      <c r="E114" s="58">
        <v>3.5</v>
      </c>
      <c r="F114" s="89">
        <v>5.16</v>
      </c>
      <c r="G114" s="89">
        <v>2.13</v>
      </c>
      <c r="H114" s="59">
        <f t="shared" si="10"/>
        <v>3973.9583999999995</v>
      </c>
      <c r="I114" s="60">
        <f t="shared" si="11"/>
        <v>473.4315483333333</v>
      </c>
      <c r="J114" s="60">
        <f t="shared" si="12"/>
        <v>4447.3899483333325</v>
      </c>
      <c r="K114" s="60">
        <f t="shared" si="7"/>
        <v>32.675895984711381</v>
      </c>
      <c r="L114" s="60">
        <f t="shared" si="8"/>
        <v>472.38994833333254</v>
      </c>
    </row>
    <row r="115" spans="1:12" ht="15">
      <c r="A115" s="114">
        <v>44424</v>
      </c>
      <c r="B115" s="56">
        <v>2855</v>
      </c>
      <c r="C115" s="56">
        <f t="shared" si="9"/>
        <v>11420</v>
      </c>
      <c r="D115" s="94">
        <v>2700.4861111111113</v>
      </c>
      <c r="E115" s="58">
        <v>3.5</v>
      </c>
      <c r="F115" s="89">
        <v>3.16</v>
      </c>
      <c r="G115" s="89">
        <v>1.46</v>
      </c>
      <c r="H115" s="59">
        <f t="shared" si="10"/>
        <v>4575.3440000000001</v>
      </c>
      <c r="I115" s="60">
        <f t="shared" si="11"/>
        <v>431.1696</v>
      </c>
      <c r="J115" s="60">
        <f t="shared" si="12"/>
        <v>5006.5136000000002</v>
      </c>
      <c r="K115" s="60">
        <f t="shared" si="7"/>
        <v>148.82330763245685</v>
      </c>
      <c r="L115" s="60">
        <f t="shared" si="8"/>
        <v>2151.5136000000002</v>
      </c>
    </row>
    <row r="116" spans="1:12" ht="15">
      <c r="A116" s="114">
        <v>44425</v>
      </c>
      <c r="B116" s="56">
        <v>3740</v>
      </c>
      <c r="C116" s="56">
        <f t="shared" si="9"/>
        <v>14960</v>
      </c>
      <c r="D116" s="94">
        <v>1752.1805555555554</v>
      </c>
      <c r="E116" s="58">
        <v>3.5</v>
      </c>
      <c r="F116" s="89">
        <v>2.93</v>
      </c>
      <c r="G116" s="89">
        <v>6.76</v>
      </c>
      <c r="H116" s="59">
        <f t="shared" si="10"/>
        <v>3568.3119999999999</v>
      </c>
      <c r="I116" s="60">
        <f t="shared" si="11"/>
        <v>992.58306281560021</v>
      </c>
      <c r="J116" s="60">
        <f t="shared" si="12"/>
        <v>4560.8950628155999</v>
      </c>
      <c r="K116" s="60">
        <f t="shared" si="7"/>
        <v>56.782498826580031</v>
      </c>
      <c r="L116" s="60">
        <f t="shared" si="8"/>
        <v>820.89506281559989</v>
      </c>
    </row>
    <row r="117" spans="1:12" ht="15">
      <c r="A117" s="114">
        <v>44426</v>
      </c>
      <c r="B117" s="56">
        <v>3873</v>
      </c>
      <c r="C117" s="56">
        <f t="shared" si="9"/>
        <v>15492</v>
      </c>
      <c r="D117" s="94">
        <v>2096.3754844060022</v>
      </c>
      <c r="E117" s="58">
        <v>3.5</v>
      </c>
      <c r="F117" s="89">
        <v>3.25</v>
      </c>
      <c r="G117" s="89">
        <v>1.37</v>
      </c>
      <c r="H117" s="59">
        <f t="shared" si="10"/>
        <v>3194.9740000000002</v>
      </c>
      <c r="I117" s="60">
        <f t="shared" si="11"/>
        <v>976.93304611111125</v>
      </c>
      <c r="J117" s="60">
        <f t="shared" si="12"/>
        <v>4171.9070461111114</v>
      </c>
      <c r="K117" s="60">
        <f t="shared" si="7"/>
        <v>20.675832714653946</v>
      </c>
      <c r="L117" s="60">
        <f t="shared" si="8"/>
        <v>298.90704611111141</v>
      </c>
    </row>
    <row r="118" spans="1:12" ht="15">
      <c r="A118" s="114">
        <v>44427</v>
      </c>
      <c r="B118" s="56">
        <v>4307</v>
      </c>
      <c r="C118" s="56">
        <f t="shared" si="9"/>
        <v>17228</v>
      </c>
      <c r="D118" s="94">
        <v>1975.3194444444446</v>
      </c>
      <c r="E118" s="58">
        <v>3.5</v>
      </c>
      <c r="F118" s="89">
        <v>3.19</v>
      </c>
      <c r="G118" s="89">
        <v>0.39</v>
      </c>
      <c r="H118" s="59">
        <f t="shared" si="10"/>
        <v>3799.9292</v>
      </c>
      <c r="I118" s="60">
        <f t="shared" si="11"/>
        <v>635.08394055555539</v>
      </c>
      <c r="J118" s="60">
        <f t="shared" si="12"/>
        <v>4435.0131405555558</v>
      </c>
      <c r="K118" s="60">
        <f t="shared" si="7"/>
        <v>8.8548540887198719</v>
      </c>
      <c r="L118" s="60">
        <f t="shared" si="8"/>
        <v>128.01314055555576</v>
      </c>
    </row>
    <row r="119" spans="1:12" ht="15">
      <c r="A119" s="114">
        <v>44428</v>
      </c>
      <c r="B119" s="56">
        <v>3504</v>
      </c>
      <c r="C119" s="56">
        <f t="shared" si="9"/>
        <v>14016</v>
      </c>
      <c r="D119" s="94">
        <v>1618.375</v>
      </c>
      <c r="E119" s="58">
        <v>3.5</v>
      </c>
      <c r="F119" s="89">
        <v>7.91</v>
      </c>
      <c r="G119" s="89">
        <v>2.2000000000000002</v>
      </c>
      <c r="H119" s="59">
        <f t="shared" si="10"/>
        <v>4045.0215999999996</v>
      </c>
      <c r="I119" s="60">
        <f t="shared" si="11"/>
        <v>758.83821987056683</v>
      </c>
      <c r="J119" s="60">
        <f t="shared" si="12"/>
        <v>4803.8598198705668</v>
      </c>
      <c r="K119" s="60">
        <f t="shared" si="7"/>
        <v>89.913183840282144</v>
      </c>
      <c r="L119" s="60">
        <f t="shared" si="8"/>
        <v>1299.8598198705668</v>
      </c>
    </row>
    <row r="120" spans="1:12" ht="15">
      <c r="A120" s="114">
        <v>44429</v>
      </c>
      <c r="B120" s="56">
        <v>4084</v>
      </c>
      <c r="C120" s="56">
        <f t="shared" si="9"/>
        <v>16336</v>
      </c>
      <c r="D120" s="94">
        <v>1326.6111111111111</v>
      </c>
      <c r="E120" s="58">
        <v>3.5</v>
      </c>
      <c r="F120" s="89">
        <v>4.82</v>
      </c>
      <c r="G120" s="89">
        <v>3.86</v>
      </c>
      <c r="H120" s="59">
        <f t="shared" si="10"/>
        <v>4018.3627999999999</v>
      </c>
      <c r="I120" s="60">
        <f t="shared" si="11"/>
        <v>715.04960944444451</v>
      </c>
      <c r="J120" s="60">
        <f t="shared" si="12"/>
        <v>4733.4124094444442</v>
      </c>
      <c r="K120" s="60">
        <f t="shared" si="7"/>
        <v>44.920795662683943</v>
      </c>
      <c r="L120" s="60">
        <f t="shared" si="8"/>
        <v>649.41240944444417</v>
      </c>
    </row>
    <row r="121" spans="1:12" ht="15">
      <c r="A121" s="114">
        <v>44430</v>
      </c>
      <c r="B121" s="56">
        <v>4193</v>
      </c>
      <c r="C121" s="56">
        <f t="shared" si="9"/>
        <v>16772</v>
      </c>
      <c r="D121" s="94">
        <v>855.19444444444434</v>
      </c>
      <c r="E121" s="58">
        <v>3.5</v>
      </c>
      <c r="F121" s="89">
        <v>6.11</v>
      </c>
      <c r="G121" s="89">
        <v>1.87</v>
      </c>
      <c r="H121" s="59">
        <f t="shared" si="10"/>
        <v>3730.3919999999998</v>
      </c>
      <c r="I121" s="60">
        <f t="shared" si="11"/>
        <v>586.21577500000001</v>
      </c>
      <c r="J121" s="60">
        <f t="shared" si="12"/>
        <v>4316.6077749999995</v>
      </c>
      <c r="K121" s="60">
        <f t="shared" si="7"/>
        <v>8.550128581380303</v>
      </c>
      <c r="L121" s="60">
        <f t="shared" si="8"/>
        <v>123.60777499999949</v>
      </c>
    </row>
    <row r="122" spans="1:12" ht="15">
      <c r="A122" s="114">
        <v>44431</v>
      </c>
      <c r="B122" s="56">
        <v>4251</v>
      </c>
      <c r="C122" s="56">
        <f t="shared" si="9"/>
        <v>17004</v>
      </c>
      <c r="D122" s="94">
        <v>816.90277777777783</v>
      </c>
      <c r="E122" s="58">
        <v>5</v>
      </c>
      <c r="F122" s="89">
        <v>0.59</v>
      </c>
      <c r="G122" s="89">
        <v>6.76</v>
      </c>
      <c r="H122" s="59">
        <f t="shared" si="10"/>
        <v>4134.9915999999994</v>
      </c>
      <c r="I122" s="60">
        <f t="shared" si="11"/>
        <v>481.13277111111108</v>
      </c>
      <c r="J122" s="60">
        <f t="shared" si="12"/>
        <v>4616.1243711111101</v>
      </c>
      <c r="K122" s="60">
        <f t="shared" si="7"/>
        <v>25.256180860755922</v>
      </c>
      <c r="L122" s="60">
        <f t="shared" si="8"/>
        <v>365.12437111111012</v>
      </c>
    </row>
    <row r="123" spans="1:12" ht="15">
      <c r="A123" s="114">
        <v>44432</v>
      </c>
      <c r="B123" s="56">
        <v>4634</v>
      </c>
      <c r="C123" s="56">
        <f t="shared" si="9"/>
        <v>18536</v>
      </c>
      <c r="D123" s="94">
        <v>524.25</v>
      </c>
      <c r="E123" s="58">
        <v>5</v>
      </c>
      <c r="F123" s="89">
        <v>6.58</v>
      </c>
      <c r="G123" s="89">
        <v>4.1500000000000004</v>
      </c>
      <c r="H123" s="59">
        <f t="shared" si="10"/>
        <v>4224.9991999999993</v>
      </c>
      <c r="I123" s="60">
        <f t="shared" si="11"/>
        <v>310.73156444444442</v>
      </c>
      <c r="J123" s="60">
        <f t="shared" si="12"/>
        <v>4535.7307644444436</v>
      </c>
      <c r="K123" s="60">
        <f t="shared" si="7"/>
        <v>6.7974251586840699</v>
      </c>
      <c r="L123" s="60">
        <f t="shared" si="8"/>
        <v>-98.269235555556406</v>
      </c>
    </row>
    <row r="124" spans="1:12" ht="15">
      <c r="A124" s="114">
        <v>44433</v>
      </c>
      <c r="B124" s="56">
        <v>5294</v>
      </c>
      <c r="C124" s="56">
        <f t="shared" si="9"/>
        <v>21176</v>
      </c>
      <c r="D124" s="94">
        <v>805.30555555555566</v>
      </c>
      <c r="E124" s="58">
        <v>5</v>
      </c>
      <c r="F124" s="89">
        <v>5.07</v>
      </c>
      <c r="G124" s="89">
        <v>1.9</v>
      </c>
      <c r="H124" s="59">
        <f t="shared" si="10"/>
        <v>4404.0291999999999</v>
      </c>
      <c r="I124" s="60">
        <f t="shared" si="11"/>
        <v>298.38436277777777</v>
      </c>
      <c r="J124" s="60">
        <f t="shared" si="12"/>
        <v>4702.4135627777778</v>
      </c>
      <c r="K124" s="60">
        <f t="shared" si="7"/>
        <v>40.920889525361069</v>
      </c>
      <c r="L124" s="60">
        <f t="shared" si="8"/>
        <v>-591.58643722222223</v>
      </c>
    </row>
    <row r="125" spans="1:12" ht="15">
      <c r="A125" s="114">
        <v>44434</v>
      </c>
      <c r="B125" s="56">
        <v>3934</v>
      </c>
      <c r="C125" s="56">
        <f t="shared" si="9"/>
        <v>15736</v>
      </c>
      <c r="D125" s="94">
        <v>720.63888888888891</v>
      </c>
      <c r="E125" s="58">
        <v>5</v>
      </c>
      <c r="F125" s="89">
        <v>4.12</v>
      </c>
      <c r="G125" s="89">
        <v>1.42</v>
      </c>
      <c r="H125" s="59">
        <f t="shared" si="10"/>
        <v>4890.1839999999993</v>
      </c>
      <c r="I125" s="60">
        <f t="shared" si="11"/>
        <v>192.31949999999998</v>
      </c>
      <c r="J125" s="60">
        <f t="shared" si="12"/>
        <v>5082.5034999999989</v>
      </c>
      <c r="K125" s="60">
        <f t="shared" si="7"/>
        <v>79.44364827508096</v>
      </c>
      <c r="L125" s="60">
        <f t="shared" si="8"/>
        <v>1148.5034999999989</v>
      </c>
    </row>
    <row r="126" spans="1:12" ht="15">
      <c r="A126" s="114">
        <v>44435</v>
      </c>
      <c r="B126" s="56">
        <v>5383</v>
      </c>
      <c r="C126" s="56">
        <f t="shared" si="9"/>
        <v>21532</v>
      </c>
      <c r="D126" s="94">
        <v>865.95833333333337</v>
      </c>
      <c r="E126" s="58">
        <v>5</v>
      </c>
      <c r="F126" s="89">
        <v>4.4000000000000004</v>
      </c>
      <c r="G126" s="89">
        <v>8.09</v>
      </c>
      <c r="H126" s="59">
        <f t="shared" si="10"/>
        <v>4797.9359999999997</v>
      </c>
      <c r="I126" s="60">
        <f t="shared" si="11"/>
        <v>293.62110555555557</v>
      </c>
      <c r="J126" s="60">
        <f t="shared" si="12"/>
        <v>5091.5571055555556</v>
      </c>
      <c r="K126" s="60">
        <f t="shared" si="7"/>
        <v>20.159526547821585</v>
      </c>
      <c r="L126" s="60">
        <f t="shared" si="8"/>
        <v>-291.44289444444439</v>
      </c>
    </row>
    <row r="127" spans="1:12" ht="15">
      <c r="A127" s="114">
        <v>44436</v>
      </c>
      <c r="B127" s="56">
        <v>5481</v>
      </c>
      <c r="C127" s="56">
        <f t="shared" si="9"/>
        <v>21924</v>
      </c>
      <c r="D127" s="94">
        <v>549.25</v>
      </c>
      <c r="E127" s="58">
        <v>5</v>
      </c>
      <c r="F127" s="89">
        <v>2.93</v>
      </c>
      <c r="G127" s="89">
        <v>1.82</v>
      </c>
      <c r="H127" s="59">
        <f t="shared" si="10"/>
        <v>4484.0075999999999</v>
      </c>
      <c r="I127" s="60">
        <f t="shared" si="11"/>
        <v>263.04125888888882</v>
      </c>
      <c r="J127" s="60">
        <f t="shared" si="12"/>
        <v>4747.0488588888884</v>
      </c>
      <c r="K127" s="60">
        <f t="shared" si="7"/>
        <v>50.768462007756625</v>
      </c>
      <c r="L127" s="60">
        <f t="shared" si="8"/>
        <v>-733.95114111111161</v>
      </c>
    </row>
    <row r="128" spans="1:12" ht="15">
      <c r="A128" s="114">
        <v>44437</v>
      </c>
      <c r="B128" s="56">
        <v>4957</v>
      </c>
      <c r="C128" s="56">
        <f t="shared" si="9"/>
        <v>19828</v>
      </c>
      <c r="D128" s="94">
        <v>452.8194444444444</v>
      </c>
      <c r="E128" s="58">
        <v>5</v>
      </c>
      <c r="F128" s="89">
        <v>7.65</v>
      </c>
      <c r="G128" s="89">
        <v>5.98</v>
      </c>
      <c r="H128" s="59">
        <f t="shared" si="10"/>
        <v>5429.8951999999999</v>
      </c>
      <c r="I128" s="60">
        <f t="shared" si="11"/>
        <v>316.10014833333332</v>
      </c>
      <c r="J128" s="60">
        <f t="shared" si="12"/>
        <v>5745.9953483333329</v>
      </c>
      <c r="K128" s="60">
        <f t="shared" si="7"/>
        <v>54.575949436521825</v>
      </c>
      <c r="L128" s="60">
        <f t="shared" si="8"/>
        <v>788.99534833333291</v>
      </c>
    </row>
    <row r="129" spans="1:12" ht="15">
      <c r="A129" s="114">
        <v>44438</v>
      </c>
      <c r="B129" s="56">
        <v>5889</v>
      </c>
      <c r="C129" s="56">
        <f t="shared" si="9"/>
        <v>23556</v>
      </c>
      <c r="D129" s="94">
        <v>418.1805555555556</v>
      </c>
      <c r="E129" s="58">
        <v>5</v>
      </c>
      <c r="F129" s="89">
        <v>4.67</v>
      </c>
      <c r="G129" s="89">
        <v>2.84</v>
      </c>
      <c r="H129" s="59">
        <f t="shared" si="10"/>
        <v>5296.2623999999996</v>
      </c>
      <c r="I129" s="60">
        <f t="shared" si="11"/>
        <v>201.24196999999998</v>
      </c>
      <c r="J129" s="60">
        <f t="shared" si="12"/>
        <v>5497.5043699999997</v>
      </c>
      <c r="K129" s="60">
        <f t="shared" si="7"/>
        <v>27.080318981136138</v>
      </c>
      <c r="L129" s="60">
        <f t="shared" si="8"/>
        <v>-391.49563000000035</v>
      </c>
    </row>
    <row r="130" spans="1:12" ht="15">
      <c r="A130" s="114">
        <v>44439</v>
      </c>
      <c r="B130" s="56">
        <v>5444</v>
      </c>
      <c r="C130" s="56">
        <f t="shared" si="9"/>
        <v>21776</v>
      </c>
      <c r="D130" s="94">
        <v>558.5</v>
      </c>
      <c r="E130" s="58">
        <v>5</v>
      </c>
      <c r="F130" s="89">
        <v>6.55</v>
      </c>
      <c r="G130" s="89">
        <v>3.27</v>
      </c>
      <c r="H130" s="59">
        <f t="shared" si="10"/>
        <v>5314.4767999999995</v>
      </c>
      <c r="I130" s="60">
        <f t="shared" si="11"/>
        <v>166.66749944444442</v>
      </c>
      <c r="J130" s="60">
        <f t="shared" si="12"/>
        <v>5481.1442994444442</v>
      </c>
      <c r="K130" s="60">
        <f t="shared" si="7"/>
        <v>2.5693249175894648</v>
      </c>
      <c r="L130" s="60">
        <f t="shared" si="8"/>
        <v>37.144299444444187</v>
      </c>
    </row>
    <row r="131" spans="1:12" ht="15">
      <c r="A131" s="114">
        <v>44440</v>
      </c>
      <c r="B131" s="56">
        <v>5368</v>
      </c>
      <c r="C131" s="56">
        <f t="shared" si="9"/>
        <v>21472</v>
      </c>
      <c r="D131" s="94">
        <v>464.55555555555554</v>
      </c>
      <c r="E131" s="58">
        <v>5</v>
      </c>
      <c r="F131" s="89">
        <v>6.34</v>
      </c>
      <c r="G131" s="89">
        <v>2.9</v>
      </c>
      <c r="H131" s="59">
        <f t="shared" si="10"/>
        <v>5733.6819999999998</v>
      </c>
      <c r="I131" s="60">
        <f t="shared" si="11"/>
        <v>153.96652055555558</v>
      </c>
      <c r="J131" s="60">
        <f t="shared" si="12"/>
        <v>5887.6485205555555</v>
      </c>
      <c r="K131" s="60">
        <f t="shared" si="7"/>
        <v>35.94483977948849</v>
      </c>
      <c r="L131" s="60">
        <f t="shared" si="8"/>
        <v>519.64852055555548</v>
      </c>
    </row>
    <row r="132" spans="1:12" ht="15">
      <c r="A132" s="114">
        <v>44441</v>
      </c>
      <c r="B132" s="56">
        <v>5964</v>
      </c>
      <c r="C132" s="56">
        <f t="shared" si="9"/>
        <v>23856</v>
      </c>
      <c r="D132" s="94">
        <v>879.7361111111112</v>
      </c>
      <c r="E132" s="58">
        <v>5</v>
      </c>
      <c r="F132" s="89">
        <v>6.22</v>
      </c>
      <c r="G132" s="89">
        <v>1.5</v>
      </c>
      <c r="H132" s="59">
        <f t="shared" si="10"/>
        <v>5426.0976000000001</v>
      </c>
      <c r="I132" s="60">
        <f t="shared" si="11"/>
        <v>204.60457</v>
      </c>
      <c r="J132" s="60">
        <f t="shared" si="12"/>
        <v>5630.7021700000005</v>
      </c>
      <c r="K132" s="60">
        <f t="shared" ref="K132:K195" si="13">SQRT((J132-B132)^2/209)</f>
        <v>23.054692978617577</v>
      </c>
      <c r="L132" s="60">
        <f t="shared" ref="L132:L195" si="14">J132-B132</f>
        <v>-333.29782999999952</v>
      </c>
    </row>
    <row r="133" spans="1:12" ht="15">
      <c r="A133" s="114">
        <v>44442</v>
      </c>
      <c r="B133" s="56">
        <v>8510</v>
      </c>
      <c r="C133" s="56">
        <f t="shared" ref="C133:C196" si="15">B133*4</f>
        <v>34040</v>
      </c>
      <c r="D133" s="94">
        <v>580.24305555555554</v>
      </c>
      <c r="E133" s="58">
        <v>5</v>
      </c>
      <c r="F133" s="89">
        <v>5.89</v>
      </c>
      <c r="G133" s="89">
        <v>4.6500000000000004</v>
      </c>
      <c r="H133" s="59">
        <f t="shared" si="10"/>
        <v>5600.3503999999994</v>
      </c>
      <c r="I133" s="60">
        <f t="shared" si="11"/>
        <v>170.66325555555554</v>
      </c>
      <c r="J133" s="60">
        <f t="shared" si="12"/>
        <v>5771.0136555555546</v>
      </c>
      <c r="K133" s="60">
        <f t="shared" si="13"/>
        <v>189.45964707838894</v>
      </c>
      <c r="L133" s="60">
        <f t="shared" si="14"/>
        <v>-2738.9863444444454</v>
      </c>
    </row>
    <row r="134" spans="1:12" ht="15">
      <c r="A134" s="114">
        <v>44443</v>
      </c>
      <c r="B134" s="56">
        <v>4104</v>
      </c>
      <c r="C134" s="56">
        <f t="shared" si="15"/>
        <v>16416</v>
      </c>
      <c r="D134" s="94">
        <v>1041.6388888888889</v>
      </c>
      <c r="E134" s="58">
        <v>5</v>
      </c>
      <c r="F134" s="89">
        <v>7.76</v>
      </c>
      <c r="G134" s="89">
        <v>4.78</v>
      </c>
      <c r="H134" s="59">
        <f t="shared" ref="H134:H197" si="16">10.4+B133-0.6276*(B133-B132)</f>
        <v>6922.5303999999996</v>
      </c>
      <c r="I134" s="60">
        <f t="shared" si="11"/>
        <v>320.41963611111112</v>
      </c>
      <c r="J134" s="60">
        <f t="shared" si="12"/>
        <v>7242.9500361111104</v>
      </c>
      <c r="K134" s="60">
        <f t="shared" si="13"/>
        <v>217.12571413309925</v>
      </c>
      <c r="L134" s="60">
        <f t="shared" si="14"/>
        <v>3138.9500361111104</v>
      </c>
    </row>
    <row r="135" spans="1:12" ht="15">
      <c r="A135" s="114">
        <v>44444</v>
      </c>
      <c r="B135" s="56">
        <v>6226</v>
      </c>
      <c r="C135" s="56">
        <f t="shared" si="15"/>
        <v>24904</v>
      </c>
      <c r="D135" s="94">
        <v>1217.8194444444446</v>
      </c>
      <c r="E135" s="58">
        <v>5</v>
      </c>
      <c r="F135" s="89">
        <v>3.26</v>
      </c>
      <c r="G135" s="89">
        <v>3.21</v>
      </c>
      <c r="H135" s="59">
        <f t="shared" si="16"/>
        <v>6879.6055999999999</v>
      </c>
      <c r="I135" s="60">
        <f t="shared" ref="I135:I198" si="17">0.361*D133+0.577*E133-0.03*F133+0.091*G133</f>
        <v>212.5991930555555</v>
      </c>
      <c r="J135" s="60">
        <f t="shared" ref="J135:J198" si="18">SUM(H135:I135)</f>
        <v>7092.2047930555555</v>
      </c>
      <c r="K135" s="60">
        <f t="shared" si="13"/>
        <v>59.916638402664766</v>
      </c>
      <c r="L135" s="60">
        <f t="shared" si="14"/>
        <v>866.20479305555546</v>
      </c>
    </row>
    <row r="136" spans="1:12" ht="15">
      <c r="A136" s="114">
        <v>44445</v>
      </c>
      <c r="B136" s="56">
        <v>7122</v>
      </c>
      <c r="C136" s="56">
        <f t="shared" si="15"/>
        <v>28488</v>
      </c>
      <c r="D136" s="94">
        <v>1469.1805555555554</v>
      </c>
      <c r="E136" s="58">
        <v>5</v>
      </c>
      <c r="F136" s="89">
        <v>6.17</v>
      </c>
      <c r="G136" s="89">
        <v>4.13</v>
      </c>
      <c r="H136" s="59">
        <f t="shared" si="16"/>
        <v>4904.6327999999994</v>
      </c>
      <c r="I136" s="60">
        <f t="shared" si="17"/>
        <v>379.11881888888888</v>
      </c>
      <c r="J136" s="60">
        <f t="shared" si="18"/>
        <v>5283.7516188888885</v>
      </c>
      <c r="K136" s="60">
        <f t="shared" si="13"/>
        <v>127.15429933929522</v>
      </c>
      <c r="L136" s="60">
        <f t="shared" si="14"/>
        <v>-1838.2483811111115</v>
      </c>
    </row>
    <row r="137" spans="1:12" ht="15">
      <c r="A137" s="114">
        <v>44446</v>
      </c>
      <c r="B137" s="56">
        <v>7310</v>
      </c>
      <c r="C137" s="56">
        <f t="shared" si="15"/>
        <v>29240</v>
      </c>
      <c r="D137" s="94">
        <v>2240.083333333333</v>
      </c>
      <c r="E137" s="58">
        <v>5</v>
      </c>
      <c r="F137" s="89">
        <v>2.48</v>
      </c>
      <c r="G137" s="89">
        <v>1.42</v>
      </c>
      <c r="H137" s="59">
        <f t="shared" si="16"/>
        <v>6570.0703999999996</v>
      </c>
      <c r="I137" s="60">
        <f t="shared" si="17"/>
        <v>442.71212944444443</v>
      </c>
      <c r="J137" s="60">
        <f t="shared" si="18"/>
        <v>7012.7825294444438</v>
      </c>
      <c r="K137" s="60">
        <f t="shared" si="13"/>
        <v>20.558962329696744</v>
      </c>
      <c r="L137" s="60">
        <f t="shared" si="14"/>
        <v>-297.21747055555625</v>
      </c>
    </row>
    <row r="138" spans="1:12" ht="15">
      <c r="A138" s="114">
        <v>44447</v>
      </c>
      <c r="B138" s="56">
        <v>7308</v>
      </c>
      <c r="C138" s="56">
        <f t="shared" si="15"/>
        <v>29232</v>
      </c>
      <c r="D138" s="94">
        <v>2271.5</v>
      </c>
      <c r="E138" s="58">
        <v>5</v>
      </c>
      <c r="F138" s="89">
        <v>6.7</v>
      </c>
      <c r="G138" s="89">
        <v>2.9</v>
      </c>
      <c r="H138" s="59">
        <f t="shared" si="16"/>
        <v>7202.4111999999996</v>
      </c>
      <c r="I138" s="60">
        <f t="shared" si="17"/>
        <v>533.44991055555545</v>
      </c>
      <c r="J138" s="60">
        <f t="shared" si="18"/>
        <v>7735.8611105555547</v>
      </c>
      <c r="K138" s="60">
        <f t="shared" si="13"/>
        <v>29.595771869707878</v>
      </c>
      <c r="L138" s="60">
        <f t="shared" si="14"/>
        <v>427.86111055555466</v>
      </c>
    </row>
    <row r="139" spans="1:12" ht="15">
      <c r="A139" s="114">
        <v>44448</v>
      </c>
      <c r="B139" s="56">
        <v>5549</v>
      </c>
      <c r="C139" s="56">
        <f t="shared" si="15"/>
        <v>22196</v>
      </c>
      <c r="D139" s="94">
        <v>2612.8333333333335</v>
      </c>
      <c r="E139" s="58">
        <v>5</v>
      </c>
      <c r="F139" s="89">
        <v>5.22</v>
      </c>
      <c r="G139" s="89">
        <v>3.44</v>
      </c>
      <c r="H139" s="59">
        <f t="shared" si="16"/>
        <v>7319.6551999999992</v>
      </c>
      <c r="I139" s="60">
        <f t="shared" si="17"/>
        <v>811.60990333333325</v>
      </c>
      <c r="J139" s="60">
        <f t="shared" si="18"/>
        <v>8131.2651033333323</v>
      </c>
      <c r="K139" s="60">
        <f t="shared" si="13"/>
        <v>178.61901215122899</v>
      </c>
      <c r="L139" s="60">
        <f t="shared" si="14"/>
        <v>2582.2651033333323</v>
      </c>
    </row>
    <row r="140" spans="1:12" ht="15">
      <c r="A140" s="114">
        <v>44449</v>
      </c>
      <c r="B140" s="56">
        <v>7539</v>
      </c>
      <c r="C140" s="56">
        <f t="shared" si="15"/>
        <v>30156</v>
      </c>
      <c r="D140" s="94">
        <v>2551.375</v>
      </c>
      <c r="E140" s="58">
        <v>5</v>
      </c>
      <c r="F140" s="89">
        <v>1.86</v>
      </c>
      <c r="G140" s="89">
        <v>4.1500000000000004</v>
      </c>
      <c r="H140" s="59">
        <f t="shared" si="16"/>
        <v>6663.3483999999999</v>
      </c>
      <c r="I140" s="60">
        <f t="shared" si="17"/>
        <v>822.95939999999996</v>
      </c>
      <c r="J140" s="60">
        <f t="shared" si="18"/>
        <v>7486.3077999999996</v>
      </c>
      <c r="K140" s="60">
        <f t="shared" si="13"/>
        <v>3.6447956872924263</v>
      </c>
      <c r="L140" s="60">
        <f t="shared" si="14"/>
        <v>-52.692200000000412</v>
      </c>
    </row>
    <row r="141" spans="1:12" ht="15">
      <c r="A141" s="114">
        <v>44450</v>
      </c>
      <c r="B141" s="56">
        <v>5629</v>
      </c>
      <c r="C141" s="56">
        <f t="shared" si="15"/>
        <v>22516</v>
      </c>
      <c r="D141" s="94">
        <v>2977.0416666666665</v>
      </c>
      <c r="E141" s="58">
        <v>5</v>
      </c>
      <c r="F141" s="89">
        <v>2.39</v>
      </c>
      <c r="G141" s="89">
        <v>5.56</v>
      </c>
      <c r="H141" s="59">
        <f t="shared" si="16"/>
        <v>6300.4759999999997</v>
      </c>
      <c r="I141" s="60">
        <f t="shared" si="17"/>
        <v>946.27427333333333</v>
      </c>
      <c r="J141" s="60">
        <f t="shared" si="18"/>
        <v>7246.7502733333331</v>
      </c>
      <c r="K141" s="60">
        <f t="shared" si="13"/>
        <v>111.90212629879623</v>
      </c>
      <c r="L141" s="60">
        <f t="shared" si="14"/>
        <v>1617.7502733333331</v>
      </c>
    </row>
    <row r="142" spans="1:12" ht="15">
      <c r="A142" s="114">
        <v>44451</v>
      </c>
      <c r="B142" s="56">
        <v>6158</v>
      </c>
      <c r="C142" s="56">
        <f t="shared" si="15"/>
        <v>24632</v>
      </c>
      <c r="D142" s="94">
        <v>3421.2777777777778</v>
      </c>
      <c r="E142" s="58">
        <v>5</v>
      </c>
      <c r="F142" s="89">
        <v>7.02</v>
      </c>
      <c r="G142" s="89">
        <v>2.71</v>
      </c>
      <c r="H142" s="59">
        <f t="shared" si="16"/>
        <v>6838.116</v>
      </c>
      <c r="I142" s="60">
        <f t="shared" si="17"/>
        <v>924.25322500000004</v>
      </c>
      <c r="J142" s="60">
        <f t="shared" si="18"/>
        <v>7762.3692250000004</v>
      </c>
      <c r="K142" s="60">
        <f t="shared" si="13"/>
        <v>110.97653983141049</v>
      </c>
      <c r="L142" s="60">
        <f t="shared" si="14"/>
        <v>1604.3692250000004</v>
      </c>
    </row>
    <row r="143" spans="1:12" ht="15">
      <c r="A143" s="114">
        <v>44452</v>
      </c>
      <c r="B143" s="56">
        <v>5446</v>
      </c>
      <c r="C143" s="56">
        <f t="shared" si="15"/>
        <v>21784</v>
      </c>
      <c r="D143" s="94">
        <v>2417.916666666667</v>
      </c>
      <c r="E143" s="58">
        <v>5</v>
      </c>
      <c r="F143" s="89">
        <v>6.87</v>
      </c>
      <c r="G143" s="89">
        <v>2.9</v>
      </c>
      <c r="H143" s="59">
        <f t="shared" si="16"/>
        <v>5836.3995999999997</v>
      </c>
      <c r="I143" s="60">
        <f t="shared" si="17"/>
        <v>1078.0313016666666</v>
      </c>
      <c r="J143" s="60">
        <f t="shared" si="18"/>
        <v>6914.4309016666666</v>
      </c>
      <c r="K143" s="60">
        <f t="shared" si="13"/>
        <v>101.57348938707348</v>
      </c>
      <c r="L143" s="60">
        <f t="shared" si="14"/>
        <v>1468.4309016666666</v>
      </c>
    </row>
    <row r="144" spans="1:12" ht="15">
      <c r="A144" s="114">
        <v>44453</v>
      </c>
      <c r="B144" s="56">
        <v>6315</v>
      </c>
      <c r="C144" s="56">
        <f t="shared" si="15"/>
        <v>25260</v>
      </c>
      <c r="D144" s="94">
        <v>2459.9861111111109</v>
      </c>
      <c r="E144" s="58">
        <v>5</v>
      </c>
      <c r="F144" s="89">
        <v>4.75</v>
      </c>
      <c r="G144" s="89">
        <v>1.42</v>
      </c>
      <c r="H144" s="59">
        <f t="shared" si="16"/>
        <v>5903.2511999999997</v>
      </c>
      <c r="I144" s="60">
        <f t="shared" si="17"/>
        <v>1238.0022877777776</v>
      </c>
      <c r="J144" s="60">
        <f t="shared" si="18"/>
        <v>7141.2534877777771</v>
      </c>
      <c r="K144" s="60">
        <f t="shared" si="13"/>
        <v>57.153148831567933</v>
      </c>
      <c r="L144" s="60">
        <f t="shared" si="14"/>
        <v>826.25348777777708</v>
      </c>
    </row>
    <row r="145" spans="1:12" ht="15">
      <c r="A145" s="114">
        <v>44454</v>
      </c>
      <c r="B145" s="56">
        <v>5301</v>
      </c>
      <c r="C145" s="56">
        <f t="shared" si="15"/>
        <v>21204</v>
      </c>
      <c r="D145" s="94">
        <v>2064.875</v>
      </c>
      <c r="E145" s="58">
        <v>5</v>
      </c>
      <c r="F145" s="89">
        <v>4.5</v>
      </c>
      <c r="G145" s="89">
        <v>4.38</v>
      </c>
      <c r="H145" s="59">
        <f t="shared" si="16"/>
        <v>5780.0155999999997</v>
      </c>
      <c r="I145" s="60">
        <f t="shared" si="17"/>
        <v>875.81071666666674</v>
      </c>
      <c r="J145" s="60">
        <f t="shared" si="18"/>
        <v>6655.8263166666666</v>
      </c>
      <c r="K145" s="60">
        <f t="shared" si="13"/>
        <v>93.715295926473189</v>
      </c>
      <c r="L145" s="60">
        <f t="shared" si="14"/>
        <v>1354.8263166666666</v>
      </c>
    </row>
    <row r="146" spans="1:12" ht="15">
      <c r="A146" s="114">
        <v>44455</v>
      </c>
      <c r="B146" s="56">
        <v>5735</v>
      </c>
      <c r="C146" s="56">
        <f t="shared" si="15"/>
        <v>22940</v>
      </c>
      <c r="D146" s="94">
        <v>1655.4583333333335</v>
      </c>
      <c r="E146" s="58">
        <v>5</v>
      </c>
      <c r="F146" s="89">
        <v>2.38</v>
      </c>
      <c r="G146" s="89">
        <v>5.09</v>
      </c>
      <c r="H146" s="59">
        <f t="shared" si="16"/>
        <v>5947.7864</v>
      </c>
      <c r="I146" s="60">
        <f t="shared" si="17"/>
        <v>890.926706111111</v>
      </c>
      <c r="J146" s="60">
        <f t="shared" si="18"/>
        <v>6838.7131061111113</v>
      </c>
      <c r="K146" s="60">
        <f t="shared" si="13"/>
        <v>76.345431945560733</v>
      </c>
      <c r="L146" s="60">
        <f t="shared" si="14"/>
        <v>1103.7131061111113</v>
      </c>
    </row>
    <row r="147" spans="1:12" ht="15">
      <c r="A147" s="114">
        <v>44456</v>
      </c>
      <c r="B147" s="56">
        <v>5972</v>
      </c>
      <c r="C147" s="56">
        <f t="shared" si="15"/>
        <v>23888</v>
      </c>
      <c r="D147" s="94">
        <v>1085.5972222222222</v>
      </c>
      <c r="E147" s="58">
        <v>5</v>
      </c>
      <c r="F147" s="89">
        <v>3.54</v>
      </c>
      <c r="G147" s="89">
        <v>1.62</v>
      </c>
      <c r="H147" s="59">
        <f t="shared" si="16"/>
        <v>5473.0216</v>
      </c>
      <c r="I147" s="60">
        <f t="shared" si="17"/>
        <v>748.56845499999997</v>
      </c>
      <c r="J147" s="60">
        <f t="shared" si="18"/>
        <v>6221.5900549999997</v>
      </c>
      <c r="K147" s="60">
        <f t="shared" si="13"/>
        <v>17.264505108062885</v>
      </c>
      <c r="L147" s="60">
        <f t="shared" si="14"/>
        <v>249.59005499999967</v>
      </c>
    </row>
    <row r="148" spans="1:12" ht="15">
      <c r="A148" s="114">
        <v>44457</v>
      </c>
      <c r="B148" s="56">
        <v>4273</v>
      </c>
      <c r="C148" s="56">
        <f t="shared" si="15"/>
        <v>17092</v>
      </c>
      <c r="D148" s="94">
        <v>1200.0416666666665</v>
      </c>
      <c r="E148" s="58">
        <v>5</v>
      </c>
      <c r="F148" s="89">
        <v>5.74</v>
      </c>
      <c r="G148" s="89">
        <v>2.71</v>
      </c>
      <c r="H148" s="59">
        <f t="shared" si="16"/>
        <v>5833.6587999999992</v>
      </c>
      <c r="I148" s="60">
        <f t="shared" si="17"/>
        <v>600.89724833333332</v>
      </c>
      <c r="J148" s="60">
        <f t="shared" si="18"/>
        <v>6434.5560483333329</v>
      </c>
      <c r="K148" s="60">
        <f t="shared" si="13"/>
        <v>149.51795830893622</v>
      </c>
      <c r="L148" s="60">
        <f t="shared" si="14"/>
        <v>2161.5560483333329</v>
      </c>
    </row>
    <row r="149" spans="1:12" ht="15">
      <c r="A149" s="114">
        <v>44458</v>
      </c>
      <c r="B149" s="56">
        <v>5496</v>
      </c>
      <c r="C149" s="56">
        <f t="shared" si="15"/>
        <v>21984</v>
      </c>
      <c r="D149" s="94">
        <v>1217.5833333333333</v>
      </c>
      <c r="E149" s="58">
        <v>5</v>
      </c>
      <c r="F149" s="89">
        <v>4.6100000000000003</v>
      </c>
      <c r="G149" s="89">
        <v>0.12</v>
      </c>
      <c r="H149" s="59">
        <f t="shared" si="16"/>
        <v>5349.6923999999999</v>
      </c>
      <c r="I149" s="60">
        <f t="shared" si="17"/>
        <v>394.82681722222219</v>
      </c>
      <c r="J149" s="60">
        <f t="shared" si="18"/>
        <v>5744.5192172222223</v>
      </c>
      <c r="K149" s="60">
        <f t="shared" si="13"/>
        <v>17.190433710128605</v>
      </c>
      <c r="L149" s="60">
        <f t="shared" si="14"/>
        <v>248.51921722222232</v>
      </c>
    </row>
    <row r="150" spans="1:12" ht="15">
      <c r="A150" s="114">
        <v>44459</v>
      </c>
      <c r="B150" s="56">
        <v>5172</v>
      </c>
      <c r="C150" s="56">
        <f t="shared" si="15"/>
        <v>20688</v>
      </c>
      <c r="D150" s="94">
        <v>418.29166666666663</v>
      </c>
      <c r="E150" s="58">
        <v>5</v>
      </c>
      <c r="F150" s="89">
        <v>4.59</v>
      </c>
      <c r="G150" s="89">
        <v>3.91</v>
      </c>
      <c r="H150" s="59">
        <f t="shared" si="16"/>
        <v>4738.8451999999997</v>
      </c>
      <c r="I150" s="60">
        <f t="shared" si="17"/>
        <v>436.17445166666658</v>
      </c>
      <c r="J150" s="60">
        <f t="shared" si="18"/>
        <v>5175.0196516666665</v>
      </c>
      <c r="K150" s="60">
        <f t="shared" si="13"/>
        <v>0.20887367336705201</v>
      </c>
      <c r="L150" s="60">
        <f t="shared" si="14"/>
        <v>3.0196516666665048</v>
      </c>
    </row>
    <row r="151" spans="1:12" ht="15">
      <c r="A151" s="114">
        <v>44460</v>
      </c>
      <c r="B151" s="56">
        <v>6521</v>
      </c>
      <c r="C151" s="56">
        <f t="shared" si="15"/>
        <v>26084</v>
      </c>
      <c r="D151" s="94">
        <v>997.72222222222229</v>
      </c>
      <c r="E151" s="58">
        <v>5</v>
      </c>
      <c r="F151" s="89">
        <v>4.6900000000000004</v>
      </c>
      <c r="G151" s="89">
        <v>3.02</v>
      </c>
      <c r="H151" s="59">
        <f t="shared" si="16"/>
        <v>5385.7424000000001</v>
      </c>
      <c r="I151" s="60">
        <f t="shared" si="17"/>
        <v>442.30520333333328</v>
      </c>
      <c r="J151" s="60">
        <f t="shared" si="18"/>
        <v>5828.0476033333334</v>
      </c>
      <c r="K151" s="60">
        <f t="shared" si="13"/>
        <v>47.932519554499478</v>
      </c>
      <c r="L151" s="60">
        <f t="shared" si="14"/>
        <v>-692.95239666666657</v>
      </c>
    </row>
    <row r="152" spans="1:12" ht="15">
      <c r="A152" s="114">
        <v>44461</v>
      </c>
      <c r="B152" s="56">
        <v>5435</v>
      </c>
      <c r="C152" s="56">
        <f t="shared" si="15"/>
        <v>21740</v>
      </c>
      <c r="D152" s="94">
        <v>7130.2361111111113</v>
      </c>
      <c r="E152" s="58">
        <v>5</v>
      </c>
      <c r="F152" s="89">
        <v>2.13</v>
      </c>
      <c r="G152" s="89">
        <v>1.77</v>
      </c>
      <c r="H152" s="59">
        <f t="shared" si="16"/>
        <v>5684.7675999999992</v>
      </c>
      <c r="I152" s="60">
        <f t="shared" si="17"/>
        <v>154.10640166666664</v>
      </c>
      <c r="J152" s="60">
        <f t="shared" si="18"/>
        <v>5838.8740016666661</v>
      </c>
      <c r="K152" s="60">
        <f t="shared" si="13"/>
        <v>27.936548853230409</v>
      </c>
      <c r="L152" s="60">
        <f t="shared" si="14"/>
        <v>403.87400166666612</v>
      </c>
    </row>
    <row r="153" spans="1:12" ht="15">
      <c r="A153" s="114">
        <v>44462</v>
      </c>
      <c r="B153" s="56">
        <v>5052</v>
      </c>
      <c r="C153" s="56">
        <f t="shared" si="15"/>
        <v>20208</v>
      </c>
      <c r="D153" s="94">
        <v>938.41666666666674</v>
      </c>
      <c r="E153" s="58">
        <v>5</v>
      </c>
      <c r="F153" s="89">
        <v>3.04</v>
      </c>
      <c r="G153" s="89">
        <v>4.7</v>
      </c>
      <c r="H153" s="59">
        <f t="shared" si="16"/>
        <v>6126.9735999999994</v>
      </c>
      <c r="I153" s="60">
        <f t="shared" si="17"/>
        <v>363.19684222222224</v>
      </c>
      <c r="J153" s="60">
        <f t="shared" si="18"/>
        <v>6490.1704422222219</v>
      </c>
      <c r="K153" s="60">
        <f t="shared" si="13"/>
        <v>99.480329638977963</v>
      </c>
      <c r="L153" s="60">
        <f t="shared" si="14"/>
        <v>1438.1704422222219</v>
      </c>
    </row>
    <row r="154" spans="1:12" ht="15">
      <c r="A154" s="114">
        <v>44463</v>
      </c>
      <c r="B154" s="56">
        <v>3786</v>
      </c>
      <c r="C154" s="56">
        <f t="shared" si="15"/>
        <v>15144</v>
      </c>
      <c r="D154" s="94">
        <v>984.70833333333326</v>
      </c>
      <c r="E154" s="58">
        <v>5</v>
      </c>
      <c r="F154" s="89">
        <v>3.06</v>
      </c>
      <c r="G154" s="89">
        <v>3.69</v>
      </c>
      <c r="H154" s="59">
        <f t="shared" si="16"/>
        <v>5302.7707999999993</v>
      </c>
      <c r="I154" s="60">
        <f t="shared" si="17"/>
        <v>2576.9974061111111</v>
      </c>
      <c r="J154" s="60">
        <f t="shared" si="18"/>
        <v>7879.76820611111</v>
      </c>
      <c r="K154" s="60">
        <f t="shared" si="13"/>
        <v>283.17186798821285</v>
      </c>
      <c r="L154" s="60">
        <f t="shared" si="14"/>
        <v>4093.76820611111</v>
      </c>
    </row>
    <row r="155" spans="1:12" ht="15">
      <c r="A155" s="114">
        <v>44464</v>
      </c>
      <c r="B155" s="56">
        <v>4050</v>
      </c>
      <c r="C155" s="56">
        <f t="shared" si="15"/>
        <v>16200</v>
      </c>
      <c r="D155" s="94">
        <v>1869.6805555555557</v>
      </c>
      <c r="E155" s="58">
        <v>5</v>
      </c>
      <c r="F155" s="89">
        <v>1.86</v>
      </c>
      <c r="G155" s="89">
        <v>0.88</v>
      </c>
      <c r="H155" s="59">
        <f t="shared" si="16"/>
        <v>4590.9416000000001</v>
      </c>
      <c r="I155" s="60">
        <f t="shared" si="17"/>
        <v>341.98991666666666</v>
      </c>
      <c r="J155" s="60">
        <f t="shared" si="18"/>
        <v>4932.9315166666665</v>
      </c>
      <c r="K155" s="60">
        <f t="shared" si="13"/>
        <v>61.073650068154343</v>
      </c>
      <c r="L155" s="60">
        <f t="shared" si="14"/>
        <v>882.93151666666654</v>
      </c>
    </row>
    <row r="156" spans="1:12" ht="15">
      <c r="A156" s="114">
        <v>44465</v>
      </c>
      <c r="B156" s="56">
        <v>5121</v>
      </c>
      <c r="C156" s="56">
        <f t="shared" si="15"/>
        <v>20484</v>
      </c>
      <c r="D156" s="94">
        <v>3296.8472222222226</v>
      </c>
      <c r="E156" s="58">
        <v>5</v>
      </c>
      <c r="F156" s="89">
        <v>4.68</v>
      </c>
      <c r="G156" s="89">
        <v>0.64</v>
      </c>
      <c r="H156" s="59">
        <f t="shared" si="16"/>
        <v>3894.7136</v>
      </c>
      <c r="I156" s="60">
        <f t="shared" si="17"/>
        <v>358.60869833333328</v>
      </c>
      <c r="J156" s="60">
        <f t="shared" si="18"/>
        <v>4253.3222983333335</v>
      </c>
      <c r="K156" s="60">
        <f t="shared" si="13"/>
        <v>60.01852162169061</v>
      </c>
      <c r="L156" s="60">
        <f t="shared" si="14"/>
        <v>-867.67770166666651</v>
      </c>
    </row>
    <row r="157" spans="1:12" ht="15">
      <c r="A157" s="114">
        <v>44466</v>
      </c>
      <c r="B157" s="56">
        <v>4134</v>
      </c>
      <c r="C157" s="56">
        <f t="shared" si="15"/>
        <v>16536</v>
      </c>
      <c r="D157" s="94">
        <v>2860.4305555555557</v>
      </c>
      <c r="E157" s="58">
        <v>5</v>
      </c>
      <c r="F157" s="89">
        <v>7.48</v>
      </c>
      <c r="G157" s="89">
        <v>2.38</v>
      </c>
      <c r="H157" s="59">
        <f t="shared" si="16"/>
        <v>4459.2403999999997</v>
      </c>
      <c r="I157" s="60">
        <f t="shared" si="17"/>
        <v>677.86396055555554</v>
      </c>
      <c r="J157" s="60">
        <f t="shared" si="18"/>
        <v>5137.1043605555551</v>
      </c>
      <c r="K157" s="60">
        <f t="shared" si="13"/>
        <v>69.386179496340745</v>
      </c>
      <c r="L157" s="60">
        <f t="shared" si="14"/>
        <v>1003.1043605555551</v>
      </c>
    </row>
    <row r="158" spans="1:12" ht="15">
      <c r="A158" s="114">
        <v>44467</v>
      </c>
      <c r="B158" s="56">
        <v>3749</v>
      </c>
      <c r="C158" s="56">
        <f t="shared" si="15"/>
        <v>14996</v>
      </c>
      <c r="D158" s="94">
        <v>1845.6111111111111</v>
      </c>
      <c r="E158" s="58">
        <v>5</v>
      </c>
      <c r="F158" s="89">
        <v>1.89</v>
      </c>
      <c r="G158" s="89">
        <v>3.26</v>
      </c>
      <c r="H158" s="59">
        <f t="shared" si="16"/>
        <v>4763.8411999999998</v>
      </c>
      <c r="I158" s="60">
        <f t="shared" si="17"/>
        <v>1192.9646872222224</v>
      </c>
      <c r="J158" s="60">
        <f t="shared" si="18"/>
        <v>5956.8058872222227</v>
      </c>
      <c r="K158" s="60">
        <f t="shared" si="13"/>
        <v>152.7171265600283</v>
      </c>
      <c r="L158" s="60">
        <f t="shared" si="14"/>
        <v>2207.8058872222227</v>
      </c>
    </row>
    <row r="159" spans="1:12" ht="15">
      <c r="A159" s="114">
        <v>44468</v>
      </c>
      <c r="B159" s="56">
        <v>4699</v>
      </c>
      <c r="C159" s="56">
        <f t="shared" si="15"/>
        <v>18796</v>
      </c>
      <c r="D159" s="94">
        <v>4523.5555555555557</v>
      </c>
      <c r="E159" s="58">
        <v>5</v>
      </c>
      <c r="F159" s="89">
        <v>5.94</v>
      </c>
      <c r="G159" s="89">
        <v>2.9</v>
      </c>
      <c r="H159" s="59">
        <f t="shared" si="16"/>
        <v>4001.0260000000003</v>
      </c>
      <c r="I159" s="60">
        <f t="shared" si="17"/>
        <v>1035.4926105555555</v>
      </c>
      <c r="J159" s="60">
        <f t="shared" si="18"/>
        <v>5036.5186105555558</v>
      </c>
      <c r="K159" s="60">
        <f t="shared" si="13"/>
        <v>23.346650474525873</v>
      </c>
      <c r="L159" s="60">
        <f t="shared" si="14"/>
        <v>337.51861055555582</v>
      </c>
    </row>
    <row r="160" spans="1:12" ht="15">
      <c r="A160" s="114">
        <v>44469</v>
      </c>
      <c r="B160" s="56">
        <v>4372</v>
      </c>
      <c r="C160" s="56">
        <f t="shared" si="15"/>
        <v>17488</v>
      </c>
      <c r="D160" s="94">
        <v>3495.5277777777778</v>
      </c>
      <c r="E160" s="58">
        <v>5</v>
      </c>
      <c r="F160" s="89">
        <v>7.13</v>
      </c>
      <c r="G160" s="89">
        <v>2.48</v>
      </c>
      <c r="H160" s="59">
        <f t="shared" si="16"/>
        <v>4113.1799999999994</v>
      </c>
      <c r="I160" s="60">
        <f t="shared" si="17"/>
        <v>669.39057111111106</v>
      </c>
      <c r="J160" s="60">
        <f t="shared" si="18"/>
        <v>4782.5705711111104</v>
      </c>
      <c r="K160" s="60">
        <f t="shared" si="13"/>
        <v>28.399760247530985</v>
      </c>
      <c r="L160" s="60">
        <f t="shared" si="14"/>
        <v>410.57057111111044</v>
      </c>
    </row>
    <row r="161" spans="1:12" ht="15">
      <c r="A161" s="114">
        <v>44470</v>
      </c>
      <c r="B161" s="56">
        <v>3670</v>
      </c>
      <c r="C161" s="56">
        <f t="shared" si="15"/>
        <v>14680</v>
      </c>
      <c r="D161" s="94">
        <v>2188.8888888888887</v>
      </c>
      <c r="E161" s="58">
        <v>2</v>
      </c>
      <c r="F161" s="89">
        <v>2.29</v>
      </c>
      <c r="G161" s="89">
        <v>5.07</v>
      </c>
      <c r="H161" s="59">
        <f t="shared" si="16"/>
        <v>4587.6251999999995</v>
      </c>
      <c r="I161" s="60">
        <f t="shared" si="17"/>
        <v>1635.9742555555554</v>
      </c>
      <c r="J161" s="60">
        <f t="shared" si="18"/>
        <v>6223.5994555555553</v>
      </c>
      <c r="K161" s="60">
        <f t="shared" si="13"/>
        <v>176.63616783283112</v>
      </c>
      <c r="L161" s="60">
        <f t="shared" si="14"/>
        <v>2553.5994555555553</v>
      </c>
    </row>
    <row r="162" spans="1:12" ht="15">
      <c r="A162" s="114">
        <v>44471</v>
      </c>
      <c r="B162" s="56">
        <v>2723</v>
      </c>
      <c r="C162" s="56">
        <f t="shared" si="15"/>
        <v>10892</v>
      </c>
      <c r="D162" s="94">
        <v>3744.7361111111113</v>
      </c>
      <c r="E162" s="58">
        <v>2</v>
      </c>
      <c r="F162" s="89">
        <v>2.44</v>
      </c>
      <c r="G162" s="89">
        <v>4.18</v>
      </c>
      <c r="H162" s="59">
        <f t="shared" si="16"/>
        <v>4120.9751999999999</v>
      </c>
      <c r="I162" s="60">
        <f t="shared" si="17"/>
        <v>1264.7823077777778</v>
      </c>
      <c r="J162" s="60">
        <f t="shared" si="18"/>
        <v>5385.7575077777774</v>
      </c>
      <c r="K162" s="60">
        <f t="shared" si="13"/>
        <v>184.18678818978705</v>
      </c>
      <c r="L162" s="60">
        <f t="shared" si="14"/>
        <v>2662.7575077777774</v>
      </c>
    </row>
    <row r="163" spans="1:12" ht="15">
      <c r="A163" s="114">
        <v>44472</v>
      </c>
      <c r="B163" s="56">
        <v>2461</v>
      </c>
      <c r="C163" s="56">
        <f t="shared" si="15"/>
        <v>9844</v>
      </c>
      <c r="D163" s="94">
        <v>3242.6527777777778</v>
      </c>
      <c r="E163" s="58">
        <v>2</v>
      </c>
      <c r="F163" s="89">
        <v>3.27</v>
      </c>
      <c r="G163" s="89">
        <v>3.72</v>
      </c>
      <c r="H163" s="59">
        <f t="shared" si="16"/>
        <v>3327.7372</v>
      </c>
      <c r="I163" s="60">
        <f t="shared" si="17"/>
        <v>791.7355588888887</v>
      </c>
      <c r="J163" s="60">
        <f t="shared" si="18"/>
        <v>4119.4727588888891</v>
      </c>
      <c r="K163" s="60">
        <f t="shared" si="13"/>
        <v>114.71895952513177</v>
      </c>
      <c r="L163" s="60">
        <f t="shared" si="14"/>
        <v>1658.4727588888891</v>
      </c>
    </row>
    <row r="164" spans="1:12" ht="15">
      <c r="A164" s="114">
        <v>44473</v>
      </c>
      <c r="B164" s="56">
        <v>2490</v>
      </c>
      <c r="C164" s="56">
        <f t="shared" si="15"/>
        <v>9960</v>
      </c>
      <c r="D164" s="94">
        <v>3936.7777777777778</v>
      </c>
      <c r="E164" s="58">
        <v>2</v>
      </c>
      <c r="F164" s="89">
        <v>4.4000000000000004</v>
      </c>
      <c r="G164" s="89">
        <v>1.44</v>
      </c>
      <c r="H164" s="59">
        <f t="shared" si="16"/>
        <v>2635.8312000000001</v>
      </c>
      <c r="I164" s="60">
        <f t="shared" si="17"/>
        <v>1353.3109161111111</v>
      </c>
      <c r="J164" s="60">
        <f t="shared" si="18"/>
        <v>3989.1421161111111</v>
      </c>
      <c r="K164" s="60">
        <f t="shared" si="13"/>
        <v>103.69782851048498</v>
      </c>
      <c r="L164" s="60">
        <f t="shared" si="14"/>
        <v>1499.1421161111111</v>
      </c>
    </row>
    <row r="165" spans="1:12" ht="15">
      <c r="A165" s="114">
        <v>44474</v>
      </c>
      <c r="B165" s="56">
        <v>1491</v>
      </c>
      <c r="C165" s="56">
        <f t="shared" si="15"/>
        <v>5964</v>
      </c>
      <c r="D165" s="94">
        <v>3129.4722222222222</v>
      </c>
      <c r="E165" s="58">
        <v>2</v>
      </c>
      <c r="F165" s="89">
        <v>3.89</v>
      </c>
      <c r="G165" s="89">
        <v>4.1900000000000004</v>
      </c>
      <c r="H165" s="59">
        <f t="shared" si="16"/>
        <v>2482.1995999999999</v>
      </c>
      <c r="I165" s="60">
        <f t="shared" si="17"/>
        <v>1171.9920727777778</v>
      </c>
      <c r="J165" s="60">
        <f t="shared" si="18"/>
        <v>3654.191672777778</v>
      </c>
      <c r="K165" s="60">
        <f t="shared" si="13"/>
        <v>149.63109681750379</v>
      </c>
      <c r="L165" s="60">
        <f t="shared" si="14"/>
        <v>2163.191672777778</v>
      </c>
    </row>
    <row r="166" spans="1:12" ht="15">
      <c r="A166" s="114">
        <v>44475</v>
      </c>
      <c r="B166" s="56">
        <v>1960</v>
      </c>
      <c r="C166" s="56">
        <f t="shared" si="15"/>
        <v>7840</v>
      </c>
      <c r="D166" s="94">
        <v>2415.6111111111109</v>
      </c>
      <c r="E166" s="58">
        <v>2</v>
      </c>
      <c r="F166" s="89">
        <v>4.55</v>
      </c>
      <c r="G166" s="89">
        <v>3.28</v>
      </c>
      <c r="H166" s="59">
        <f t="shared" si="16"/>
        <v>2128.3724000000002</v>
      </c>
      <c r="I166" s="60">
        <f t="shared" si="17"/>
        <v>1422.3298177777776</v>
      </c>
      <c r="J166" s="60">
        <f t="shared" si="18"/>
        <v>3550.7022177777781</v>
      </c>
      <c r="K166" s="60">
        <f t="shared" si="13"/>
        <v>110.03117317407316</v>
      </c>
      <c r="L166" s="60">
        <f t="shared" si="14"/>
        <v>1590.7022177777781</v>
      </c>
    </row>
    <row r="167" spans="1:12" ht="15">
      <c r="A167" s="114">
        <v>44476</v>
      </c>
      <c r="B167" s="56">
        <v>1730</v>
      </c>
      <c r="C167" s="56">
        <f t="shared" si="15"/>
        <v>6920</v>
      </c>
      <c r="D167" s="94">
        <v>1791.1944444444446</v>
      </c>
      <c r="E167" s="58">
        <v>2</v>
      </c>
      <c r="F167" s="89">
        <v>2.89</v>
      </c>
      <c r="G167" s="89">
        <v>5.36</v>
      </c>
      <c r="H167" s="59">
        <f t="shared" si="16"/>
        <v>1676.0556000000001</v>
      </c>
      <c r="I167" s="60">
        <f t="shared" si="17"/>
        <v>1131.1580622222223</v>
      </c>
      <c r="J167" s="60">
        <f t="shared" si="18"/>
        <v>2807.2136622222224</v>
      </c>
      <c r="K167" s="60">
        <f t="shared" si="13"/>
        <v>74.512427083325534</v>
      </c>
      <c r="L167" s="60">
        <f t="shared" si="14"/>
        <v>1077.2136622222224</v>
      </c>
    </row>
    <row r="168" spans="1:12" ht="15">
      <c r="A168" s="114">
        <v>44477</v>
      </c>
      <c r="B168" s="56">
        <v>2215</v>
      </c>
      <c r="C168" s="56">
        <f t="shared" si="15"/>
        <v>8860</v>
      </c>
      <c r="D168" s="94">
        <v>1417.7777777777776</v>
      </c>
      <c r="E168" s="58">
        <v>2</v>
      </c>
      <c r="F168" s="89">
        <v>7.86</v>
      </c>
      <c r="G168" s="89">
        <v>2.88</v>
      </c>
      <c r="H168" s="59">
        <f t="shared" si="16"/>
        <v>1884.748</v>
      </c>
      <c r="I168" s="60">
        <f t="shared" si="17"/>
        <v>873.35159111111102</v>
      </c>
      <c r="J168" s="60">
        <f t="shared" si="18"/>
        <v>2758.0995911111113</v>
      </c>
      <c r="K168" s="60">
        <f t="shared" si="13"/>
        <v>37.56698424913067</v>
      </c>
      <c r="L168" s="60">
        <f t="shared" si="14"/>
        <v>543.09959111111129</v>
      </c>
    </row>
    <row r="169" spans="1:12" ht="15">
      <c r="A169" s="114">
        <v>44478</v>
      </c>
      <c r="B169" s="56">
        <v>1662</v>
      </c>
      <c r="C169" s="56">
        <f t="shared" si="15"/>
        <v>6648</v>
      </c>
      <c r="D169" s="94">
        <v>1118.1388888888889</v>
      </c>
      <c r="E169" s="58">
        <v>2</v>
      </c>
      <c r="F169" s="89">
        <v>4.74</v>
      </c>
      <c r="G169" s="89">
        <v>5.01</v>
      </c>
      <c r="H169" s="59">
        <f t="shared" si="16"/>
        <v>1921.0140000000001</v>
      </c>
      <c r="I169" s="60">
        <f t="shared" si="17"/>
        <v>648.17625444444445</v>
      </c>
      <c r="J169" s="60">
        <f t="shared" si="18"/>
        <v>2569.1902544444447</v>
      </c>
      <c r="K169" s="60">
        <f t="shared" si="13"/>
        <v>62.751662047756696</v>
      </c>
      <c r="L169" s="60">
        <f t="shared" si="14"/>
        <v>907.19025444444469</v>
      </c>
    </row>
    <row r="170" spans="1:12" ht="15">
      <c r="A170" s="114">
        <v>44479</v>
      </c>
      <c r="B170" s="56">
        <v>1067</v>
      </c>
      <c r="C170" s="56">
        <f t="shared" si="15"/>
        <v>4268</v>
      </c>
      <c r="D170" s="94">
        <v>1335.9166666666667</v>
      </c>
      <c r="E170" s="58">
        <v>2</v>
      </c>
      <c r="F170" s="89">
        <v>5.45</v>
      </c>
      <c r="G170" s="89">
        <v>3.54</v>
      </c>
      <c r="H170" s="59">
        <f t="shared" si="16"/>
        <v>2019.4628000000002</v>
      </c>
      <c r="I170" s="60">
        <f t="shared" si="17"/>
        <v>512.9980577777776</v>
      </c>
      <c r="J170" s="60">
        <f t="shared" si="18"/>
        <v>2532.4608577777781</v>
      </c>
      <c r="K170" s="60">
        <f t="shared" si="13"/>
        <v>101.36804715544737</v>
      </c>
      <c r="L170" s="60">
        <f t="shared" si="14"/>
        <v>1465.4608577777781</v>
      </c>
    </row>
    <row r="171" spans="1:12" ht="15">
      <c r="A171" s="114">
        <v>44480</v>
      </c>
      <c r="B171" s="56">
        <v>1527</v>
      </c>
      <c r="C171" s="56">
        <f t="shared" si="15"/>
        <v>6108</v>
      </c>
      <c r="D171" s="94">
        <v>787.93055555555566</v>
      </c>
      <c r="E171" s="58">
        <v>2</v>
      </c>
      <c r="F171" s="89">
        <v>0.57999999999999996</v>
      </c>
      <c r="G171" s="89">
        <v>2.14</v>
      </c>
      <c r="H171" s="59">
        <f t="shared" si="16"/>
        <v>1450.8220000000001</v>
      </c>
      <c r="I171" s="60">
        <f t="shared" si="17"/>
        <v>405.11584888888888</v>
      </c>
      <c r="J171" s="60">
        <f t="shared" si="18"/>
        <v>1855.937848888889</v>
      </c>
      <c r="K171" s="60">
        <f t="shared" si="13"/>
        <v>22.753106778943771</v>
      </c>
      <c r="L171" s="60">
        <f t="shared" si="14"/>
        <v>328.93784888888899</v>
      </c>
    </row>
    <row r="172" spans="1:12" ht="15">
      <c r="A172" s="114">
        <v>44481</v>
      </c>
      <c r="B172" s="56">
        <v>1018</v>
      </c>
      <c r="C172" s="56">
        <f t="shared" si="15"/>
        <v>4072</v>
      </c>
      <c r="D172" s="94">
        <v>857.33333333333337</v>
      </c>
      <c r="E172" s="58">
        <v>2</v>
      </c>
      <c r="F172" s="89">
        <v>4.28</v>
      </c>
      <c r="G172" s="89">
        <v>1.65</v>
      </c>
      <c r="H172" s="59">
        <f t="shared" si="16"/>
        <v>1248.7040000000002</v>
      </c>
      <c r="I172" s="60">
        <f t="shared" si="17"/>
        <v>483.57855666666666</v>
      </c>
      <c r="J172" s="60">
        <f t="shared" si="18"/>
        <v>1732.2825566666668</v>
      </c>
      <c r="K172" s="60">
        <f t="shared" si="13"/>
        <v>49.407957573357251</v>
      </c>
      <c r="L172" s="60">
        <f t="shared" si="14"/>
        <v>714.28255666666678</v>
      </c>
    </row>
    <row r="173" spans="1:12" ht="15">
      <c r="A173" s="114">
        <v>44482</v>
      </c>
      <c r="B173" s="56">
        <v>1162</v>
      </c>
      <c r="C173" s="56">
        <f t="shared" si="15"/>
        <v>4648</v>
      </c>
      <c r="D173" s="94">
        <v>712.84722222222217</v>
      </c>
      <c r="E173" s="58">
        <v>2</v>
      </c>
      <c r="F173" s="89">
        <v>-0.81</v>
      </c>
      <c r="G173" s="89">
        <v>3.95</v>
      </c>
      <c r="H173" s="59">
        <f t="shared" si="16"/>
        <v>1347.8484000000001</v>
      </c>
      <c r="I173" s="60">
        <f t="shared" si="17"/>
        <v>285.77427055555557</v>
      </c>
      <c r="J173" s="60">
        <f t="shared" si="18"/>
        <v>1633.6226705555557</v>
      </c>
      <c r="K173" s="60">
        <f t="shared" si="13"/>
        <v>32.62282227104226</v>
      </c>
      <c r="L173" s="60">
        <f t="shared" si="14"/>
        <v>471.62267055555571</v>
      </c>
    </row>
    <row r="174" spans="1:12" ht="15">
      <c r="A174" s="114">
        <v>44483</v>
      </c>
      <c r="B174" s="56">
        <v>909</v>
      </c>
      <c r="C174" s="56">
        <f t="shared" si="15"/>
        <v>3636</v>
      </c>
      <c r="D174" s="94">
        <v>502.65277777777783</v>
      </c>
      <c r="E174" s="58">
        <v>2</v>
      </c>
      <c r="F174" s="89">
        <v>2.86</v>
      </c>
      <c r="G174" s="89">
        <v>1.74</v>
      </c>
      <c r="H174" s="59">
        <f t="shared" si="16"/>
        <v>1082.0256000000002</v>
      </c>
      <c r="I174" s="60">
        <f t="shared" si="17"/>
        <v>310.67308333333335</v>
      </c>
      <c r="J174" s="60">
        <f t="shared" si="18"/>
        <v>1392.6986833333335</v>
      </c>
      <c r="K174" s="60">
        <f t="shared" si="13"/>
        <v>33.458137541464303</v>
      </c>
      <c r="L174" s="60">
        <f t="shared" si="14"/>
        <v>483.69868333333352</v>
      </c>
    </row>
    <row r="175" spans="1:12" ht="15">
      <c r="A175" s="114">
        <v>44484</v>
      </c>
      <c r="B175" s="56">
        <v>1131</v>
      </c>
      <c r="C175" s="56">
        <f t="shared" si="15"/>
        <v>4524</v>
      </c>
      <c r="D175" s="94">
        <v>538.31944444444446</v>
      </c>
      <c r="E175" s="58">
        <v>2</v>
      </c>
      <c r="F175" s="89">
        <v>0.39</v>
      </c>
      <c r="G175" s="89">
        <v>0.86</v>
      </c>
      <c r="H175" s="59">
        <f t="shared" si="16"/>
        <v>1078.1828</v>
      </c>
      <c r="I175" s="60">
        <f t="shared" si="17"/>
        <v>258.87559722222215</v>
      </c>
      <c r="J175" s="60">
        <f t="shared" si="18"/>
        <v>1337.0583972222221</v>
      </c>
      <c r="K175" s="60">
        <f t="shared" si="13"/>
        <v>14.2533573759672</v>
      </c>
      <c r="L175" s="60">
        <f t="shared" si="14"/>
        <v>206.05839722222208</v>
      </c>
    </row>
    <row r="176" spans="1:12" ht="15">
      <c r="A176" s="114">
        <v>44485</v>
      </c>
      <c r="B176" s="56">
        <v>790</v>
      </c>
      <c r="C176" s="56">
        <f t="shared" si="15"/>
        <v>3160</v>
      </c>
      <c r="D176" s="94">
        <v>384.94444444444446</v>
      </c>
      <c r="E176" s="58">
        <v>2</v>
      </c>
      <c r="F176" s="89">
        <v>4.45</v>
      </c>
      <c r="G176" s="89">
        <v>3.09</v>
      </c>
      <c r="H176" s="59">
        <f t="shared" si="16"/>
        <v>1002.0728000000001</v>
      </c>
      <c r="I176" s="60">
        <f t="shared" si="17"/>
        <v>182.68419277777778</v>
      </c>
      <c r="J176" s="60">
        <f t="shared" si="18"/>
        <v>1184.7569927777779</v>
      </c>
      <c r="K176" s="60">
        <f t="shared" si="13"/>
        <v>27.305912161666452</v>
      </c>
      <c r="L176" s="60">
        <f t="shared" si="14"/>
        <v>394.7569927777779</v>
      </c>
    </row>
    <row r="177" spans="1:12" ht="15">
      <c r="A177" s="114">
        <v>44486</v>
      </c>
      <c r="B177" s="56">
        <v>1059</v>
      </c>
      <c r="C177" s="56">
        <f t="shared" si="15"/>
        <v>4236</v>
      </c>
      <c r="D177" s="94">
        <v>353.48611111111109</v>
      </c>
      <c r="E177" s="58">
        <v>2</v>
      </c>
      <c r="F177" s="89">
        <v>3.5</v>
      </c>
      <c r="G177" s="89">
        <v>0.92</v>
      </c>
      <c r="H177" s="59">
        <f t="shared" si="16"/>
        <v>1014.4116</v>
      </c>
      <c r="I177" s="60">
        <f t="shared" si="17"/>
        <v>195.55387944444445</v>
      </c>
      <c r="J177" s="60">
        <f t="shared" si="18"/>
        <v>1209.9654794444446</v>
      </c>
      <c r="K177" s="60">
        <f t="shared" si="13"/>
        <v>10.442500567619888</v>
      </c>
      <c r="L177" s="60">
        <f t="shared" si="14"/>
        <v>150.96547944444455</v>
      </c>
    </row>
    <row r="178" spans="1:12" ht="15">
      <c r="A178" s="114">
        <v>44487</v>
      </c>
      <c r="B178" s="56">
        <v>968</v>
      </c>
      <c r="C178" s="56">
        <f t="shared" si="15"/>
        <v>3872</v>
      </c>
      <c r="D178" s="94">
        <v>211.33333333333334</v>
      </c>
      <c r="E178" s="58">
        <v>2</v>
      </c>
      <c r="F178" s="89">
        <v>4.5999999999999996</v>
      </c>
      <c r="G178" s="89">
        <v>5.48</v>
      </c>
      <c r="H178" s="59">
        <f t="shared" si="16"/>
        <v>900.57560000000012</v>
      </c>
      <c r="I178" s="60">
        <f t="shared" si="17"/>
        <v>140.26663444444446</v>
      </c>
      <c r="J178" s="60">
        <f t="shared" si="18"/>
        <v>1040.8422344444446</v>
      </c>
      <c r="K178" s="60">
        <f t="shared" si="13"/>
        <v>5.038602714554588</v>
      </c>
      <c r="L178" s="60">
        <f t="shared" si="14"/>
        <v>72.842234444444557</v>
      </c>
    </row>
    <row r="179" spans="1:12" ht="15">
      <c r="A179" s="114">
        <v>44488</v>
      </c>
      <c r="B179" s="56">
        <v>907</v>
      </c>
      <c r="C179" s="56">
        <f t="shared" si="15"/>
        <v>3628</v>
      </c>
      <c r="D179" s="94">
        <v>326.90277777777777</v>
      </c>
      <c r="E179" s="58">
        <v>2</v>
      </c>
      <c r="F179" s="89">
        <v>3.12</v>
      </c>
      <c r="G179" s="89">
        <v>2.09</v>
      </c>
      <c r="H179" s="59">
        <f t="shared" si="16"/>
        <v>1035.5116</v>
      </c>
      <c r="I179" s="60">
        <f t="shared" si="17"/>
        <v>128.7412061111111</v>
      </c>
      <c r="J179" s="60">
        <f t="shared" si="18"/>
        <v>1164.2528061111111</v>
      </c>
      <c r="K179" s="60">
        <f t="shared" si="13"/>
        <v>17.794548685719047</v>
      </c>
      <c r="L179" s="60">
        <f t="shared" si="14"/>
        <v>257.25280611111111</v>
      </c>
    </row>
    <row r="180" spans="1:12" ht="15">
      <c r="A180" s="114">
        <v>44489</v>
      </c>
      <c r="B180" s="56">
        <v>1347</v>
      </c>
      <c r="C180" s="56">
        <f t="shared" si="15"/>
        <v>5388</v>
      </c>
      <c r="D180" s="94">
        <v>290.81944444444446</v>
      </c>
      <c r="E180" s="58">
        <v>2</v>
      </c>
      <c r="F180" s="89">
        <v>2.2400000000000002</v>
      </c>
      <c r="G180" s="89">
        <v>3.76</v>
      </c>
      <c r="H180" s="59">
        <f t="shared" si="16"/>
        <v>955.68359999999996</v>
      </c>
      <c r="I180" s="60">
        <f t="shared" si="17"/>
        <v>77.806013333333325</v>
      </c>
      <c r="J180" s="60">
        <f t="shared" si="18"/>
        <v>1033.4896133333332</v>
      </c>
      <c r="K180" s="60">
        <f t="shared" si="13"/>
        <v>21.685966902957919</v>
      </c>
      <c r="L180" s="60">
        <f t="shared" si="14"/>
        <v>-313.51038666666682</v>
      </c>
    </row>
    <row r="181" spans="1:12" ht="15">
      <c r="A181" s="114">
        <v>44490</v>
      </c>
      <c r="B181" s="56">
        <v>1255</v>
      </c>
      <c r="C181" s="56">
        <f t="shared" si="15"/>
        <v>5020</v>
      </c>
      <c r="D181" s="94">
        <v>294.34722222222223</v>
      </c>
      <c r="E181" s="58">
        <v>2</v>
      </c>
      <c r="F181" s="89">
        <v>1.57</v>
      </c>
      <c r="G181" s="89">
        <v>4.26</v>
      </c>
      <c r="H181" s="59">
        <f t="shared" si="16"/>
        <v>1081.2560000000001</v>
      </c>
      <c r="I181" s="60">
        <f t="shared" si="17"/>
        <v>119.26249277777778</v>
      </c>
      <c r="J181" s="60">
        <f t="shared" si="18"/>
        <v>1200.518492777778</v>
      </c>
      <c r="K181" s="60">
        <f t="shared" si="13"/>
        <v>3.7685646558834991</v>
      </c>
      <c r="L181" s="60">
        <f t="shared" si="14"/>
        <v>-54.481507222222035</v>
      </c>
    </row>
    <row r="182" spans="1:12" ht="15">
      <c r="A182" s="114">
        <v>44491</v>
      </c>
      <c r="B182" s="56">
        <v>1205</v>
      </c>
      <c r="C182" s="56">
        <f t="shared" si="15"/>
        <v>4820</v>
      </c>
      <c r="D182" s="94">
        <v>280.875</v>
      </c>
      <c r="E182" s="58">
        <v>2</v>
      </c>
      <c r="F182" s="89">
        <v>5.31</v>
      </c>
      <c r="G182" s="89">
        <v>1.81</v>
      </c>
      <c r="H182" s="59">
        <f t="shared" si="16"/>
        <v>1323.1392000000001</v>
      </c>
      <c r="I182" s="60">
        <f t="shared" si="17"/>
        <v>106.41477944444445</v>
      </c>
      <c r="J182" s="60">
        <f t="shared" si="18"/>
        <v>1429.5539794444446</v>
      </c>
      <c r="K182" s="60">
        <f t="shared" si="13"/>
        <v>15.532723550040757</v>
      </c>
      <c r="L182" s="60">
        <f t="shared" si="14"/>
        <v>224.55397944444462</v>
      </c>
    </row>
    <row r="183" spans="1:12" ht="15">
      <c r="A183" s="114">
        <v>44492</v>
      </c>
      <c r="B183" s="56">
        <v>749</v>
      </c>
      <c r="C183" s="56">
        <f t="shared" si="15"/>
        <v>2996</v>
      </c>
      <c r="D183" s="94">
        <v>324.75</v>
      </c>
      <c r="E183" s="58">
        <v>2</v>
      </c>
      <c r="F183" s="89">
        <v>4.6100000000000003</v>
      </c>
      <c r="G183" s="89">
        <v>4.08</v>
      </c>
      <c r="H183" s="59">
        <f t="shared" si="16"/>
        <v>1246.7800000000002</v>
      </c>
      <c r="I183" s="60">
        <f t="shared" si="17"/>
        <v>107.75390722222221</v>
      </c>
      <c r="J183" s="60">
        <f t="shared" si="18"/>
        <v>1354.5339072222223</v>
      </c>
      <c r="K183" s="60">
        <f t="shared" si="13"/>
        <v>41.885656198694889</v>
      </c>
      <c r="L183" s="60">
        <f t="shared" si="14"/>
        <v>605.5339072222223</v>
      </c>
    </row>
    <row r="184" spans="1:12" ht="15">
      <c r="A184" s="114">
        <v>44493</v>
      </c>
      <c r="B184" s="56">
        <v>966</v>
      </c>
      <c r="C184" s="56">
        <f t="shared" si="15"/>
        <v>3864</v>
      </c>
      <c r="D184" s="94">
        <v>232.51388888888889</v>
      </c>
      <c r="E184" s="58">
        <v>2</v>
      </c>
      <c r="F184" s="89">
        <v>3.45</v>
      </c>
      <c r="G184" s="89">
        <v>2.9</v>
      </c>
      <c r="H184" s="59">
        <f t="shared" si="16"/>
        <v>1045.5855999999999</v>
      </c>
      <c r="I184" s="60">
        <f t="shared" si="17"/>
        <v>102.55528499999998</v>
      </c>
      <c r="J184" s="60">
        <f t="shared" si="18"/>
        <v>1148.1408849999998</v>
      </c>
      <c r="K184" s="60">
        <f t="shared" si="13"/>
        <v>12.598948461586721</v>
      </c>
      <c r="L184" s="60">
        <f t="shared" si="14"/>
        <v>182.1408849999998</v>
      </c>
    </row>
    <row r="185" spans="1:12" ht="15">
      <c r="A185" s="114">
        <v>44494</v>
      </c>
      <c r="B185" s="56">
        <v>969</v>
      </c>
      <c r="C185" s="56">
        <f t="shared" si="15"/>
        <v>3876</v>
      </c>
      <c r="D185" s="94">
        <v>110.02777777777777</v>
      </c>
      <c r="E185" s="58">
        <v>1.5</v>
      </c>
      <c r="F185" s="89">
        <v>2.93</v>
      </c>
      <c r="G185" s="89">
        <v>6.54</v>
      </c>
      <c r="H185" s="59">
        <f t="shared" si="16"/>
        <v>840.21079999999995</v>
      </c>
      <c r="I185" s="60">
        <f t="shared" si="17"/>
        <v>118.62172999999999</v>
      </c>
      <c r="J185" s="60">
        <f t="shared" si="18"/>
        <v>958.83252999999991</v>
      </c>
      <c r="K185" s="60">
        <f t="shared" si="13"/>
        <v>0.70329860599244631</v>
      </c>
      <c r="L185" s="60">
        <f t="shared" si="14"/>
        <v>-10.167470000000094</v>
      </c>
    </row>
    <row r="186" spans="1:12" ht="15">
      <c r="A186" s="114">
        <v>44495</v>
      </c>
      <c r="B186" s="56">
        <v>783</v>
      </c>
      <c r="C186" s="56">
        <f t="shared" si="15"/>
        <v>3132</v>
      </c>
      <c r="D186" s="94">
        <v>326.47222222222223</v>
      </c>
      <c r="E186" s="58">
        <v>1.5</v>
      </c>
      <c r="F186" s="89">
        <v>4.3</v>
      </c>
      <c r="G186" s="89">
        <v>4.63</v>
      </c>
      <c r="H186" s="59">
        <f t="shared" si="16"/>
        <v>977.5172</v>
      </c>
      <c r="I186" s="60">
        <f t="shared" si="17"/>
        <v>85.251913888888893</v>
      </c>
      <c r="J186" s="60">
        <f t="shared" si="18"/>
        <v>1062.7691138888888</v>
      </c>
      <c r="K186" s="60">
        <f t="shared" si="13"/>
        <v>19.35203426199395</v>
      </c>
      <c r="L186" s="60">
        <f t="shared" si="14"/>
        <v>279.7691138888888</v>
      </c>
    </row>
    <row r="187" spans="1:12" ht="15">
      <c r="A187" s="114">
        <v>44496</v>
      </c>
      <c r="B187" s="56">
        <v>1140</v>
      </c>
      <c r="C187" s="56">
        <f t="shared" si="15"/>
        <v>4560</v>
      </c>
      <c r="D187" s="94">
        <v>319.93055555555554</v>
      </c>
      <c r="E187" s="58">
        <v>1.5</v>
      </c>
      <c r="F187" s="89">
        <v>4.46</v>
      </c>
      <c r="G187" s="89">
        <v>6.74</v>
      </c>
      <c r="H187" s="59">
        <f t="shared" si="16"/>
        <v>910.1336</v>
      </c>
      <c r="I187" s="60">
        <f t="shared" si="17"/>
        <v>41.092767777777773</v>
      </c>
      <c r="J187" s="60">
        <f t="shared" si="18"/>
        <v>951.2263677777778</v>
      </c>
      <c r="K187" s="60">
        <f t="shared" si="13"/>
        <v>13.057745180464599</v>
      </c>
      <c r="L187" s="60">
        <f t="shared" si="14"/>
        <v>-188.7736322222222</v>
      </c>
    </row>
    <row r="188" spans="1:12" ht="15">
      <c r="A188" s="114">
        <v>44497</v>
      </c>
      <c r="B188" s="56">
        <v>1069</v>
      </c>
      <c r="C188" s="56">
        <f t="shared" si="15"/>
        <v>4276</v>
      </c>
      <c r="D188" s="94">
        <v>503.44444444444446</v>
      </c>
      <c r="E188" s="58">
        <v>1.5</v>
      </c>
      <c r="F188" s="89">
        <v>4.41</v>
      </c>
      <c r="G188" s="89">
        <v>2.9</v>
      </c>
      <c r="H188" s="59">
        <f t="shared" si="16"/>
        <v>926.34680000000003</v>
      </c>
      <c r="I188" s="60">
        <f t="shared" si="17"/>
        <v>119.01430222222221</v>
      </c>
      <c r="J188" s="60">
        <f t="shared" si="18"/>
        <v>1045.3611022222221</v>
      </c>
      <c r="K188" s="60">
        <f t="shared" si="13"/>
        <v>1.6351367502740553</v>
      </c>
      <c r="L188" s="60">
        <f t="shared" si="14"/>
        <v>-23.638897777777856</v>
      </c>
    </row>
    <row r="189" spans="1:12" ht="15">
      <c r="A189" s="114">
        <v>44498</v>
      </c>
      <c r="B189" s="56">
        <v>977</v>
      </c>
      <c r="C189" s="56">
        <f t="shared" si="15"/>
        <v>3908</v>
      </c>
      <c r="D189" s="94">
        <v>956.43055555555554</v>
      </c>
      <c r="E189" s="58">
        <v>1.5</v>
      </c>
      <c r="F189" s="89">
        <v>1.35</v>
      </c>
      <c r="G189" s="89">
        <v>0.51</v>
      </c>
      <c r="H189" s="59">
        <f t="shared" si="16"/>
        <v>1123.9596000000001</v>
      </c>
      <c r="I189" s="60">
        <f t="shared" si="17"/>
        <v>116.83997055555554</v>
      </c>
      <c r="J189" s="60">
        <f t="shared" si="18"/>
        <v>1240.7995705555556</v>
      </c>
      <c r="K189" s="60">
        <f t="shared" si="13"/>
        <v>18.247397851493691</v>
      </c>
      <c r="L189" s="60">
        <f t="shared" si="14"/>
        <v>263.79957055555565</v>
      </c>
    </row>
    <row r="190" spans="1:12" ht="15">
      <c r="A190" s="114">
        <v>44499</v>
      </c>
      <c r="B190" s="56">
        <v>1042</v>
      </c>
      <c r="C190" s="56">
        <f t="shared" si="15"/>
        <v>4168</v>
      </c>
      <c r="D190" s="94">
        <v>958.27777777777783</v>
      </c>
      <c r="E190" s="58">
        <v>1.5</v>
      </c>
      <c r="F190" s="89">
        <v>4.3499999999999996</v>
      </c>
      <c r="G190" s="89">
        <v>5.0199999999999996</v>
      </c>
      <c r="H190" s="59">
        <f t="shared" si="16"/>
        <v>1045.1392000000001</v>
      </c>
      <c r="I190" s="60">
        <f t="shared" si="17"/>
        <v>182.74054444444445</v>
      </c>
      <c r="J190" s="60">
        <f t="shared" si="18"/>
        <v>1227.8797444444444</v>
      </c>
      <c r="K190" s="60">
        <f t="shared" si="13"/>
        <v>12.857570777195185</v>
      </c>
      <c r="L190" s="60">
        <f t="shared" si="14"/>
        <v>185.87974444444444</v>
      </c>
    </row>
    <row r="191" spans="1:12" ht="15">
      <c r="A191" s="114">
        <v>44500</v>
      </c>
      <c r="B191" s="56">
        <v>1041</v>
      </c>
      <c r="C191" s="56">
        <f t="shared" si="15"/>
        <v>4164</v>
      </c>
      <c r="D191" s="94">
        <v>448.22222222222223</v>
      </c>
      <c r="E191" s="58">
        <v>1.5</v>
      </c>
      <c r="F191" s="89">
        <v>4.05</v>
      </c>
      <c r="G191" s="89">
        <v>2.81</v>
      </c>
      <c r="H191" s="59">
        <f t="shared" si="16"/>
        <v>1011.6060000000001</v>
      </c>
      <c r="I191" s="60">
        <f t="shared" si="17"/>
        <v>346.14284055555549</v>
      </c>
      <c r="J191" s="60">
        <f t="shared" si="18"/>
        <v>1357.7488405555555</v>
      </c>
      <c r="K191" s="60">
        <f t="shared" si="13"/>
        <v>21.909975442508681</v>
      </c>
      <c r="L191" s="60">
        <f t="shared" si="14"/>
        <v>316.74884055555549</v>
      </c>
    </row>
    <row r="192" spans="1:12" ht="15">
      <c r="A192" s="114">
        <v>44501</v>
      </c>
      <c r="B192" s="56">
        <v>927</v>
      </c>
      <c r="C192" s="56">
        <f t="shared" si="15"/>
        <v>3708</v>
      </c>
      <c r="D192" s="94">
        <v>385.36111111111109</v>
      </c>
      <c r="E192" s="58">
        <v>1.5</v>
      </c>
      <c r="F192" s="89">
        <v>3.54</v>
      </c>
      <c r="G192" s="89">
        <v>4.97</v>
      </c>
      <c r="H192" s="59">
        <f t="shared" si="16"/>
        <v>1052.0276000000001</v>
      </c>
      <c r="I192" s="60">
        <f t="shared" si="17"/>
        <v>347.13009777777779</v>
      </c>
      <c r="J192" s="60">
        <f t="shared" si="18"/>
        <v>1399.1576977777779</v>
      </c>
      <c r="K192" s="60">
        <f t="shared" si="13"/>
        <v>32.659830877859577</v>
      </c>
      <c r="L192" s="60">
        <f t="shared" si="14"/>
        <v>472.15769777777791</v>
      </c>
    </row>
    <row r="193" spans="1:12" ht="15">
      <c r="A193" s="114">
        <v>44502</v>
      </c>
      <c r="B193" s="56">
        <v>682</v>
      </c>
      <c r="C193" s="56">
        <f t="shared" si="15"/>
        <v>2728</v>
      </c>
      <c r="D193" s="94">
        <v>416.51388888888891</v>
      </c>
      <c r="E193" s="58">
        <v>1.5</v>
      </c>
      <c r="F193" s="89">
        <v>6.1</v>
      </c>
      <c r="G193" s="89">
        <v>3.59</v>
      </c>
      <c r="H193" s="59">
        <f t="shared" si="16"/>
        <v>1008.9464</v>
      </c>
      <c r="I193" s="60">
        <f t="shared" si="17"/>
        <v>162.80793222222221</v>
      </c>
      <c r="J193" s="60">
        <f t="shared" si="18"/>
        <v>1171.7543322222223</v>
      </c>
      <c r="K193" s="60">
        <f t="shared" si="13"/>
        <v>33.87701553391819</v>
      </c>
      <c r="L193" s="60">
        <f t="shared" si="14"/>
        <v>489.75433222222227</v>
      </c>
    </row>
    <row r="194" spans="1:12" ht="15">
      <c r="A194" s="114">
        <v>44503</v>
      </c>
      <c r="B194" s="56">
        <v>985</v>
      </c>
      <c r="C194" s="56">
        <f t="shared" si="15"/>
        <v>3940</v>
      </c>
      <c r="D194" s="94">
        <v>372.91666666666669</v>
      </c>
      <c r="E194" s="58">
        <v>1.5</v>
      </c>
      <c r="F194" s="89">
        <v>5.51</v>
      </c>
      <c r="G194" s="89">
        <v>2.2400000000000002</v>
      </c>
      <c r="H194" s="59">
        <f t="shared" si="16"/>
        <v>846.16200000000003</v>
      </c>
      <c r="I194" s="60">
        <f t="shared" si="17"/>
        <v>140.32693111111109</v>
      </c>
      <c r="J194" s="60">
        <f t="shared" si="18"/>
        <v>986.48893111111113</v>
      </c>
      <c r="K194" s="60">
        <f t="shared" si="13"/>
        <v>0.1029915185255753</v>
      </c>
      <c r="L194" s="60">
        <f t="shared" si="14"/>
        <v>1.4889311111111283</v>
      </c>
    </row>
    <row r="195" spans="1:12" ht="15">
      <c r="A195" s="114">
        <v>44504</v>
      </c>
      <c r="B195" s="56">
        <v>981</v>
      </c>
      <c r="C195" s="56">
        <f t="shared" si="15"/>
        <v>3924</v>
      </c>
      <c r="D195" s="94">
        <v>339.22222222222223</v>
      </c>
      <c r="E195" s="58">
        <v>1.5</v>
      </c>
      <c r="F195" s="89">
        <v>2.7</v>
      </c>
      <c r="G195" s="89">
        <v>5.23</v>
      </c>
      <c r="H195" s="59">
        <f t="shared" si="16"/>
        <v>805.23720000000003</v>
      </c>
      <c r="I195" s="60">
        <f t="shared" si="17"/>
        <v>151.3707038888889</v>
      </c>
      <c r="J195" s="60">
        <f t="shared" si="18"/>
        <v>956.60790388888893</v>
      </c>
      <c r="K195" s="60">
        <f t="shared" si="13"/>
        <v>1.6872365684066961</v>
      </c>
      <c r="L195" s="60">
        <f t="shared" si="14"/>
        <v>-24.392096111111073</v>
      </c>
    </row>
    <row r="196" spans="1:12" ht="15">
      <c r="A196" s="114">
        <v>44505</v>
      </c>
      <c r="B196" s="56">
        <v>912</v>
      </c>
      <c r="C196" s="56">
        <f t="shared" si="15"/>
        <v>3648</v>
      </c>
      <c r="D196" s="94">
        <v>299.95833333333331</v>
      </c>
      <c r="E196" s="58">
        <v>1.5</v>
      </c>
      <c r="F196" s="89">
        <v>3.48</v>
      </c>
      <c r="G196" s="89">
        <v>2.9</v>
      </c>
      <c r="H196" s="59">
        <f t="shared" si="16"/>
        <v>993.91039999999998</v>
      </c>
      <c r="I196" s="60">
        <f t="shared" si="17"/>
        <v>135.52695666666668</v>
      </c>
      <c r="J196" s="60">
        <f t="shared" si="18"/>
        <v>1129.4373566666666</v>
      </c>
      <c r="K196" s="60">
        <f t="shared" ref="K196:K214" si="19">SQRT((J196-B196)^2/209)</f>
        <v>15.040456459113972</v>
      </c>
      <c r="L196" s="60">
        <f t="shared" ref="L196:L214" si="20">J196-B196</f>
        <v>217.43735666666657</v>
      </c>
    </row>
    <row r="197" spans="1:12" ht="15">
      <c r="A197" s="114">
        <v>44506</v>
      </c>
      <c r="B197" s="56">
        <v>986</v>
      </c>
      <c r="C197" s="56">
        <f t="shared" ref="C197:C214" si="21">B197*4</f>
        <v>3944</v>
      </c>
      <c r="D197" s="94">
        <v>364.52777777777777</v>
      </c>
      <c r="E197" s="58">
        <v>1.5</v>
      </c>
      <c r="F197" s="89">
        <v>5.71</v>
      </c>
      <c r="G197" s="89">
        <v>4.1900000000000004</v>
      </c>
      <c r="H197" s="59">
        <f t="shared" si="16"/>
        <v>965.70439999999996</v>
      </c>
      <c r="I197" s="60">
        <f t="shared" si="17"/>
        <v>123.71965222222222</v>
      </c>
      <c r="J197" s="60">
        <f t="shared" si="18"/>
        <v>1089.4240522222221</v>
      </c>
      <c r="K197" s="60">
        <f t="shared" si="19"/>
        <v>7.1539912833751291</v>
      </c>
      <c r="L197" s="60">
        <f t="shared" si="20"/>
        <v>103.42405222222214</v>
      </c>
    </row>
    <row r="198" spans="1:12" ht="15">
      <c r="A198" s="114">
        <v>44507</v>
      </c>
      <c r="B198" s="56">
        <v>1009</v>
      </c>
      <c r="C198" s="56">
        <f t="shared" si="21"/>
        <v>4036</v>
      </c>
      <c r="D198" s="94">
        <v>192.08333333333334</v>
      </c>
      <c r="E198" s="58">
        <v>1.5</v>
      </c>
      <c r="F198" s="89">
        <v>7.87</v>
      </c>
      <c r="G198" s="89">
        <v>5.17</v>
      </c>
      <c r="H198" s="59">
        <f t="shared" ref="H198:H214" si="22">10.4+B197-0.6276*(B197-B196)</f>
        <v>949.95759999999996</v>
      </c>
      <c r="I198" s="60">
        <f t="shared" si="17"/>
        <v>109.30995833333333</v>
      </c>
      <c r="J198" s="60">
        <f t="shared" si="18"/>
        <v>1059.2675583333332</v>
      </c>
      <c r="K198" s="60">
        <f t="shared" si="19"/>
        <v>3.4770797162398228</v>
      </c>
      <c r="L198" s="60">
        <f t="shared" si="20"/>
        <v>50.267558333333227</v>
      </c>
    </row>
    <row r="199" spans="1:12" ht="15">
      <c r="A199" s="114">
        <v>44508</v>
      </c>
      <c r="B199" s="56">
        <v>1316</v>
      </c>
      <c r="C199" s="56">
        <f t="shared" si="21"/>
        <v>5264</v>
      </c>
      <c r="D199" s="94">
        <v>76.958333333333343</v>
      </c>
      <c r="E199" s="58">
        <v>1.5</v>
      </c>
      <c r="F199" s="89">
        <v>6.89</v>
      </c>
      <c r="G199" s="89">
        <v>1.89</v>
      </c>
      <c r="H199" s="59">
        <f t="shared" si="22"/>
        <v>1004.9652</v>
      </c>
      <c r="I199" s="60">
        <f t="shared" ref="I199:I214" si="23">0.361*D197+0.577*E197-0.03*F197+0.091*G197</f>
        <v>132.67001777777779</v>
      </c>
      <c r="J199" s="60">
        <f t="shared" ref="J199:J214" si="24">SUM(H199:I199)</f>
        <v>1137.6352177777778</v>
      </c>
      <c r="K199" s="60">
        <f t="shared" si="19"/>
        <v>12.337749970743358</v>
      </c>
      <c r="L199" s="60">
        <f t="shared" si="20"/>
        <v>-178.36478222222217</v>
      </c>
    </row>
    <row r="200" spans="1:12" ht="15">
      <c r="A200" s="114">
        <v>44509</v>
      </c>
      <c r="B200" s="56">
        <v>1276</v>
      </c>
      <c r="C200" s="56">
        <f t="shared" si="21"/>
        <v>5104</v>
      </c>
      <c r="D200" s="94">
        <v>287.91666666666669</v>
      </c>
      <c r="E200" s="58">
        <v>1.5</v>
      </c>
      <c r="F200" s="89">
        <v>3.26</v>
      </c>
      <c r="G200" s="89">
        <v>4.6900000000000004</v>
      </c>
      <c r="H200" s="59">
        <f t="shared" si="22"/>
        <v>1133.7268000000001</v>
      </c>
      <c r="I200" s="60">
        <f t="shared" si="23"/>
        <v>70.441953333333345</v>
      </c>
      <c r="J200" s="60">
        <f t="shared" si="24"/>
        <v>1204.1687533333334</v>
      </c>
      <c r="K200" s="60">
        <f t="shared" si="19"/>
        <v>4.9686712276865075</v>
      </c>
      <c r="L200" s="60">
        <f t="shared" si="20"/>
        <v>-71.83124666666663</v>
      </c>
    </row>
    <row r="201" spans="1:12" ht="15">
      <c r="A201" s="114">
        <v>44510</v>
      </c>
      <c r="B201" s="56">
        <v>1414</v>
      </c>
      <c r="C201" s="56">
        <f t="shared" si="21"/>
        <v>5656</v>
      </c>
      <c r="D201" s="94">
        <v>221.19444444444443</v>
      </c>
      <c r="E201" s="58">
        <v>1.5</v>
      </c>
      <c r="F201" s="89">
        <v>1.73</v>
      </c>
      <c r="G201" s="89">
        <v>2.4900000000000002</v>
      </c>
      <c r="H201" s="59">
        <f t="shared" si="22"/>
        <v>1311.5040000000001</v>
      </c>
      <c r="I201" s="60">
        <f t="shared" si="23"/>
        <v>28.612748333333336</v>
      </c>
      <c r="J201" s="60">
        <f t="shared" si="24"/>
        <v>1340.1167483333334</v>
      </c>
      <c r="K201" s="60">
        <f t="shared" si="19"/>
        <v>5.1106113815290577</v>
      </c>
      <c r="L201" s="60">
        <f t="shared" si="20"/>
        <v>-73.883251666666638</v>
      </c>
    </row>
    <row r="202" spans="1:12" ht="15">
      <c r="A202" s="114">
        <v>44511</v>
      </c>
      <c r="B202" s="56">
        <v>1185</v>
      </c>
      <c r="C202" s="56">
        <f t="shared" si="21"/>
        <v>4740</v>
      </c>
      <c r="D202" s="94">
        <v>226.34722222222223</v>
      </c>
      <c r="E202" s="58">
        <v>1.5</v>
      </c>
      <c r="F202" s="89">
        <v>1.29</v>
      </c>
      <c r="G202" s="89">
        <v>2.81</v>
      </c>
      <c r="H202" s="59">
        <f t="shared" si="22"/>
        <v>1337.7912000000001</v>
      </c>
      <c r="I202" s="60">
        <f t="shared" si="23"/>
        <v>105.13240666666665</v>
      </c>
      <c r="J202" s="60">
        <f t="shared" si="24"/>
        <v>1442.9236066666667</v>
      </c>
      <c r="K202" s="60">
        <f t="shared" si="19"/>
        <v>17.840948930383771</v>
      </c>
      <c r="L202" s="60">
        <f t="shared" si="20"/>
        <v>257.92360666666673</v>
      </c>
    </row>
    <row r="203" spans="1:12" ht="15">
      <c r="A203" s="114">
        <v>44512</v>
      </c>
      <c r="B203" s="56">
        <v>1388</v>
      </c>
      <c r="C203" s="56">
        <f t="shared" si="21"/>
        <v>5552</v>
      </c>
      <c r="D203" s="94">
        <v>644.56944444444446</v>
      </c>
      <c r="E203" s="58">
        <v>1.5</v>
      </c>
      <c r="F203" s="89">
        <v>4.01</v>
      </c>
      <c r="G203" s="89">
        <v>2.16</v>
      </c>
      <c r="H203" s="59">
        <f t="shared" si="22"/>
        <v>1339.1204</v>
      </c>
      <c r="I203" s="60">
        <f t="shared" si="23"/>
        <v>80.891384444444427</v>
      </c>
      <c r="J203" s="60">
        <f t="shared" si="24"/>
        <v>1420.0117844444444</v>
      </c>
      <c r="K203" s="60">
        <f t="shared" si="19"/>
        <v>2.2143014314385208</v>
      </c>
      <c r="L203" s="60">
        <f t="shared" si="20"/>
        <v>32.011784444444402</v>
      </c>
    </row>
    <row r="204" spans="1:12" ht="15">
      <c r="A204" s="114">
        <v>44513</v>
      </c>
      <c r="B204" s="56">
        <v>1240</v>
      </c>
      <c r="C204" s="56">
        <f t="shared" si="21"/>
        <v>4960</v>
      </c>
      <c r="D204" s="94">
        <v>341.61111111111109</v>
      </c>
      <c r="E204" s="58">
        <v>1.5</v>
      </c>
      <c r="F204" s="89">
        <v>4.24</v>
      </c>
      <c r="G204" s="89">
        <v>5.73</v>
      </c>
      <c r="H204" s="59">
        <f t="shared" si="22"/>
        <v>1270.9972</v>
      </c>
      <c r="I204" s="60">
        <f t="shared" si="23"/>
        <v>82.793857222222201</v>
      </c>
      <c r="J204" s="60">
        <f t="shared" si="24"/>
        <v>1353.7910572222222</v>
      </c>
      <c r="K204" s="60">
        <f t="shared" si="19"/>
        <v>7.8710920139223255</v>
      </c>
      <c r="L204" s="60">
        <f t="shared" si="20"/>
        <v>113.79105722222221</v>
      </c>
    </row>
    <row r="205" spans="1:12" ht="15">
      <c r="A205" s="114">
        <v>44514</v>
      </c>
      <c r="B205" s="56">
        <v>985</v>
      </c>
      <c r="C205" s="56">
        <f t="shared" si="21"/>
        <v>3940</v>
      </c>
      <c r="D205" s="94">
        <v>190.875</v>
      </c>
      <c r="E205" s="58">
        <v>1.5</v>
      </c>
      <c r="F205" s="89">
        <v>5.64</v>
      </c>
      <c r="G205" s="89">
        <v>2.17</v>
      </c>
      <c r="H205" s="59">
        <f t="shared" si="22"/>
        <v>1343.2848000000001</v>
      </c>
      <c r="I205" s="60">
        <f t="shared" si="23"/>
        <v>233.63132944444445</v>
      </c>
      <c r="J205" s="60">
        <f t="shared" si="24"/>
        <v>1576.9161294444446</v>
      </c>
      <c r="K205" s="60">
        <f t="shared" si="19"/>
        <v>40.9436948132346</v>
      </c>
      <c r="L205" s="60">
        <f t="shared" si="20"/>
        <v>591.91612944444455</v>
      </c>
    </row>
    <row r="206" spans="1:12" ht="15">
      <c r="A206" s="114">
        <v>44515</v>
      </c>
      <c r="B206" s="56">
        <v>1165</v>
      </c>
      <c r="C206" s="56">
        <f t="shared" si="21"/>
        <v>4660</v>
      </c>
      <c r="D206" s="94">
        <v>68.333333333333329</v>
      </c>
      <c r="E206" s="58">
        <v>1.5</v>
      </c>
      <c r="F206" s="89">
        <v>5.68</v>
      </c>
      <c r="G206" s="89">
        <v>3.4</v>
      </c>
      <c r="H206" s="59">
        <f t="shared" si="22"/>
        <v>1155.4380000000001</v>
      </c>
      <c r="I206" s="60">
        <f t="shared" si="23"/>
        <v>124.58134111111109</v>
      </c>
      <c r="J206" s="60">
        <f t="shared" si="24"/>
        <v>1280.0193411111111</v>
      </c>
      <c r="K206" s="60">
        <f t="shared" si="19"/>
        <v>7.9560541870901371</v>
      </c>
      <c r="L206" s="60">
        <f t="shared" si="20"/>
        <v>115.01934111111109</v>
      </c>
    </row>
    <row r="207" spans="1:12" ht="15">
      <c r="A207" s="114">
        <v>44516</v>
      </c>
      <c r="B207" s="56">
        <v>1183</v>
      </c>
      <c r="C207" s="56">
        <f t="shared" si="21"/>
        <v>4732</v>
      </c>
      <c r="D207" s="94">
        <v>252.55555555555557</v>
      </c>
      <c r="E207" s="58">
        <v>1.5</v>
      </c>
      <c r="F207" s="89">
        <v>2.75</v>
      </c>
      <c r="G207" s="89">
        <v>6.07</v>
      </c>
      <c r="H207" s="59">
        <f t="shared" si="22"/>
        <v>1062.432</v>
      </c>
      <c r="I207" s="60">
        <f t="shared" si="23"/>
        <v>69.799644999999984</v>
      </c>
      <c r="J207" s="60">
        <f t="shared" si="24"/>
        <v>1132.2316450000001</v>
      </c>
      <c r="K207" s="60">
        <f t="shared" si="19"/>
        <v>3.5117205460187502</v>
      </c>
      <c r="L207" s="60">
        <f t="shared" si="20"/>
        <v>-50.768354999999929</v>
      </c>
    </row>
    <row r="208" spans="1:12" ht="15">
      <c r="A208" s="114">
        <v>44517</v>
      </c>
      <c r="B208" s="56">
        <v>1337</v>
      </c>
      <c r="C208" s="56">
        <f t="shared" si="21"/>
        <v>5348</v>
      </c>
      <c r="D208" s="94">
        <v>543.23611111111109</v>
      </c>
      <c r="E208" s="58">
        <v>1.5</v>
      </c>
      <c r="F208" s="89">
        <v>3.93</v>
      </c>
      <c r="G208" s="89">
        <v>5.19</v>
      </c>
      <c r="H208" s="59">
        <f t="shared" si="22"/>
        <v>1182.1032</v>
      </c>
      <c r="I208" s="60">
        <f t="shared" si="23"/>
        <v>25.67283333333333</v>
      </c>
      <c r="J208" s="60">
        <f t="shared" si="24"/>
        <v>1207.7760333333333</v>
      </c>
      <c r="K208" s="60">
        <f t="shared" si="19"/>
        <v>8.9386086821480841</v>
      </c>
      <c r="L208" s="60">
        <f t="shared" si="20"/>
        <v>-129.22396666666668</v>
      </c>
    </row>
    <row r="209" spans="1:12" ht="15">
      <c r="A209" s="114">
        <v>44518</v>
      </c>
      <c r="B209" s="56">
        <v>1609</v>
      </c>
      <c r="C209" s="56">
        <f t="shared" si="21"/>
        <v>6436</v>
      </c>
      <c r="D209" s="94">
        <v>256.26388888888891</v>
      </c>
      <c r="E209" s="58">
        <v>1.5</v>
      </c>
      <c r="F209" s="89">
        <v>8.01</v>
      </c>
      <c r="G209" s="89">
        <v>4.84</v>
      </c>
      <c r="H209" s="59">
        <f t="shared" si="22"/>
        <v>1250.7496000000001</v>
      </c>
      <c r="I209" s="60">
        <f t="shared" si="23"/>
        <v>92.507925555555559</v>
      </c>
      <c r="J209" s="60">
        <f t="shared" si="24"/>
        <v>1343.2575255555557</v>
      </c>
      <c r="K209" s="60">
        <f t="shared" si="19"/>
        <v>18.381791323678282</v>
      </c>
      <c r="L209" s="60">
        <f t="shared" si="20"/>
        <v>-265.74247444444427</v>
      </c>
    </row>
    <row r="210" spans="1:12" ht="15">
      <c r="A210" s="114">
        <v>44519</v>
      </c>
      <c r="B210" s="56">
        <v>1339</v>
      </c>
      <c r="C210" s="56">
        <f t="shared" si="21"/>
        <v>5356</v>
      </c>
      <c r="D210" s="94">
        <v>266.86111111111114</v>
      </c>
      <c r="E210" s="58">
        <v>1.5</v>
      </c>
      <c r="F210" s="89">
        <v>3.53</v>
      </c>
      <c r="G210" s="89">
        <v>5.7</v>
      </c>
      <c r="H210" s="59">
        <f t="shared" si="22"/>
        <v>1448.6928</v>
      </c>
      <c r="I210" s="60">
        <f t="shared" si="23"/>
        <v>197.32812611111109</v>
      </c>
      <c r="J210" s="60">
        <f t="shared" si="24"/>
        <v>1646.0209261111111</v>
      </c>
      <c r="K210" s="60">
        <f t="shared" si="19"/>
        <v>21.237081530061293</v>
      </c>
      <c r="L210" s="60">
        <f t="shared" si="20"/>
        <v>307.02092611111107</v>
      </c>
    </row>
    <row r="211" spans="1:12" ht="15">
      <c r="A211" s="114">
        <v>44520</v>
      </c>
      <c r="B211" s="90">
        <v>1046</v>
      </c>
      <c r="C211" s="56">
        <f t="shared" si="21"/>
        <v>4184</v>
      </c>
      <c r="D211" s="94">
        <v>254.55555555555557</v>
      </c>
      <c r="E211" s="58">
        <v>1</v>
      </c>
      <c r="F211" s="89">
        <v>4.8499999999999996</v>
      </c>
      <c r="G211" s="89">
        <v>4.66</v>
      </c>
      <c r="H211" s="59">
        <f t="shared" si="22"/>
        <v>1518.8520000000001</v>
      </c>
      <c r="I211" s="60">
        <f t="shared" si="23"/>
        <v>93.576903888888879</v>
      </c>
      <c r="J211" s="60">
        <f t="shared" si="24"/>
        <v>1612.428903888889</v>
      </c>
      <c r="K211" s="60">
        <f t="shared" si="19"/>
        <v>39.180706557175114</v>
      </c>
      <c r="L211" s="60">
        <f t="shared" si="20"/>
        <v>566.42890388888895</v>
      </c>
    </row>
    <row r="212" spans="1:12" ht="15">
      <c r="A212" s="114">
        <v>44521</v>
      </c>
      <c r="B212" s="90">
        <v>1265</v>
      </c>
      <c r="C212" s="56">
        <f t="shared" si="21"/>
        <v>5060</v>
      </c>
      <c r="D212" s="94">
        <v>137.23611111111111</v>
      </c>
      <c r="E212" s="58">
        <v>1</v>
      </c>
      <c r="F212" s="89">
        <v>3.25</v>
      </c>
      <c r="G212" s="89">
        <v>0.54</v>
      </c>
      <c r="H212" s="59">
        <f t="shared" si="22"/>
        <v>1240.2868000000001</v>
      </c>
      <c r="I212" s="60">
        <f t="shared" si="23"/>
        <v>97.615161111111107</v>
      </c>
      <c r="J212" s="60">
        <f t="shared" si="24"/>
        <v>1337.9019611111112</v>
      </c>
      <c r="K212" s="60">
        <f t="shared" si="19"/>
        <v>5.0427340944757688</v>
      </c>
      <c r="L212" s="60">
        <f t="shared" si="20"/>
        <v>72.901961111111177</v>
      </c>
    </row>
    <row r="213" spans="1:12" ht="15">
      <c r="A213" s="114">
        <v>44522</v>
      </c>
      <c r="B213" s="90">
        <v>1547</v>
      </c>
      <c r="C213" s="56">
        <f t="shared" si="21"/>
        <v>6188</v>
      </c>
      <c r="D213" s="94">
        <v>107.69444444444444</v>
      </c>
      <c r="E213" s="58">
        <v>1</v>
      </c>
      <c r="F213" s="89">
        <v>3.31</v>
      </c>
      <c r="G213" s="89">
        <v>1.91</v>
      </c>
      <c r="H213" s="59">
        <f t="shared" si="22"/>
        <v>1137.9556</v>
      </c>
      <c r="I213" s="60">
        <f t="shared" si="23"/>
        <v>92.750115555555553</v>
      </c>
      <c r="J213" s="60">
        <f t="shared" si="24"/>
        <v>1230.7057155555556</v>
      </c>
      <c r="K213" s="60">
        <f t="shared" si="19"/>
        <v>21.878533138839259</v>
      </c>
      <c r="L213" s="60">
        <f t="shared" si="20"/>
        <v>-316.29428444444443</v>
      </c>
    </row>
    <row r="214" spans="1:12" ht="15">
      <c r="A214" s="114">
        <v>44523</v>
      </c>
      <c r="B214" s="90">
        <v>1204</v>
      </c>
      <c r="C214" s="56">
        <f t="shared" si="21"/>
        <v>4816</v>
      </c>
      <c r="D214" s="94">
        <v>321.97222222222223</v>
      </c>
      <c r="E214" s="58">
        <v>1</v>
      </c>
      <c r="F214" s="89">
        <v>5.57</v>
      </c>
      <c r="G214" s="89">
        <v>2.62</v>
      </c>
      <c r="H214" s="59">
        <f t="shared" si="22"/>
        <v>1380.4168</v>
      </c>
      <c r="I214" s="60">
        <f t="shared" si="23"/>
        <v>50.070876111111112</v>
      </c>
      <c r="J214" s="60">
        <f t="shared" si="24"/>
        <v>1430.4876761111111</v>
      </c>
      <c r="K214" s="60">
        <f t="shared" si="19"/>
        <v>15.666480145347039</v>
      </c>
      <c r="L214" s="60">
        <f t="shared" si="20"/>
        <v>226.48767611111111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9E1A-0836-4F74-863E-62902BFF26C2}">
  <dimension ref="A1:G107"/>
  <sheetViews>
    <sheetView zoomScale="60" zoomScaleNormal="60" workbookViewId="0">
      <selection activeCell="M13" sqref="M13"/>
    </sheetView>
  </sheetViews>
  <sheetFormatPr defaultRowHeight="14.25"/>
  <cols>
    <col min="1" max="1" width="10.125" style="108" bestFit="1" customWidth="1"/>
    <col min="2" max="2" width="15.75" bestFit="1" customWidth="1"/>
    <col min="3" max="3" width="16.125" bestFit="1" customWidth="1"/>
    <col min="4" max="4" width="24.125" bestFit="1" customWidth="1"/>
    <col min="5" max="5" width="23.875" bestFit="1" customWidth="1"/>
    <col min="6" max="6" width="27" bestFit="1" customWidth="1"/>
    <col min="7" max="7" width="25.75" bestFit="1" customWidth="1"/>
  </cols>
  <sheetData>
    <row r="1" spans="1:7">
      <c r="A1" s="104" t="s">
        <v>14</v>
      </c>
      <c r="B1" s="20" t="s">
        <v>13</v>
      </c>
      <c r="C1" s="20" t="s">
        <v>9</v>
      </c>
      <c r="D1" s="20" t="s">
        <v>81</v>
      </c>
      <c r="E1" s="19" t="s">
        <v>106</v>
      </c>
      <c r="F1" s="19" t="s">
        <v>107</v>
      </c>
      <c r="G1" s="19" t="s">
        <v>108</v>
      </c>
    </row>
    <row r="2" spans="1:7" ht="15">
      <c r="A2" s="105">
        <v>44313</v>
      </c>
      <c r="B2" s="65">
        <v>0</v>
      </c>
      <c r="C2" s="65">
        <v>8047</v>
      </c>
      <c r="D2" s="65">
        <f>C2/7200000*100000</f>
        <v>111.7638888888889</v>
      </c>
      <c r="E2" s="67">
        <v>2</v>
      </c>
      <c r="F2" s="87">
        <v>3.41</v>
      </c>
      <c r="G2" s="87">
        <v>2.76</v>
      </c>
    </row>
    <row r="3" spans="1:7" ht="15">
      <c r="A3" s="105">
        <v>44315</v>
      </c>
      <c r="B3" s="65">
        <v>1</v>
      </c>
      <c r="C3" s="65">
        <v>8043.3809523809514</v>
      </c>
      <c r="D3" s="65">
        <f t="shared" ref="D3:D34" si="0">C3/7200000*100000</f>
        <v>111.71362433862431</v>
      </c>
      <c r="E3" s="67">
        <v>2</v>
      </c>
      <c r="F3" s="87">
        <v>7.04</v>
      </c>
      <c r="G3" s="87">
        <v>2.5099999999999998</v>
      </c>
    </row>
    <row r="4" spans="1:7" ht="15">
      <c r="A4" s="105">
        <v>44317</v>
      </c>
      <c r="B4" s="65">
        <v>3</v>
      </c>
      <c r="C4" s="65">
        <v>7054.8571428571404</v>
      </c>
      <c r="D4" s="65">
        <f t="shared" si="0"/>
        <v>97.984126984126945</v>
      </c>
      <c r="E4" s="67">
        <v>2</v>
      </c>
      <c r="F4" s="87">
        <v>1.1599999999999999</v>
      </c>
      <c r="G4" s="87">
        <v>4.82</v>
      </c>
    </row>
    <row r="5" spans="1:7" ht="15">
      <c r="A5" s="105">
        <v>44319</v>
      </c>
      <c r="B5" s="65">
        <v>0</v>
      </c>
      <c r="C5" s="65">
        <v>3423.5714285714266</v>
      </c>
      <c r="D5" s="65">
        <f t="shared" si="0"/>
        <v>47.549603174603149</v>
      </c>
      <c r="E5" s="67">
        <v>2</v>
      </c>
      <c r="F5" s="87">
        <v>0.9</v>
      </c>
      <c r="G5" s="87">
        <v>2.87</v>
      </c>
    </row>
    <row r="6" spans="1:7" ht="15">
      <c r="A6" s="105">
        <v>44321</v>
      </c>
      <c r="B6" s="65">
        <v>1</v>
      </c>
      <c r="C6" s="65">
        <v>1556.3809523809509</v>
      </c>
      <c r="D6" s="65">
        <f t="shared" si="0"/>
        <v>21.616402116402096</v>
      </c>
      <c r="E6" s="67">
        <v>2</v>
      </c>
      <c r="F6" s="87">
        <v>6.29</v>
      </c>
      <c r="G6" s="87">
        <v>0.9</v>
      </c>
    </row>
    <row r="7" spans="1:7" ht="15">
      <c r="A7" s="105">
        <v>44323</v>
      </c>
      <c r="B7" s="65">
        <v>2</v>
      </c>
      <c r="C7" s="65">
        <v>1906.1428571428571</v>
      </c>
      <c r="D7" s="65">
        <f t="shared" si="0"/>
        <v>26.474206349206348</v>
      </c>
      <c r="E7" s="67">
        <v>2</v>
      </c>
      <c r="F7" s="87">
        <v>3.08</v>
      </c>
      <c r="G7" s="87">
        <v>2.2000000000000002</v>
      </c>
    </row>
    <row r="8" spans="1:7" ht="15">
      <c r="A8" s="105">
        <v>44325</v>
      </c>
      <c r="B8" s="65">
        <v>0</v>
      </c>
      <c r="C8" s="65">
        <v>1963.5714285714287</v>
      </c>
      <c r="D8" s="65">
        <f t="shared" si="0"/>
        <v>27.271825396825399</v>
      </c>
      <c r="E8" s="67">
        <v>2</v>
      </c>
      <c r="F8" s="87">
        <v>2.29</v>
      </c>
      <c r="G8" s="87">
        <v>2.5</v>
      </c>
    </row>
    <row r="9" spans="1:7" ht="15">
      <c r="A9" s="105">
        <v>44327</v>
      </c>
      <c r="B9" s="65">
        <v>3</v>
      </c>
      <c r="C9" s="65">
        <v>1437.1428571428571</v>
      </c>
      <c r="D9" s="65">
        <f t="shared" si="0"/>
        <v>19.960317460317459</v>
      </c>
      <c r="E9" s="67">
        <v>2</v>
      </c>
      <c r="F9" s="87">
        <v>1.82</v>
      </c>
      <c r="G9" s="87">
        <v>3.23</v>
      </c>
    </row>
    <row r="10" spans="1:7" ht="15">
      <c r="A10" s="105">
        <v>44329</v>
      </c>
      <c r="B10" s="65">
        <v>0</v>
      </c>
      <c r="C10" s="65">
        <v>822</v>
      </c>
      <c r="D10" s="65">
        <f t="shared" si="0"/>
        <v>11.416666666666668</v>
      </c>
      <c r="E10" s="67">
        <v>2</v>
      </c>
      <c r="F10" s="87">
        <v>4.74</v>
      </c>
      <c r="G10" s="87">
        <v>4.75</v>
      </c>
    </row>
    <row r="11" spans="1:7" ht="15">
      <c r="A11" s="105">
        <v>44331</v>
      </c>
      <c r="B11" s="65">
        <v>0</v>
      </c>
      <c r="C11" s="65">
        <v>899</v>
      </c>
      <c r="D11" s="65">
        <f t="shared" si="0"/>
        <v>12.486111111111111</v>
      </c>
      <c r="E11" s="67">
        <v>2</v>
      </c>
      <c r="F11" s="87">
        <v>8.32</v>
      </c>
      <c r="G11" s="87">
        <v>4.28</v>
      </c>
    </row>
    <row r="12" spans="1:7" ht="15">
      <c r="A12" s="105">
        <v>44333</v>
      </c>
      <c r="B12" s="65">
        <v>2</v>
      </c>
      <c r="C12" s="65">
        <v>871.26050420168235</v>
      </c>
      <c r="D12" s="65">
        <f t="shared" si="0"/>
        <v>12.100840336134478</v>
      </c>
      <c r="E12" s="67">
        <v>2</v>
      </c>
      <c r="F12" s="87">
        <v>8.0299999999999994</v>
      </c>
      <c r="G12" s="87">
        <v>4.72</v>
      </c>
    </row>
    <row r="13" spans="1:7" ht="15">
      <c r="A13" s="105">
        <v>44335</v>
      </c>
      <c r="B13" s="65">
        <v>1</v>
      </c>
      <c r="C13" s="65">
        <v>566.09243697479337</v>
      </c>
      <c r="D13" s="65">
        <f>C13/7200000*100000</f>
        <v>7.8623949579832422</v>
      </c>
      <c r="E13" s="67">
        <v>2</v>
      </c>
      <c r="F13" s="87">
        <v>4.54</v>
      </c>
      <c r="G13" s="87">
        <v>1.85</v>
      </c>
    </row>
    <row r="14" spans="1:7" ht="15">
      <c r="A14" s="105">
        <v>44337</v>
      </c>
      <c r="B14" s="65">
        <v>0</v>
      </c>
      <c r="C14" s="65">
        <v>318.49579831933289</v>
      </c>
      <c r="D14" s="65">
        <f t="shared" si="0"/>
        <v>4.4235527544351791</v>
      </c>
      <c r="E14" s="67">
        <v>2</v>
      </c>
      <c r="F14" s="87">
        <v>4.22</v>
      </c>
      <c r="G14" s="87">
        <v>0.45</v>
      </c>
    </row>
    <row r="15" spans="1:7" ht="15">
      <c r="A15" s="105">
        <v>44339</v>
      </c>
      <c r="B15" s="65">
        <v>0</v>
      </c>
      <c r="C15" s="65">
        <v>203.91176470588834</v>
      </c>
      <c r="D15" s="65">
        <f t="shared" si="0"/>
        <v>2.8321078431373379</v>
      </c>
      <c r="E15" s="67">
        <v>2</v>
      </c>
      <c r="F15" s="87">
        <v>2.95</v>
      </c>
      <c r="G15" s="87">
        <v>1.56</v>
      </c>
    </row>
    <row r="16" spans="1:7" ht="15">
      <c r="A16" s="105">
        <v>44341</v>
      </c>
      <c r="B16" s="65">
        <v>1</v>
      </c>
      <c r="C16" s="65">
        <v>203.91176470588834</v>
      </c>
      <c r="D16" s="65">
        <f t="shared" si="0"/>
        <v>2.8321078431373379</v>
      </c>
      <c r="E16" s="67">
        <v>2</v>
      </c>
      <c r="F16" s="87">
        <v>4.88</v>
      </c>
      <c r="G16" s="87">
        <v>1.31</v>
      </c>
    </row>
    <row r="17" spans="1:7" ht="15">
      <c r="A17" s="105">
        <v>44343</v>
      </c>
      <c r="B17" s="65">
        <v>36</v>
      </c>
      <c r="C17" s="65">
        <v>203.91176470588834</v>
      </c>
      <c r="D17" s="65">
        <f t="shared" si="0"/>
        <v>2.8321078431373379</v>
      </c>
      <c r="E17" s="67">
        <v>2</v>
      </c>
      <c r="F17" s="87">
        <v>5.25</v>
      </c>
      <c r="G17" s="87">
        <v>4.12</v>
      </c>
    </row>
    <row r="18" spans="1:7" ht="15">
      <c r="A18" s="105">
        <v>44345</v>
      </c>
      <c r="B18" s="65">
        <v>0</v>
      </c>
      <c r="C18" s="65">
        <v>203.91176470588834</v>
      </c>
      <c r="D18" s="65">
        <f t="shared" si="0"/>
        <v>2.8321078431373379</v>
      </c>
      <c r="E18" s="67">
        <v>2</v>
      </c>
      <c r="F18" s="87">
        <v>3.45</v>
      </c>
      <c r="G18" s="87">
        <v>4.7699999999999996</v>
      </c>
    </row>
    <row r="19" spans="1:7" ht="15">
      <c r="A19" s="105">
        <v>44347</v>
      </c>
      <c r="B19" s="65">
        <v>0</v>
      </c>
      <c r="C19" s="65">
        <v>203.91176470588834</v>
      </c>
      <c r="D19" s="65">
        <f t="shared" si="0"/>
        <v>2.8321078431373379</v>
      </c>
      <c r="E19" s="67">
        <v>2</v>
      </c>
      <c r="F19" s="87">
        <v>4.5199999999999996</v>
      </c>
      <c r="G19" s="87">
        <v>3.64</v>
      </c>
    </row>
    <row r="20" spans="1:7" ht="15">
      <c r="A20" s="105">
        <v>44349</v>
      </c>
      <c r="B20" s="65">
        <v>33</v>
      </c>
      <c r="C20" s="65">
        <v>203.91176470588834</v>
      </c>
      <c r="D20" s="65">
        <f t="shared" si="0"/>
        <v>2.8321078431373379</v>
      </c>
      <c r="E20" s="67">
        <v>2</v>
      </c>
      <c r="F20" s="87">
        <v>3.87</v>
      </c>
      <c r="G20" s="87">
        <v>4.5</v>
      </c>
    </row>
    <row r="21" spans="1:7" ht="15">
      <c r="A21" s="105">
        <v>44351</v>
      </c>
      <c r="B21" s="65">
        <v>36</v>
      </c>
      <c r="C21" s="65">
        <v>203.91176470588834</v>
      </c>
      <c r="D21" s="65">
        <f t="shared" si="0"/>
        <v>2.8321078431373379</v>
      </c>
      <c r="E21" s="67">
        <v>2</v>
      </c>
      <c r="F21" s="87">
        <v>5.53</v>
      </c>
      <c r="G21" s="87">
        <v>2.92</v>
      </c>
    </row>
    <row r="22" spans="1:7" ht="15">
      <c r="A22" s="105">
        <v>44353</v>
      </c>
      <c r="B22" s="65">
        <v>33</v>
      </c>
      <c r="C22" s="65">
        <v>203.91176470588834</v>
      </c>
      <c r="D22" s="65">
        <f t="shared" si="0"/>
        <v>2.8321078431373379</v>
      </c>
      <c r="E22" s="67">
        <v>2</v>
      </c>
      <c r="F22" s="87">
        <v>4.7</v>
      </c>
      <c r="G22" s="87">
        <v>5.61</v>
      </c>
    </row>
    <row r="23" spans="1:7" ht="15">
      <c r="A23" s="105">
        <v>44355</v>
      </c>
      <c r="B23" s="65">
        <v>39</v>
      </c>
      <c r="C23" s="65">
        <v>203.91176470588834</v>
      </c>
      <c r="D23" s="65">
        <f t="shared" si="0"/>
        <v>2.8321078431373379</v>
      </c>
      <c r="E23" s="67">
        <v>2</v>
      </c>
      <c r="F23" s="87">
        <v>5.77</v>
      </c>
      <c r="G23" s="87">
        <v>4.08</v>
      </c>
    </row>
    <row r="24" spans="1:7" ht="15">
      <c r="A24" s="105">
        <v>44357</v>
      </c>
      <c r="B24" s="65">
        <v>45</v>
      </c>
      <c r="C24" s="65">
        <v>203.91176470588834</v>
      </c>
      <c r="D24" s="65">
        <f t="shared" si="0"/>
        <v>2.8321078431373379</v>
      </c>
      <c r="E24" s="67">
        <v>2</v>
      </c>
      <c r="F24" s="87">
        <v>3.85</v>
      </c>
      <c r="G24" s="87">
        <v>0.68</v>
      </c>
    </row>
    <row r="25" spans="1:7" ht="15">
      <c r="A25" s="105">
        <v>44359</v>
      </c>
      <c r="B25" s="65">
        <v>84</v>
      </c>
      <c r="C25" s="65">
        <v>203.91176470588834</v>
      </c>
      <c r="D25" s="65">
        <f t="shared" si="0"/>
        <v>2.8321078431373379</v>
      </c>
      <c r="E25" s="67">
        <v>2</v>
      </c>
      <c r="F25" s="87">
        <v>6.05</v>
      </c>
      <c r="G25" s="87">
        <v>2.95</v>
      </c>
    </row>
    <row r="26" spans="1:7" ht="15">
      <c r="A26" s="105">
        <v>44361</v>
      </c>
      <c r="B26" s="65">
        <v>86</v>
      </c>
      <c r="C26" s="65">
        <v>203.91176470588834</v>
      </c>
      <c r="D26" s="65">
        <f t="shared" si="0"/>
        <v>2.8321078431373379</v>
      </c>
      <c r="E26" s="67">
        <v>2</v>
      </c>
      <c r="F26" s="87">
        <v>6.17</v>
      </c>
      <c r="G26" s="87">
        <v>4.7699999999999996</v>
      </c>
    </row>
    <row r="27" spans="1:7" ht="15">
      <c r="A27" s="105">
        <v>44363</v>
      </c>
      <c r="B27" s="65">
        <v>100</v>
      </c>
      <c r="C27" s="65">
        <v>203.91176470588834</v>
      </c>
      <c r="D27" s="65">
        <f t="shared" si="0"/>
        <v>2.8321078431373379</v>
      </c>
      <c r="E27" s="67">
        <v>2</v>
      </c>
      <c r="F27" s="87">
        <v>3.09</v>
      </c>
      <c r="G27" s="87">
        <v>2.5</v>
      </c>
    </row>
    <row r="28" spans="1:7" ht="15">
      <c r="A28" s="105">
        <v>44365</v>
      </c>
      <c r="B28" s="65">
        <v>149</v>
      </c>
      <c r="C28" s="65">
        <v>203.91176470585924</v>
      </c>
      <c r="D28" s="65">
        <f t="shared" si="0"/>
        <v>2.8321078431369338</v>
      </c>
      <c r="E28" s="67">
        <v>2</v>
      </c>
      <c r="F28" s="87">
        <v>2.34</v>
      </c>
      <c r="G28" s="87">
        <v>0.69</v>
      </c>
    </row>
    <row r="29" spans="1:7" ht="15">
      <c r="A29" s="105">
        <v>44367</v>
      </c>
      <c r="B29" s="65">
        <v>137</v>
      </c>
      <c r="C29" s="65">
        <v>6323.4607843136992</v>
      </c>
      <c r="D29" s="65">
        <f t="shared" si="0"/>
        <v>87.82584422657915</v>
      </c>
      <c r="E29" s="67">
        <v>3</v>
      </c>
      <c r="F29" s="87">
        <v>7.79</v>
      </c>
      <c r="G29" s="87">
        <v>2.79</v>
      </c>
    </row>
    <row r="30" spans="1:7" ht="15">
      <c r="A30" s="105">
        <v>44369</v>
      </c>
      <c r="B30" s="65">
        <v>136</v>
      </c>
      <c r="C30" s="65">
        <v>9354.1050420167794</v>
      </c>
      <c r="D30" s="65">
        <f t="shared" si="0"/>
        <v>129.91812558356639</v>
      </c>
      <c r="E30" s="67">
        <v>3</v>
      </c>
      <c r="F30" s="87">
        <v>2.5</v>
      </c>
      <c r="G30" s="87">
        <v>2.84</v>
      </c>
    </row>
    <row r="31" spans="1:7" ht="15">
      <c r="A31" s="105">
        <v>44371</v>
      </c>
      <c r="B31" s="65">
        <v>207</v>
      </c>
      <c r="C31" s="65">
        <v>51428.701680672239</v>
      </c>
      <c r="D31" s="65">
        <f t="shared" si="0"/>
        <v>714.28752334266994</v>
      </c>
      <c r="E31" s="67">
        <v>3</v>
      </c>
      <c r="F31" s="87">
        <v>5.47</v>
      </c>
      <c r="G31" s="87">
        <v>2.9</v>
      </c>
    </row>
    <row r="32" spans="1:7" ht="15">
      <c r="A32" s="105">
        <v>44373</v>
      </c>
      <c r="B32" s="65">
        <v>621</v>
      </c>
      <c r="C32" s="65">
        <v>92035.380952380961</v>
      </c>
      <c r="D32" s="65">
        <f t="shared" si="0"/>
        <v>1278.2691798941801</v>
      </c>
      <c r="E32" s="67">
        <v>3</v>
      </c>
      <c r="F32" s="87">
        <v>5.32</v>
      </c>
      <c r="G32" s="87">
        <v>3.21</v>
      </c>
    </row>
    <row r="33" spans="1:7" ht="15">
      <c r="A33" s="105">
        <v>44375</v>
      </c>
      <c r="B33" s="65">
        <v>218</v>
      </c>
      <c r="C33" s="65">
        <v>95002.5</v>
      </c>
      <c r="D33" s="65">
        <f t="shared" si="0"/>
        <v>1319.4791666666667</v>
      </c>
      <c r="E33" s="67">
        <v>3</v>
      </c>
      <c r="F33" s="87">
        <v>7.62</v>
      </c>
      <c r="G33" s="87">
        <v>2.9</v>
      </c>
    </row>
    <row r="34" spans="1:7" ht="15">
      <c r="A34" s="105">
        <v>44377</v>
      </c>
      <c r="B34" s="65">
        <v>249</v>
      </c>
      <c r="C34" s="65">
        <v>86718.857142857145</v>
      </c>
      <c r="D34" s="65">
        <f t="shared" si="0"/>
        <v>1204.4285714285713</v>
      </c>
      <c r="E34" s="67">
        <v>3</v>
      </c>
      <c r="F34" s="87">
        <v>6.88</v>
      </c>
      <c r="G34" s="87">
        <v>1.03</v>
      </c>
    </row>
    <row r="35" spans="1:7" ht="15">
      <c r="A35" s="105">
        <v>44379</v>
      </c>
      <c r="B35" s="65">
        <v>419</v>
      </c>
      <c r="C35" s="65">
        <v>40163.093406593391</v>
      </c>
      <c r="D35" s="65">
        <f t="shared" ref="D35:D66" si="1">C35/7200000*100000</f>
        <v>557.82074175824152</v>
      </c>
      <c r="E35" s="67">
        <v>3</v>
      </c>
      <c r="F35" s="87">
        <v>3.26</v>
      </c>
      <c r="G35" s="87">
        <v>4.13</v>
      </c>
    </row>
    <row r="36" spans="1:7" ht="15">
      <c r="A36" s="105">
        <v>44381</v>
      </c>
      <c r="B36" s="65">
        <v>599</v>
      </c>
      <c r="C36" s="65">
        <v>18311.615384615357</v>
      </c>
      <c r="D36" s="65">
        <f t="shared" si="1"/>
        <v>254.32799145299109</v>
      </c>
      <c r="E36" s="67">
        <v>3</v>
      </c>
      <c r="F36" s="87">
        <v>4.12</v>
      </c>
      <c r="G36" s="87">
        <v>1.1000000000000001</v>
      </c>
    </row>
    <row r="37" spans="1:7" ht="15">
      <c r="A37" s="105">
        <v>44383</v>
      </c>
      <c r="B37" s="65">
        <v>710</v>
      </c>
      <c r="C37" s="65">
        <v>32.637362637324259</v>
      </c>
      <c r="D37" s="65">
        <f t="shared" si="1"/>
        <v>0.45329670329617028</v>
      </c>
      <c r="E37" s="67">
        <v>3</v>
      </c>
      <c r="F37" s="87">
        <v>5.85</v>
      </c>
      <c r="G37" s="87">
        <v>2.42</v>
      </c>
    </row>
    <row r="38" spans="1:7" ht="15">
      <c r="A38" s="105">
        <v>44385</v>
      </c>
      <c r="B38" s="65">
        <v>915</v>
      </c>
      <c r="C38" s="65">
        <v>38.076923076878302</v>
      </c>
      <c r="D38" s="65">
        <f t="shared" si="1"/>
        <v>0.52884615384553191</v>
      </c>
      <c r="E38" s="67">
        <v>3</v>
      </c>
      <c r="F38" s="87">
        <v>4.25</v>
      </c>
      <c r="G38" s="87">
        <v>1.26</v>
      </c>
    </row>
    <row r="39" spans="1:7" ht="15">
      <c r="A39" s="105">
        <v>44387</v>
      </c>
      <c r="B39" s="65">
        <v>1320</v>
      </c>
      <c r="C39" s="65">
        <v>38.076923076878302</v>
      </c>
      <c r="D39" s="65">
        <f t="shared" si="1"/>
        <v>0.52884615384553191</v>
      </c>
      <c r="E39" s="67">
        <v>3.5</v>
      </c>
      <c r="F39" s="87">
        <v>3.25</v>
      </c>
      <c r="G39" s="87">
        <v>1.61</v>
      </c>
    </row>
    <row r="40" spans="1:7" ht="15">
      <c r="A40" s="105">
        <v>44389</v>
      </c>
      <c r="B40" s="65">
        <v>1764</v>
      </c>
      <c r="C40" s="65">
        <v>38.076923076878302</v>
      </c>
      <c r="D40" s="65">
        <f t="shared" si="1"/>
        <v>0.52884615384553191</v>
      </c>
      <c r="E40" s="67">
        <v>3.5</v>
      </c>
      <c r="F40" s="87">
        <v>4.54</v>
      </c>
      <c r="G40" s="87">
        <v>2.9</v>
      </c>
    </row>
    <row r="41" spans="1:7" ht="15">
      <c r="A41" s="105">
        <v>44391</v>
      </c>
      <c r="B41" s="65">
        <v>2229</v>
      </c>
      <c r="C41" s="65">
        <v>32.637362637324202</v>
      </c>
      <c r="D41" s="65">
        <f t="shared" si="1"/>
        <v>0.45329670329616945</v>
      </c>
      <c r="E41" s="67">
        <v>3.5</v>
      </c>
      <c r="F41" s="87">
        <v>1.71</v>
      </c>
      <c r="G41" s="87">
        <v>3.08</v>
      </c>
    </row>
    <row r="42" spans="1:7" ht="15">
      <c r="A42" s="105">
        <v>44393</v>
      </c>
      <c r="B42" s="65">
        <v>2436</v>
      </c>
      <c r="C42" s="65">
        <v>198.90109890107331</v>
      </c>
      <c r="D42" s="65">
        <f t="shared" si="1"/>
        <v>2.7625152625149072</v>
      </c>
      <c r="E42" s="67">
        <v>3.5</v>
      </c>
      <c r="F42" s="87">
        <v>4.8600000000000003</v>
      </c>
      <c r="G42" s="87">
        <v>2.5099999999999998</v>
      </c>
    </row>
    <row r="43" spans="1:7" ht="15">
      <c r="A43" s="105">
        <v>44395</v>
      </c>
      <c r="B43" s="65">
        <v>4083</v>
      </c>
      <c r="C43" s="65">
        <v>365.16483516482236</v>
      </c>
      <c r="D43" s="65">
        <f t="shared" si="1"/>
        <v>5.0717338217336438</v>
      </c>
      <c r="E43" s="67">
        <v>3.5</v>
      </c>
      <c r="F43" s="87">
        <v>4.3499999999999996</v>
      </c>
      <c r="G43" s="87">
        <v>2.41</v>
      </c>
    </row>
    <row r="44" spans="1:7" ht="15">
      <c r="A44" s="105">
        <v>44397</v>
      </c>
      <c r="B44" s="65">
        <v>3322</v>
      </c>
      <c r="C44" s="65">
        <v>323.59890109888511</v>
      </c>
      <c r="D44" s="65">
        <f t="shared" si="1"/>
        <v>4.4944291819289601</v>
      </c>
      <c r="E44" s="67">
        <v>3.5</v>
      </c>
      <c r="F44" s="87">
        <v>5.09</v>
      </c>
      <c r="G44" s="87">
        <v>1.77</v>
      </c>
    </row>
    <row r="45" spans="1:7" ht="15">
      <c r="A45" s="105">
        <v>44399</v>
      </c>
      <c r="B45" s="65">
        <v>4473</v>
      </c>
      <c r="C45" s="65">
        <v>3100</v>
      </c>
      <c r="D45" s="65">
        <f t="shared" si="1"/>
        <v>43.055555555555557</v>
      </c>
      <c r="E45" s="67">
        <v>3.5</v>
      </c>
      <c r="F45" s="87">
        <v>4.47</v>
      </c>
      <c r="G45" s="87">
        <v>4.49</v>
      </c>
    </row>
    <row r="46" spans="1:7" ht="15">
      <c r="A46" s="105">
        <v>44401</v>
      </c>
      <c r="B46" s="65">
        <v>5546</v>
      </c>
      <c r="C46" s="65">
        <v>16548</v>
      </c>
      <c r="D46" s="65">
        <f t="shared" si="1"/>
        <v>229.83333333333331</v>
      </c>
      <c r="E46" s="67">
        <v>3.5</v>
      </c>
      <c r="F46" s="87">
        <v>0.22</v>
      </c>
      <c r="G46" s="87">
        <v>4.4400000000000004</v>
      </c>
    </row>
    <row r="47" spans="1:7" ht="15">
      <c r="A47" s="105">
        <v>44403</v>
      </c>
      <c r="B47" s="65">
        <v>6097</v>
      </c>
      <c r="C47" s="65">
        <v>47676</v>
      </c>
      <c r="D47" s="65">
        <f t="shared" si="1"/>
        <v>662.16666666666663</v>
      </c>
      <c r="E47" s="67">
        <v>3.5</v>
      </c>
      <c r="F47" s="87">
        <v>2.4300000000000002</v>
      </c>
      <c r="G47" s="87">
        <v>3.2</v>
      </c>
    </row>
    <row r="48" spans="1:7" ht="15">
      <c r="A48" s="105">
        <v>44405</v>
      </c>
      <c r="B48" s="65">
        <v>4045</v>
      </c>
      <c r="C48" s="65">
        <v>69211</v>
      </c>
      <c r="D48" s="65">
        <f t="shared" si="1"/>
        <v>961.26388888888891</v>
      </c>
      <c r="E48" s="67">
        <v>3.5</v>
      </c>
      <c r="F48" s="87">
        <v>3.59</v>
      </c>
      <c r="G48" s="87">
        <v>4.58</v>
      </c>
    </row>
    <row r="49" spans="1:7" ht="15">
      <c r="A49" s="105">
        <v>44407</v>
      </c>
      <c r="B49" s="65">
        <v>1541</v>
      </c>
      <c r="C49" s="65">
        <v>78122</v>
      </c>
      <c r="D49" s="65">
        <f t="shared" si="1"/>
        <v>1085.0277777777778</v>
      </c>
      <c r="E49" s="67">
        <v>3.5</v>
      </c>
      <c r="F49" s="87">
        <v>3.85</v>
      </c>
      <c r="G49" s="87">
        <v>5.64</v>
      </c>
    </row>
    <row r="50" spans="1:7" ht="15">
      <c r="A50" s="105">
        <v>44409</v>
      </c>
      <c r="B50" s="65">
        <v>2025</v>
      </c>
      <c r="C50" s="65">
        <v>95500</v>
      </c>
      <c r="D50" s="65">
        <f t="shared" si="1"/>
        <v>1326.3888888888889</v>
      </c>
      <c r="E50" s="67">
        <v>3.5</v>
      </c>
      <c r="F50" s="87">
        <v>4.88</v>
      </c>
      <c r="G50" s="87">
        <v>2.9</v>
      </c>
    </row>
    <row r="51" spans="1:7" ht="15">
      <c r="A51" s="105">
        <v>44411</v>
      </c>
      <c r="B51" s="65">
        <v>4171</v>
      </c>
      <c r="C51" s="65">
        <v>111878</v>
      </c>
      <c r="D51" s="65">
        <f t="shared" si="1"/>
        <v>1553.8611111111111</v>
      </c>
      <c r="E51" s="67">
        <v>3.5</v>
      </c>
      <c r="F51" s="87">
        <v>6.08</v>
      </c>
      <c r="G51" s="87">
        <v>0.47</v>
      </c>
    </row>
    <row r="52" spans="1:7" ht="15">
      <c r="A52" s="105">
        <v>44413</v>
      </c>
      <c r="B52" s="65">
        <v>3886</v>
      </c>
      <c r="C52" s="65">
        <v>671513</v>
      </c>
      <c r="D52" s="65">
        <f t="shared" si="1"/>
        <v>9326.5694444444453</v>
      </c>
      <c r="E52" s="67">
        <v>3.5</v>
      </c>
      <c r="F52" s="87">
        <v>3.31</v>
      </c>
      <c r="G52" s="87">
        <v>1.99</v>
      </c>
    </row>
    <row r="53" spans="1:7" ht="15">
      <c r="A53" s="105">
        <v>44415</v>
      </c>
      <c r="B53" s="65">
        <v>5827</v>
      </c>
      <c r="C53" s="65">
        <v>210791.42857142858</v>
      </c>
      <c r="D53" s="65">
        <f t="shared" si="1"/>
        <v>2927.6587301587301</v>
      </c>
      <c r="E53" s="67">
        <v>3.5</v>
      </c>
      <c r="F53" s="87">
        <v>2.2400000000000002</v>
      </c>
      <c r="G53" s="87">
        <v>7.31</v>
      </c>
    </row>
    <row r="54" spans="1:7" ht="15">
      <c r="A54" s="105">
        <v>44417</v>
      </c>
      <c r="B54" s="65">
        <v>4132</v>
      </c>
      <c r="C54" s="65">
        <v>363019.57142857148</v>
      </c>
      <c r="D54" s="65">
        <f t="shared" si="1"/>
        <v>5041.938492063493</v>
      </c>
      <c r="E54" s="67">
        <v>3.5</v>
      </c>
      <c r="F54" s="87">
        <v>3.05</v>
      </c>
      <c r="G54" s="87">
        <v>4.4000000000000004</v>
      </c>
    </row>
    <row r="55" spans="1:7" ht="15">
      <c r="A55" s="105">
        <v>44419</v>
      </c>
      <c r="B55" s="65">
        <v>3609</v>
      </c>
      <c r="C55" s="65">
        <v>294809.51785714284</v>
      </c>
      <c r="D55" s="65">
        <f t="shared" si="1"/>
        <v>4094.5766369047615</v>
      </c>
      <c r="E55" s="67">
        <v>3.5</v>
      </c>
      <c r="F55" s="87">
        <v>2.4</v>
      </c>
      <c r="G55" s="87">
        <v>5.36</v>
      </c>
    </row>
    <row r="56" spans="1:7" ht="15">
      <c r="A56" s="105">
        <v>44421</v>
      </c>
      <c r="B56" s="65">
        <v>3399</v>
      </c>
      <c r="C56" s="65">
        <v>93993</v>
      </c>
      <c r="D56" s="65">
        <f t="shared" si="1"/>
        <v>1305.4583333333333</v>
      </c>
      <c r="E56" s="67">
        <v>3.5</v>
      </c>
      <c r="F56" s="87">
        <v>4.3499999999999996</v>
      </c>
      <c r="G56" s="87">
        <v>2.99</v>
      </c>
    </row>
    <row r="57" spans="1:7" ht="15">
      <c r="A57" s="105">
        <v>44423</v>
      </c>
      <c r="B57" s="65">
        <v>3975</v>
      </c>
      <c r="C57" s="65">
        <v>197556.13950892858</v>
      </c>
      <c r="D57" s="65">
        <f t="shared" si="1"/>
        <v>2743.8352709573414</v>
      </c>
      <c r="E57" s="67">
        <v>3.5</v>
      </c>
      <c r="F57" s="87">
        <v>5.16</v>
      </c>
      <c r="G57" s="87">
        <v>2.13</v>
      </c>
    </row>
    <row r="58" spans="1:7" ht="15">
      <c r="A58" s="105">
        <v>44425</v>
      </c>
      <c r="B58" s="65">
        <v>3740</v>
      </c>
      <c r="C58" s="65">
        <v>126157</v>
      </c>
      <c r="D58" s="65">
        <f t="shared" si="1"/>
        <v>1752.1805555555554</v>
      </c>
      <c r="E58" s="67">
        <v>3.5</v>
      </c>
      <c r="F58" s="87">
        <v>2.93</v>
      </c>
      <c r="G58" s="87">
        <v>6.76</v>
      </c>
    </row>
    <row r="59" spans="1:7" ht="15">
      <c r="A59" s="105">
        <v>44427</v>
      </c>
      <c r="B59" s="65">
        <v>4307</v>
      </c>
      <c r="C59" s="65">
        <v>142223</v>
      </c>
      <c r="D59" s="65">
        <f t="shared" si="1"/>
        <v>1975.3194444444446</v>
      </c>
      <c r="E59" s="67">
        <v>3.5</v>
      </c>
      <c r="F59" s="87">
        <v>3.19</v>
      </c>
      <c r="G59" s="87">
        <v>0.39</v>
      </c>
    </row>
    <row r="60" spans="1:7" ht="15">
      <c r="A60" s="105">
        <v>44429</v>
      </c>
      <c r="B60" s="65">
        <v>4084</v>
      </c>
      <c r="C60" s="65">
        <v>95516</v>
      </c>
      <c r="D60" s="65">
        <f t="shared" si="1"/>
        <v>1326.6111111111111</v>
      </c>
      <c r="E60" s="67">
        <v>3.5</v>
      </c>
      <c r="F60" s="87">
        <v>4.82</v>
      </c>
      <c r="G60" s="87">
        <v>3.86</v>
      </c>
    </row>
    <row r="61" spans="1:7" ht="15">
      <c r="A61" s="105">
        <v>44431</v>
      </c>
      <c r="B61" s="65">
        <v>4251</v>
      </c>
      <c r="C61" s="65">
        <v>58817</v>
      </c>
      <c r="D61" s="65">
        <f t="shared" si="1"/>
        <v>816.90277777777783</v>
      </c>
      <c r="E61" s="67">
        <v>5</v>
      </c>
      <c r="F61" s="87">
        <v>0.59</v>
      </c>
      <c r="G61" s="87">
        <v>6.76</v>
      </c>
    </row>
    <row r="62" spans="1:7" ht="15">
      <c r="A62" s="105">
        <v>44433</v>
      </c>
      <c r="B62" s="65">
        <v>5294</v>
      </c>
      <c r="C62" s="65">
        <v>57982</v>
      </c>
      <c r="D62" s="65">
        <f t="shared" si="1"/>
        <v>805.30555555555566</v>
      </c>
      <c r="E62" s="67">
        <v>5</v>
      </c>
      <c r="F62" s="87">
        <v>5.07</v>
      </c>
      <c r="G62" s="87">
        <v>1.9</v>
      </c>
    </row>
    <row r="63" spans="1:7" ht="15">
      <c r="A63" s="105">
        <v>44435</v>
      </c>
      <c r="B63" s="65">
        <v>5383</v>
      </c>
      <c r="C63" s="65">
        <v>62349</v>
      </c>
      <c r="D63" s="65">
        <f t="shared" si="1"/>
        <v>865.95833333333337</v>
      </c>
      <c r="E63" s="67">
        <v>5</v>
      </c>
      <c r="F63" s="87">
        <v>4.4000000000000004</v>
      </c>
      <c r="G63" s="87">
        <v>8.09</v>
      </c>
    </row>
    <row r="64" spans="1:7" ht="15">
      <c r="A64" s="105">
        <v>44437</v>
      </c>
      <c r="B64" s="65">
        <v>4957</v>
      </c>
      <c r="C64" s="65">
        <v>32603</v>
      </c>
      <c r="D64" s="65">
        <f t="shared" si="1"/>
        <v>452.8194444444444</v>
      </c>
      <c r="E64" s="67">
        <v>5</v>
      </c>
      <c r="F64" s="87">
        <v>7.65</v>
      </c>
      <c r="G64" s="87">
        <v>5.98</v>
      </c>
    </row>
    <row r="65" spans="1:7" ht="15">
      <c r="A65" s="105">
        <v>44439</v>
      </c>
      <c r="B65" s="65">
        <v>5444</v>
      </c>
      <c r="C65" s="65">
        <v>40212</v>
      </c>
      <c r="D65" s="65">
        <f t="shared" si="1"/>
        <v>558.5</v>
      </c>
      <c r="E65" s="67">
        <v>5</v>
      </c>
      <c r="F65" s="87">
        <v>6.55</v>
      </c>
      <c r="G65" s="87">
        <v>3.27</v>
      </c>
    </row>
    <row r="66" spans="1:7" ht="15">
      <c r="A66" s="105">
        <v>44441</v>
      </c>
      <c r="B66" s="65">
        <v>5964</v>
      </c>
      <c r="C66" s="65">
        <v>63341</v>
      </c>
      <c r="D66" s="65">
        <f t="shared" si="1"/>
        <v>879.7361111111112</v>
      </c>
      <c r="E66" s="67">
        <v>5</v>
      </c>
      <c r="F66" s="87">
        <v>6.22</v>
      </c>
      <c r="G66" s="87">
        <v>1.5</v>
      </c>
    </row>
    <row r="67" spans="1:7" ht="15">
      <c r="A67" s="105">
        <v>44443</v>
      </c>
      <c r="B67" s="65">
        <v>4104</v>
      </c>
      <c r="C67" s="65">
        <v>74998</v>
      </c>
      <c r="D67" s="65">
        <f t="shared" ref="D67:D98" si="2">C67/7200000*100000</f>
        <v>1041.6388888888889</v>
      </c>
      <c r="E67" s="67">
        <v>5</v>
      </c>
      <c r="F67" s="87">
        <v>7.76</v>
      </c>
      <c r="G67" s="87">
        <v>4.78</v>
      </c>
    </row>
    <row r="68" spans="1:7" ht="15">
      <c r="A68" s="105">
        <v>44445</v>
      </c>
      <c r="B68" s="65">
        <v>7122</v>
      </c>
      <c r="C68" s="65">
        <v>105781</v>
      </c>
      <c r="D68" s="65">
        <f t="shared" si="2"/>
        <v>1469.1805555555554</v>
      </c>
      <c r="E68" s="67">
        <v>5</v>
      </c>
      <c r="F68" s="87">
        <v>6.17</v>
      </c>
      <c r="G68" s="87">
        <v>4.13</v>
      </c>
    </row>
    <row r="69" spans="1:7" ht="15">
      <c r="A69" s="105">
        <v>44447</v>
      </c>
      <c r="B69" s="65">
        <v>7308</v>
      </c>
      <c r="C69" s="65">
        <v>163548</v>
      </c>
      <c r="D69" s="65">
        <f t="shared" si="2"/>
        <v>2271.5</v>
      </c>
      <c r="E69" s="67">
        <v>5</v>
      </c>
      <c r="F69" s="87">
        <v>6.7</v>
      </c>
      <c r="G69" s="87">
        <v>2.9</v>
      </c>
    </row>
    <row r="70" spans="1:7" ht="15">
      <c r="A70" s="105">
        <v>44449</v>
      </c>
      <c r="B70" s="65">
        <v>7539</v>
      </c>
      <c r="C70" s="65">
        <v>183699</v>
      </c>
      <c r="D70" s="65">
        <f t="shared" si="2"/>
        <v>2551.375</v>
      </c>
      <c r="E70" s="67">
        <v>5</v>
      </c>
      <c r="F70" s="87">
        <v>1.86</v>
      </c>
      <c r="G70" s="87">
        <v>4.1500000000000004</v>
      </c>
    </row>
    <row r="71" spans="1:7" ht="15">
      <c r="A71" s="105">
        <v>44451</v>
      </c>
      <c r="B71" s="65">
        <v>6158</v>
      </c>
      <c r="C71" s="65">
        <v>246332</v>
      </c>
      <c r="D71" s="65">
        <f t="shared" si="2"/>
        <v>3421.2777777777778</v>
      </c>
      <c r="E71" s="67">
        <v>5</v>
      </c>
      <c r="F71" s="87">
        <v>7.02</v>
      </c>
      <c r="G71" s="87">
        <v>2.71</v>
      </c>
    </row>
    <row r="72" spans="1:7" ht="15">
      <c r="A72" s="105">
        <v>44453</v>
      </c>
      <c r="B72" s="65">
        <v>6315</v>
      </c>
      <c r="C72" s="65">
        <v>177119</v>
      </c>
      <c r="D72" s="65">
        <f t="shared" si="2"/>
        <v>2459.9861111111109</v>
      </c>
      <c r="E72" s="67">
        <v>5</v>
      </c>
      <c r="F72" s="87">
        <v>4.75</v>
      </c>
      <c r="G72" s="87">
        <v>1.42</v>
      </c>
    </row>
    <row r="73" spans="1:7" ht="15">
      <c r="A73" s="105">
        <v>44455</v>
      </c>
      <c r="B73" s="65">
        <v>5735</v>
      </c>
      <c r="C73" s="65">
        <v>119193</v>
      </c>
      <c r="D73" s="65">
        <f t="shared" si="2"/>
        <v>1655.4583333333335</v>
      </c>
      <c r="E73" s="67">
        <v>5</v>
      </c>
      <c r="F73" s="87">
        <v>2.38</v>
      </c>
      <c r="G73" s="87">
        <v>5.09</v>
      </c>
    </row>
    <row r="74" spans="1:7" ht="15">
      <c r="A74" s="105">
        <v>44457</v>
      </c>
      <c r="B74" s="65">
        <v>4273</v>
      </c>
      <c r="C74" s="65">
        <v>86403</v>
      </c>
      <c r="D74" s="65">
        <f t="shared" si="2"/>
        <v>1200.0416666666665</v>
      </c>
      <c r="E74" s="67">
        <v>5</v>
      </c>
      <c r="F74" s="87">
        <v>5.74</v>
      </c>
      <c r="G74" s="87">
        <v>2.71</v>
      </c>
    </row>
    <row r="75" spans="1:7" ht="15">
      <c r="A75" s="105">
        <v>44459</v>
      </c>
      <c r="B75" s="65">
        <v>5172</v>
      </c>
      <c r="C75" s="65">
        <v>30117</v>
      </c>
      <c r="D75" s="65">
        <f t="shared" si="2"/>
        <v>418.29166666666663</v>
      </c>
      <c r="E75" s="67">
        <v>5</v>
      </c>
      <c r="F75" s="87">
        <v>4.59</v>
      </c>
      <c r="G75" s="87">
        <v>3.91</v>
      </c>
    </row>
    <row r="76" spans="1:7" ht="15">
      <c r="A76" s="105">
        <v>44461</v>
      </c>
      <c r="B76" s="65">
        <v>5435</v>
      </c>
      <c r="C76" s="65">
        <v>513377</v>
      </c>
      <c r="D76" s="65">
        <f t="shared" si="2"/>
        <v>7130.2361111111113</v>
      </c>
      <c r="E76" s="67">
        <v>5</v>
      </c>
      <c r="F76" s="87">
        <v>2.13</v>
      </c>
      <c r="G76" s="87">
        <v>1.77</v>
      </c>
    </row>
    <row r="77" spans="1:7" ht="15">
      <c r="A77" s="105">
        <v>44463</v>
      </c>
      <c r="B77" s="65">
        <v>3786</v>
      </c>
      <c r="C77" s="65">
        <v>70899</v>
      </c>
      <c r="D77" s="65">
        <f t="shared" si="2"/>
        <v>984.70833333333326</v>
      </c>
      <c r="E77" s="67">
        <v>5</v>
      </c>
      <c r="F77" s="87">
        <v>3.06</v>
      </c>
      <c r="G77" s="87">
        <v>3.69</v>
      </c>
    </row>
    <row r="78" spans="1:7" ht="15">
      <c r="A78" s="105">
        <v>44465</v>
      </c>
      <c r="B78" s="65">
        <v>5121</v>
      </c>
      <c r="C78" s="65">
        <v>237373</v>
      </c>
      <c r="D78" s="65">
        <f t="shared" si="2"/>
        <v>3296.8472222222226</v>
      </c>
      <c r="E78" s="67">
        <v>5</v>
      </c>
      <c r="F78" s="87">
        <v>4.68</v>
      </c>
      <c r="G78" s="87">
        <v>0.64</v>
      </c>
    </row>
    <row r="79" spans="1:7" ht="15">
      <c r="A79" s="105">
        <v>44467</v>
      </c>
      <c r="B79" s="65">
        <v>3749</v>
      </c>
      <c r="C79" s="65">
        <v>132884</v>
      </c>
      <c r="D79" s="65">
        <f t="shared" si="2"/>
        <v>1845.6111111111111</v>
      </c>
      <c r="E79" s="67">
        <v>5</v>
      </c>
      <c r="F79" s="87">
        <v>1.89</v>
      </c>
      <c r="G79" s="87">
        <v>3.26</v>
      </c>
    </row>
    <row r="80" spans="1:7" ht="15">
      <c r="A80" s="105">
        <v>44469</v>
      </c>
      <c r="B80" s="65">
        <v>4372</v>
      </c>
      <c r="C80" s="65">
        <v>251678</v>
      </c>
      <c r="D80" s="65">
        <f t="shared" si="2"/>
        <v>3495.5277777777778</v>
      </c>
      <c r="E80" s="67">
        <v>5</v>
      </c>
      <c r="F80" s="87">
        <v>7.13</v>
      </c>
      <c r="G80" s="87">
        <v>2.48</v>
      </c>
    </row>
    <row r="81" spans="1:7" ht="15">
      <c r="A81" s="105">
        <v>44471</v>
      </c>
      <c r="B81" s="65">
        <v>2723</v>
      </c>
      <c r="C81" s="65">
        <v>269621</v>
      </c>
      <c r="D81" s="65">
        <f t="shared" si="2"/>
        <v>3744.7361111111113</v>
      </c>
      <c r="E81" s="67">
        <v>2</v>
      </c>
      <c r="F81" s="87">
        <v>2.44</v>
      </c>
      <c r="G81" s="87">
        <v>4.18</v>
      </c>
    </row>
    <row r="82" spans="1:7" ht="15">
      <c r="A82" s="105">
        <v>44473</v>
      </c>
      <c r="B82" s="65">
        <v>2490</v>
      </c>
      <c r="C82" s="65">
        <v>283448</v>
      </c>
      <c r="D82" s="65">
        <f t="shared" si="2"/>
        <v>3936.7777777777778</v>
      </c>
      <c r="E82" s="67">
        <v>2</v>
      </c>
      <c r="F82" s="87">
        <v>4.4000000000000004</v>
      </c>
      <c r="G82" s="87">
        <v>1.44</v>
      </c>
    </row>
    <row r="83" spans="1:7" ht="15">
      <c r="A83" s="105">
        <v>44475</v>
      </c>
      <c r="B83" s="65">
        <v>1960</v>
      </c>
      <c r="C83" s="65">
        <v>173924</v>
      </c>
      <c r="D83" s="65">
        <f t="shared" si="2"/>
        <v>2415.6111111111109</v>
      </c>
      <c r="E83" s="67">
        <v>2</v>
      </c>
      <c r="F83" s="87">
        <v>4.55</v>
      </c>
      <c r="G83" s="87">
        <v>3.28</v>
      </c>
    </row>
    <row r="84" spans="1:7" ht="15">
      <c r="A84" s="105">
        <v>44477</v>
      </c>
      <c r="B84" s="65">
        <v>2215</v>
      </c>
      <c r="C84" s="65">
        <v>102080</v>
      </c>
      <c r="D84" s="65">
        <f t="shared" si="2"/>
        <v>1417.7777777777776</v>
      </c>
      <c r="E84" s="67">
        <v>2</v>
      </c>
      <c r="F84" s="87">
        <v>7.86</v>
      </c>
      <c r="G84" s="87">
        <v>2.88</v>
      </c>
    </row>
    <row r="85" spans="1:7" ht="15">
      <c r="A85" s="105">
        <v>44479</v>
      </c>
      <c r="B85" s="65">
        <v>1067</v>
      </c>
      <c r="C85" s="65">
        <v>96186</v>
      </c>
      <c r="D85" s="65">
        <f t="shared" si="2"/>
        <v>1335.9166666666667</v>
      </c>
      <c r="E85" s="67">
        <v>2</v>
      </c>
      <c r="F85" s="87">
        <v>5.45</v>
      </c>
      <c r="G85" s="87">
        <v>3.54</v>
      </c>
    </row>
    <row r="86" spans="1:7" ht="15">
      <c r="A86" s="105">
        <v>44481</v>
      </c>
      <c r="B86" s="65">
        <v>1018</v>
      </c>
      <c r="C86" s="65">
        <v>61728</v>
      </c>
      <c r="D86" s="65">
        <f t="shared" si="2"/>
        <v>857.33333333333337</v>
      </c>
      <c r="E86" s="67">
        <v>2</v>
      </c>
      <c r="F86" s="87">
        <v>4.28</v>
      </c>
      <c r="G86" s="87">
        <v>1.65</v>
      </c>
    </row>
    <row r="87" spans="1:7" ht="15">
      <c r="A87" s="105">
        <v>44483</v>
      </c>
      <c r="B87" s="65">
        <v>909</v>
      </c>
      <c r="C87" s="65">
        <v>36191</v>
      </c>
      <c r="D87" s="65">
        <f t="shared" si="2"/>
        <v>502.65277777777783</v>
      </c>
      <c r="E87" s="67">
        <v>2</v>
      </c>
      <c r="F87" s="87">
        <v>2.86</v>
      </c>
      <c r="G87" s="87">
        <v>1.74</v>
      </c>
    </row>
    <row r="88" spans="1:7" ht="15">
      <c r="A88" s="105">
        <v>44485</v>
      </c>
      <c r="B88" s="65">
        <v>790</v>
      </c>
      <c r="C88" s="65">
        <v>27716</v>
      </c>
      <c r="D88" s="65">
        <f t="shared" si="2"/>
        <v>384.94444444444446</v>
      </c>
      <c r="E88" s="67">
        <v>2</v>
      </c>
      <c r="F88" s="87">
        <v>4.45</v>
      </c>
      <c r="G88" s="87">
        <v>3.09</v>
      </c>
    </row>
    <row r="89" spans="1:7" ht="15">
      <c r="A89" s="105">
        <v>44487</v>
      </c>
      <c r="B89" s="65">
        <v>968</v>
      </c>
      <c r="C89" s="65">
        <v>15216</v>
      </c>
      <c r="D89" s="65">
        <f t="shared" si="2"/>
        <v>211.33333333333334</v>
      </c>
      <c r="E89" s="67">
        <v>2</v>
      </c>
      <c r="F89" s="87">
        <v>4.5999999999999996</v>
      </c>
      <c r="G89" s="87">
        <v>5.48</v>
      </c>
    </row>
    <row r="90" spans="1:7" ht="15">
      <c r="A90" s="105">
        <v>44489</v>
      </c>
      <c r="B90" s="65">
        <v>1347</v>
      </c>
      <c r="C90" s="65">
        <v>20939</v>
      </c>
      <c r="D90" s="65">
        <f t="shared" si="2"/>
        <v>290.81944444444446</v>
      </c>
      <c r="E90" s="67">
        <v>2</v>
      </c>
      <c r="F90" s="87">
        <v>2.2400000000000002</v>
      </c>
      <c r="G90" s="87">
        <v>3.76</v>
      </c>
    </row>
    <row r="91" spans="1:7" ht="15">
      <c r="A91" s="105">
        <v>44491</v>
      </c>
      <c r="B91" s="65">
        <v>1205</v>
      </c>
      <c r="C91" s="65">
        <v>20223</v>
      </c>
      <c r="D91" s="65">
        <f t="shared" si="2"/>
        <v>280.875</v>
      </c>
      <c r="E91" s="67">
        <v>2</v>
      </c>
      <c r="F91" s="87">
        <v>5.31</v>
      </c>
      <c r="G91" s="87">
        <v>1.81</v>
      </c>
    </row>
    <row r="92" spans="1:7" ht="15">
      <c r="A92" s="105">
        <v>44493</v>
      </c>
      <c r="B92" s="65">
        <v>966</v>
      </c>
      <c r="C92" s="65">
        <v>16741</v>
      </c>
      <c r="D92" s="65">
        <f t="shared" si="2"/>
        <v>232.51388888888889</v>
      </c>
      <c r="E92" s="67">
        <v>2</v>
      </c>
      <c r="F92" s="87">
        <v>3.45</v>
      </c>
      <c r="G92" s="87">
        <v>2.9</v>
      </c>
    </row>
    <row r="93" spans="1:7" ht="15">
      <c r="A93" s="105">
        <v>44495</v>
      </c>
      <c r="B93" s="65">
        <v>783</v>
      </c>
      <c r="C93" s="65">
        <v>23506</v>
      </c>
      <c r="D93" s="65">
        <f t="shared" si="2"/>
        <v>326.47222222222223</v>
      </c>
      <c r="E93" s="67">
        <v>1.5</v>
      </c>
      <c r="F93" s="87">
        <v>4.3</v>
      </c>
      <c r="G93" s="87">
        <v>4.63</v>
      </c>
    </row>
    <row r="94" spans="1:7" ht="15">
      <c r="A94" s="105">
        <v>44497</v>
      </c>
      <c r="B94" s="65">
        <v>1069</v>
      </c>
      <c r="C94" s="65">
        <v>36248</v>
      </c>
      <c r="D94" s="65">
        <f t="shared" si="2"/>
        <v>503.44444444444446</v>
      </c>
      <c r="E94" s="67">
        <v>1.5</v>
      </c>
      <c r="F94" s="87">
        <v>4.41</v>
      </c>
      <c r="G94" s="87">
        <v>2.9</v>
      </c>
    </row>
    <row r="95" spans="1:7" ht="15">
      <c r="A95" s="105">
        <v>44499</v>
      </c>
      <c r="B95" s="65">
        <v>1042</v>
      </c>
      <c r="C95" s="65">
        <v>68996</v>
      </c>
      <c r="D95" s="65">
        <f t="shared" si="2"/>
        <v>958.27777777777783</v>
      </c>
      <c r="E95" s="67">
        <v>1.5</v>
      </c>
      <c r="F95" s="87">
        <v>4.3499999999999996</v>
      </c>
      <c r="G95" s="87">
        <v>5.0199999999999996</v>
      </c>
    </row>
    <row r="96" spans="1:7" ht="15">
      <c r="A96" s="105">
        <v>44501</v>
      </c>
      <c r="B96" s="65">
        <v>927</v>
      </c>
      <c r="C96" s="65">
        <v>27746</v>
      </c>
      <c r="D96" s="65">
        <f t="shared" si="2"/>
        <v>385.36111111111109</v>
      </c>
      <c r="E96" s="67">
        <v>1.5</v>
      </c>
      <c r="F96" s="87">
        <v>3.54</v>
      </c>
      <c r="G96" s="87">
        <v>4.97</v>
      </c>
    </row>
    <row r="97" spans="1:7" ht="15">
      <c r="A97" s="105">
        <v>44503</v>
      </c>
      <c r="B97" s="65">
        <v>985</v>
      </c>
      <c r="C97" s="65">
        <v>26850</v>
      </c>
      <c r="D97" s="65">
        <f t="shared" si="2"/>
        <v>372.91666666666669</v>
      </c>
      <c r="E97" s="67">
        <v>1.5</v>
      </c>
      <c r="F97" s="87">
        <v>5.51</v>
      </c>
      <c r="G97" s="87">
        <v>2.2400000000000002</v>
      </c>
    </row>
    <row r="98" spans="1:7" ht="15">
      <c r="A98" s="105">
        <v>44505</v>
      </c>
      <c r="B98" s="65">
        <v>912</v>
      </c>
      <c r="C98" s="65">
        <v>21597</v>
      </c>
      <c r="D98" s="65">
        <f t="shared" si="2"/>
        <v>299.95833333333331</v>
      </c>
      <c r="E98" s="67">
        <v>1.5</v>
      </c>
      <c r="F98" s="87">
        <v>3.48</v>
      </c>
      <c r="G98" s="87">
        <v>2.9</v>
      </c>
    </row>
    <row r="99" spans="1:7" ht="15">
      <c r="A99" s="105">
        <v>44507</v>
      </c>
      <c r="B99" s="65">
        <v>1009</v>
      </c>
      <c r="C99" s="65">
        <v>13830</v>
      </c>
      <c r="D99" s="65">
        <f t="shared" ref="D99:D107" si="3">C99/7200000*100000</f>
        <v>192.08333333333334</v>
      </c>
      <c r="E99" s="67">
        <v>1.5</v>
      </c>
      <c r="F99" s="87">
        <v>7.87</v>
      </c>
      <c r="G99" s="87">
        <v>5.17</v>
      </c>
    </row>
    <row r="100" spans="1:7" ht="15">
      <c r="A100" s="105">
        <v>44509</v>
      </c>
      <c r="B100" s="65">
        <v>1276</v>
      </c>
      <c r="C100" s="65">
        <v>20730</v>
      </c>
      <c r="D100" s="65">
        <f t="shared" si="3"/>
        <v>287.91666666666669</v>
      </c>
      <c r="E100" s="67">
        <v>1.5</v>
      </c>
      <c r="F100" s="87">
        <v>3.26</v>
      </c>
      <c r="G100" s="87">
        <v>4.6900000000000004</v>
      </c>
    </row>
    <row r="101" spans="1:7" ht="15">
      <c r="A101" s="105">
        <v>44511</v>
      </c>
      <c r="B101" s="65">
        <v>1185</v>
      </c>
      <c r="C101" s="65">
        <v>16297</v>
      </c>
      <c r="D101" s="65">
        <f t="shared" si="3"/>
        <v>226.34722222222223</v>
      </c>
      <c r="E101" s="67">
        <v>1.5</v>
      </c>
      <c r="F101" s="87">
        <v>1.29</v>
      </c>
      <c r="G101" s="87">
        <v>2.81</v>
      </c>
    </row>
    <row r="102" spans="1:7" ht="15">
      <c r="A102" s="105">
        <v>44513</v>
      </c>
      <c r="B102" s="65">
        <v>1240</v>
      </c>
      <c r="C102" s="65">
        <v>24596</v>
      </c>
      <c r="D102" s="65">
        <f t="shared" si="3"/>
        <v>341.61111111111109</v>
      </c>
      <c r="E102" s="67">
        <v>1.5</v>
      </c>
      <c r="F102" s="87">
        <v>4.24</v>
      </c>
      <c r="G102" s="87">
        <v>5.73</v>
      </c>
    </row>
    <row r="103" spans="1:7" ht="15">
      <c r="A103" s="105">
        <v>44515</v>
      </c>
      <c r="B103" s="65">
        <v>1165</v>
      </c>
      <c r="C103" s="65">
        <v>4920</v>
      </c>
      <c r="D103" s="65">
        <f t="shared" si="3"/>
        <v>68.333333333333329</v>
      </c>
      <c r="E103" s="67">
        <v>1.5</v>
      </c>
      <c r="F103" s="87">
        <v>5.68</v>
      </c>
      <c r="G103" s="87">
        <v>3.4</v>
      </c>
    </row>
    <row r="104" spans="1:7" ht="15">
      <c r="A104" s="105">
        <v>44517</v>
      </c>
      <c r="B104" s="65">
        <v>1337</v>
      </c>
      <c r="C104" s="65">
        <v>39113</v>
      </c>
      <c r="D104" s="65">
        <f t="shared" si="3"/>
        <v>543.23611111111109</v>
      </c>
      <c r="E104" s="67">
        <v>1.5</v>
      </c>
      <c r="F104" s="87">
        <v>3.93</v>
      </c>
      <c r="G104" s="87">
        <v>5.19</v>
      </c>
    </row>
    <row r="105" spans="1:7" ht="15">
      <c r="A105" s="105">
        <v>44519</v>
      </c>
      <c r="B105" s="65">
        <v>1339</v>
      </c>
      <c r="C105" s="65">
        <v>19214</v>
      </c>
      <c r="D105" s="65">
        <f t="shared" si="3"/>
        <v>266.86111111111114</v>
      </c>
      <c r="E105" s="67">
        <v>1.5</v>
      </c>
      <c r="F105" s="87">
        <v>3.53</v>
      </c>
      <c r="G105" s="87">
        <v>5.7</v>
      </c>
    </row>
    <row r="106" spans="1:7" ht="15">
      <c r="A106" s="105">
        <v>44521</v>
      </c>
      <c r="B106" s="86">
        <v>1265</v>
      </c>
      <c r="C106" s="86">
        <v>9881</v>
      </c>
      <c r="D106" s="65">
        <f t="shared" si="3"/>
        <v>137.23611111111111</v>
      </c>
      <c r="E106" s="67">
        <v>1</v>
      </c>
      <c r="F106" s="87">
        <v>3.25</v>
      </c>
      <c r="G106" s="87">
        <v>0.54</v>
      </c>
    </row>
    <row r="107" spans="1:7" ht="15">
      <c r="A107" s="105">
        <v>44523</v>
      </c>
      <c r="B107" s="86">
        <v>1204</v>
      </c>
      <c r="C107" s="86">
        <v>23182</v>
      </c>
      <c r="D107" s="65">
        <f t="shared" si="3"/>
        <v>321.97222222222223</v>
      </c>
      <c r="E107" s="67">
        <v>1</v>
      </c>
      <c r="F107" s="87">
        <v>5.57</v>
      </c>
      <c r="G107" s="87">
        <v>2.62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D2B-EEC3-4727-91D5-7A46D74ECEF6}">
  <dimension ref="A1:Z1002"/>
  <sheetViews>
    <sheetView workbookViewId="0">
      <pane ySplit="5" topLeftCell="A6" activePane="bottomLeft" state="frozen"/>
      <selection pane="bottomLeft" activeCell="F212" sqref="F212"/>
    </sheetView>
  </sheetViews>
  <sheetFormatPr defaultColWidth="12.875" defaultRowHeight="15" customHeight="1"/>
  <cols>
    <col min="1" max="1" width="12" style="118" customWidth="1"/>
    <col min="2" max="2" width="18" style="118" customWidth="1"/>
    <col min="3" max="3" width="19.125" style="118" customWidth="1"/>
    <col min="4" max="4" width="14.75" style="118" customWidth="1"/>
    <col min="5" max="5" width="11.25" style="118" customWidth="1"/>
    <col min="6" max="6" width="12.25" style="118" customWidth="1"/>
    <col min="7" max="7" width="68.875" style="118" customWidth="1"/>
    <col min="8" max="8" width="25.25" style="118" customWidth="1"/>
    <col min="9" max="26" width="9.75" style="118" customWidth="1"/>
    <col min="27" max="16384" width="12.875" style="118"/>
  </cols>
  <sheetData>
    <row r="1" spans="1:26" ht="15" customHeight="1">
      <c r="A1" s="312" t="s">
        <v>114</v>
      </c>
      <c r="B1" s="313"/>
      <c r="C1" s="313"/>
      <c r="D1" s="313"/>
      <c r="E1" s="313"/>
      <c r="F1" s="313"/>
      <c r="G1" s="313"/>
      <c r="H1" s="115" t="s">
        <v>115</v>
      </c>
      <c r="I1" s="116" t="s">
        <v>116</v>
      </c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" customHeight="1">
      <c r="A2" s="314" t="s">
        <v>117</v>
      </c>
      <c r="B2" s="313"/>
      <c r="C2" s="313"/>
      <c r="D2" s="313"/>
      <c r="E2" s="313"/>
      <c r="F2" s="313"/>
      <c r="G2" s="313"/>
      <c r="H2" s="115" t="s">
        <v>118</v>
      </c>
      <c r="I2" s="116" t="s">
        <v>119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" customHeight="1">
      <c r="A3" s="119"/>
      <c r="B3" s="120"/>
      <c r="C3" s="120"/>
      <c r="D3" s="121"/>
      <c r="E3" s="121"/>
      <c r="F3" s="121"/>
      <c r="G3" s="121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" customHeight="1">
      <c r="A4" s="315" t="s">
        <v>36</v>
      </c>
      <c r="B4" s="317" t="s">
        <v>120</v>
      </c>
      <c r="C4" s="318"/>
      <c r="D4" s="318"/>
      <c r="E4" s="319"/>
      <c r="F4" s="320" t="s">
        <v>121</v>
      </c>
      <c r="G4" s="315" t="s">
        <v>122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" customHeight="1">
      <c r="A5" s="316"/>
      <c r="B5" s="122" t="s">
        <v>123</v>
      </c>
      <c r="C5" s="122" t="s">
        <v>124</v>
      </c>
      <c r="D5" s="122" t="s">
        <v>125</v>
      </c>
      <c r="E5" s="122" t="s">
        <v>126</v>
      </c>
      <c r="F5" s="316"/>
      <c r="G5" s="316"/>
      <c r="H5" s="123" t="s">
        <v>127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" customHeight="1">
      <c r="A6" s="124">
        <v>44313</v>
      </c>
      <c r="B6" s="125">
        <v>0</v>
      </c>
      <c r="C6" s="125">
        <v>0</v>
      </c>
      <c r="D6" s="126">
        <v>0</v>
      </c>
      <c r="E6" s="126">
        <v>0</v>
      </c>
      <c r="F6" s="126"/>
      <c r="G6" s="127" t="s">
        <v>128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" customHeight="1">
      <c r="A7" s="124">
        <v>44314</v>
      </c>
      <c r="B7" s="125">
        <v>0</v>
      </c>
      <c r="C7" s="125">
        <v>0</v>
      </c>
      <c r="D7" s="126">
        <v>0</v>
      </c>
      <c r="E7" s="126">
        <v>0</v>
      </c>
      <c r="F7" s="126"/>
      <c r="G7" s="128" t="s">
        <v>129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" customHeight="1">
      <c r="A8" s="124">
        <v>44315</v>
      </c>
      <c r="B8" s="125">
        <v>1</v>
      </c>
      <c r="C8" s="125">
        <v>1</v>
      </c>
      <c r="D8" s="126">
        <v>1</v>
      </c>
      <c r="E8" s="126">
        <v>1</v>
      </c>
      <c r="F8" s="126"/>
      <c r="G8" s="129" t="s">
        <v>130</v>
      </c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" customHeight="1">
      <c r="A9" s="124">
        <v>44316</v>
      </c>
      <c r="B9" s="125">
        <v>2</v>
      </c>
      <c r="C9" s="125">
        <v>2</v>
      </c>
      <c r="D9" s="126">
        <v>2</v>
      </c>
      <c r="E9" s="126">
        <f t="shared" ref="E9:E72" si="0">E8+C9</f>
        <v>3</v>
      </c>
      <c r="F9" s="126"/>
      <c r="G9" s="127" t="s">
        <v>131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" customHeight="1">
      <c r="A10" s="124">
        <v>44317</v>
      </c>
      <c r="B10" s="125">
        <v>3</v>
      </c>
      <c r="C10" s="125">
        <v>3</v>
      </c>
      <c r="D10" s="126">
        <v>3</v>
      </c>
      <c r="E10" s="126">
        <f t="shared" si="0"/>
        <v>6</v>
      </c>
      <c r="F10" s="126"/>
      <c r="G10" s="127" t="s">
        <v>132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" customHeight="1">
      <c r="A11" s="124">
        <v>44318</v>
      </c>
      <c r="B11" s="125">
        <v>0</v>
      </c>
      <c r="C11" s="125">
        <v>0</v>
      </c>
      <c r="D11" s="126">
        <v>0</v>
      </c>
      <c r="E11" s="126">
        <f t="shared" si="0"/>
        <v>6</v>
      </c>
      <c r="F11" s="126"/>
      <c r="G11" s="127" t="s">
        <v>133</v>
      </c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" customHeight="1">
      <c r="A12" s="124">
        <v>44319</v>
      </c>
      <c r="B12" s="125">
        <v>0</v>
      </c>
      <c r="C12" s="125">
        <v>0</v>
      </c>
      <c r="D12" s="126">
        <v>0</v>
      </c>
      <c r="E12" s="126">
        <f t="shared" si="0"/>
        <v>6</v>
      </c>
      <c r="F12" s="126"/>
      <c r="G12" s="127" t="s">
        <v>134</v>
      </c>
      <c r="H12" s="130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" customHeight="1">
      <c r="A13" s="124">
        <v>44320</v>
      </c>
      <c r="B13" s="125">
        <v>3</v>
      </c>
      <c r="C13" s="125">
        <v>3</v>
      </c>
      <c r="D13" s="126">
        <v>3</v>
      </c>
      <c r="E13" s="126">
        <f t="shared" si="0"/>
        <v>9</v>
      </c>
      <c r="F13" s="126"/>
      <c r="G13" s="131" t="s">
        <v>135</v>
      </c>
      <c r="H13" s="130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" customHeight="1">
      <c r="A14" s="124">
        <v>44321</v>
      </c>
      <c r="B14" s="125">
        <v>1</v>
      </c>
      <c r="C14" s="125">
        <v>1</v>
      </c>
      <c r="D14" s="126">
        <v>1</v>
      </c>
      <c r="E14" s="126">
        <f t="shared" si="0"/>
        <v>10</v>
      </c>
      <c r="F14" s="126"/>
      <c r="G14" s="128" t="s">
        <v>136</v>
      </c>
      <c r="H14" s="130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" customHeight="1">
      <c r="A15" s="124">
        <v>44322</v>
      </c>
      <c r="B15" s="125">
        <v>0</v>
      </c>
      <c r="C15" s="125">
        <v>0</v>
      </c>
      <c r="D15" s="126">
        <v>0</v>
      </c>
      <c r="E15" s="126">
        <f t="shared" si="0"/>
        <v>10</v>
      </c>
      <c r="F15" s="126"/>
      <c r="G15" s="128" t="s">
        <v>137</v>
      </c>
      <c r="H15" s="130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" customHeight="1">
      <c r="A16" s="124">
        <v>44323</v>
      </c>
      <c r="B16" s="125">
        <v>2</v>
      </c>
      <c r="C16" s="125">
        <v>2</v>
      </c>
      <c r="D16" s="126">
        <v>2</v>
      </c>
      <c r="E16" s="126">
        <f t="shared" si="0"/>
        <v>12</v>
      </c>
      <c r="F16" s="126"/>
      <c r="G16" s="128" t="s">
        <v>138</v>
      </c>
      <c r="H16" s="130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" customHeight="1">
      <c r="A17" s="124">
        <v>44324</v>
      </c>
      <c r="B17" s="125">
        <v>1</v>
      </c>
      <c r="C17" s="125">
        <v>1</v>
      </c>
      <c r="D17" s="126">
        <v>1</v>
      </c>
      <c r="E17" s="126">
        <f t="shared" si="0"/>
        <v>13</v>
      </c>
      <c r="F17" s="126"/>
      <c r="G17" s="127" t="s">
        <v>139</v>
      </c>
      <c r="H17" s="130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" customHeight="1">
      <c r="A18" s="124">
        <v>44325</v>
      </c>
      <c r="B18" s="125">
        <v>0</v>
      </c>
      <c r="C18" s="125">
        <v>0</v>
      </c>
      <c r="D18" s="126">
        <v>0</v>
      </c>
      <c r="E18" s="126">
        <f t="shared" si="0"/>
        <v>13</v>
      </c>
      <c r="F18" s="126"/>
      <c r="G18" s="127" t="s">
        <v>140</v>
      </c>
      <c r="H18" s="130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" customHeight="1">
      <c r="A19" s="124">
        <v>44326</v>
      </c>
      <c r="B19" s="125">
        <v>0</v>
      </c>
      <c r="C19" s="125">
        <v>0</v>
      </c>
      <c r="D19" s="132">
        <v>0</v>
      </c>
      <c r="E19" s="126">
        <f t="shared" si="0"/>
        <v>13</v>
      </c>
      <c r="F19" s="126"/>
      <c r="G19" s="133"/>
      <c r="H19" s="130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" customHeight="1">
      <c r="A20" s="124">
        <v>44327</v>
      </c>
      <c r="B20" s="125">
        <v>3</v>
      </c>
      <c r="C20" s="125">
        <v>3</v>
      </c>
      <c r="D20" s="126"/>
      <c r="E20" s="126">
        <f t="shared" si="0"/>
        <v>16</v>
      </c>
      <c r="F20" s="126"/>
      <c r="G20" s="127" t="s">
        <v>141</v>
      </c>
      <c r="H20" s="130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" customHeight="1">
      <c r="A21" s="124">
        <v>44328</v>
      </c>
      <c r="B21" s="125">
        <v>0</v>
      </c>
      <c r="C21" s="125">
        <v>0</v>
      </c>
      <c r="D21" s="132">
        <v>0</v>
      </c>
      <c r="E21" s="126">
        <f t="shared" si="0"/>
        <v>16</v>
      </c>
      <c r="F21" s="126"/>
      <c r="G21" s="133"/>
      <c r="H21" s="130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" customHeight="1">
      <c r="A22" s="124">
        <v>44329</v>
      </c>
      <c r="B22" s="125">
        <v>0</v>
      </c>
      <c r="C22" s="125">
        <v>0</v>
      </c>
      <c r="D22" s="132">
        <v>0</v>
      </c>
      <c r="E22" s="126">
        <f t="shared" si="0"/>
        <v>16</v>
      </c>
      <c r="F22" s="126"/>
      <c r="G22" s="134"/>
      <c r="H22" s="130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" customHeight="1">
      <c r="A23" s="124">
        <v>44330</v>
      </c>
      <c r="B23" s="125">
        <v>0</v>
      </c>
      <c r="C23" s="125">
        <v>0</v>
      </c>
      <c r="D23" s="126">
        <v>0</v>
      </c>
      <c r="E23" s="126">
        <f t="shared" si="0"/>
        <v>16</v>
      </c>
      <c r="F23" s="126"/>
      <c r="G23" s="127" t="s">
        <v>142</v>
      </c>
      <c r="H23" s="130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" customHeight="1">
      <c r="A24" s="124">
        <v>44331</v>
      </c>
      <c r="B24" s="125">
        <v>0</v>
      </c>
      <c r="C24" s="125">
        <v>0</v>
      </c>
      <c r="D24" s="126">
        <v>0</v>
      </c>
      <c r="E24" s="126">
        <f t="shared" si="0"/>
        <v>16</v>
      </c>
      <c r="F24" s="126"/>
      <c r="G24" s="127" t="s">
        <v>143</v>
      </c>
      <c r="H24" s="130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" customHeight="1">
      <c r="A25" s="124">
        <v>44332</v>
      </c>
      <c r="B25" s="125">
        <v>0</v>
      </c>
      <c r="C25" s="125">
        <v>0</v>
      </c>
      <c r="D25" s="126">
        <v>0</v>
      </c>
      <c r="E25" s="126">
        <f t="shared" si="0"/>
        <v>16</v>
      </c>
      <c r="F25" s="126"/>
      <c r="G25" s="127" t="s">
        <v>144</v>
      </c>
      <c r="H25" s="130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>
      <c r="A26" s="124">
        <v>44333</v>
      </c>
      <c r="B26" s="125">
        <v>2</v>
      </c>
      <c r="C26" s="125">
        <v>2</v>
      </c>
      <c r="D26" s="126">
        <v>2</v>
      </c>
      <c r="E26" s="126">
        <f t="shared" si="0"/>
        <v>18</v>
      </c>
      <c r="F26" s="126"/>
      <c r="G26" s="128" t="s">
        <v>145</v>
      </c>
      <c r="H26" s="130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" customHeight="1">
      <c r="A27" s="124">
        <v>44334</v>
      </c>
      <c r="B27" s="125">
        <v>0</v>
      </c>
      <c r="C27" s="125">
        <v>1</v>
      </c>
      <c r="D27" s="126">
        <v>1</v>
      </c>
      <c r="E27" s="126">
        <f t="shared" si="0"/>
        <v>19</v>
      </c>
      <c r="F27" s="126"/>
      <c r="G27" s="127" t="s">
        <v>146</v>
      </c>
      <c r="H27" s="130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" customHeight="1">
      <c r="A28" s="124">
        <v>44335</v>
      </c>
      <c r="B28" s="125">
        <v>2</v>
      </c>
      <c r="C28" s="125">
        <v>1</v>
      </c>
      <c r="D28" s="126">
        <v>1</v>
      </c>
      <c r="E28" s="126">
        <f t="shared" si="0"/>
        <v>20</v>
      </c>
      <c r="F28" s="126"/>
      <c r="G28" s="128" t="s">
        <v>147</v>
      </c>
      <c r="H28" s="130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" customHeight="1">
      <c r="A29" s="124">
        <v>44336</v>
      </c>
      <c r="B29" s="125">
        <v>3</v>
      </c>
      <c r="C29" s="125">
        <v>3</v>
      </c>
      <c r="D29" s="126">
        <v>3</v>
      </c>
      <c r="E29" s="126">
        <f t="shared" si="0"/>
        <v>23</v>
      </c>
      <c r="F29" s="126"/>
      <c r="G29" s="127" t="s">
        <v>148</v>
      </c>
      <c r="H29" s="130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" customHeight="1">
      <c r="A30" s="124">
        <v>44337</v>
      </c>
      <c r="B30" s="125">
        <v>0</v>
      </c>
      <c r="C30" s="125">
        <v>0</v>
      </c>
      <c r="D30" s="126">
        <v>0</v>
      </c>
      <c r="E30" s="126">
        <f t="shared" si="0"/>
        <v>23</v>
      </c>
      <c r="F30" s="126"/>
      <c r="G30" s="127" t="s">
        <v>149</v>
      </c>
      <c r="H30" s="130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" customHeight="1">
      <c r="A31" s="124">
        <v>44338</v>
      </c>
      <c r="B31" s="125">
        <v>0</v>
      </c>
      <c r="C31" s="125">
        <v>0</v>
      </c>
      <c r="D31" s="126">
        <v>0</v>
      </c>
      <c r="E31" s="126">
        <f t="shared" si="0"/>
        <v>23</v>
      </c>
      <c r="F31" s="126"/>
      <c r="G31" s="128" t="s">
        <v>150</v>
      </c>
      <c r="H31" s="130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" customHeight="1">
      <c r="A32" s="124">
        <v>44339</v>
      </c>
      <c r="B32" s="125">
        <v>0</v>
      </c>
      <c r="C32" s="125">
        <v>0</v>
      </c>
      <c r="D32" s="126">
        <v>0</v>
      </c>
      <c r="E32" s="126">
        <f t="shared" si="0"/>
        <v>23</v>
      </c>
      <c r="F32" s="126"/>
      <c r="G32" s="131" t="s">
        <v>151</v>
      </c>
      <c r="H32" s="130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" customHeight="1">
      <c r="A33" s="124">
        <v>44340</v>
      </c>
      <c r="B33" s="125">
        <v>1</v>
      </c>
      <c r="C33" s="125">
        <v>1</v>
      </c>
      <c r="D33" s="126">
        <v>1</v>
      </c>
      <c r="E33" s="126">
        <f t="shared" si="0"/>
        <v>24</v>
      </c>
      <c r="F33" s="126"/>
      <c r="G33" s="135" t="s">
        <v>152</v>
      </c>
      <c r="H33" s="130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" customHeight="1">
      <c r="A34" s="124">
        <v>44341</v>
      </c>
      <c r="B34" s="125">
        <v>1</v>
      </c>
      <c r="C34" s="125">
        <v>1</v>
      </c>
      <c r="D34" s="126">
        <v>1</v>
      </c>
      <c r="E34" s="126">
        <f t="shared" si="0"/>
        <v>25</v>
      </c>
      <c r="F34" s="126"/>
      <c r="G34" s="127" t="s">
        <v>153</v>
      </c>
      <c r="H34" s="130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" customHeight="1">
      <c r="A35" s="124">
        <v>44342</v>
      </c>
      <c r="B35" s="125">
        <v>0</v>
      </c>
      <c r="C35" s="125">
        <v>0</v>
      </c>
      <c r="D35" s="126">
        <v>0</v>
      </c>
      <c r="E35" s="126">
        <f t="shared" si="0"/>
        <v>25</v>
      </c>
      <c r="F35" s="126"/>
      <c r="G35" s="127" t="s">
        <v>154</v>
      </c>
      <c r="H35" s="130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" customHeight="1">
      <c r="A36" s="124">
        <v>44343</v>
      </c>
      <c r="B36" s="125">
        <v>36</v>
      </c>
      <c r="C36" s="125">
        <v>36</v>
      </c>
      <c r="D36" s="126">
        <v>36</v>
      </c>
      <c r="E36" s="126">
        <f t="shared" si="0"/>
        <v>61</v>
      </c>
      <c r="F36" s="126"/>
      <c r="G36" s="127" t="s">
        <v>155</v>
      </c>
      <c r="H36" s="130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" customHeight="1">
      <c r="A37" s="124">
        <v>44344</v>
      </c>
      <c r="B37" s="125">
        <v>0</v>
      </c>
      <c r="C37" s="125">
        <v>0</v>
      </c>
      <c r="D37" s="126">
        <v>0</v>
      </c>
      <c r="E37" s="126">
        <f t="shared" si="0"/>
        <v>61</v>
      </c>
      <c r="F37" s="126"/>
      <c r="G37" s="127" t="s">
        <v>156</v>
      </c>
      <c r="H37" s="130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" customHeight="1">
      <c r="A38" s="124">
        <v>44345</v>
      </c>
      <c r="B38" s="125">
        <v>0</v>
      </c>
      <c r="C38" s="125">
        <v>0</v>
      </c>
      <c r="D38" s="126">
        <v>0</v>
      </c>
      <c r="E38" s="126">
        <f t="shared" si="0"/>
        <v>61</v>
      </c>
      <c r="F38" s="126"/>
      <c r="G38" s="127" t="s">
        <v>157</v>
      </c>
      <c r="H38" s="130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" customHeight="1">
      <c r="A39" s="124">
        <v>44346</v>
      </c>
      <c r="B39" s="125"/>
      <c r="C39" s="125">
        <v>51</v>
      </c>
      <c r="D39" s="126">
        <v>49</v>
      </c>
      <c r="E39" s="126">
        <f t="shared" si="0"/>
        <v>112</v>
      </c>
      <c r="F39" s="126"/>
      <c r="G39" s="127" t="s">
        <v>158</v>
      </c>
      <c r="H39" s="130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" customHeight="1">
      <c r="A40" s="124">
        <v>44347</v>
      </c>
      <c r="B40" s="125">
        <v>0</v>
      </c>
      <c r="C40" s="125">
        <v>0</v>
      </c>
      <c r="D40" s="132">
        <v>0</v>
      </c>
      <c r="E40" s="126">
        <f t="shared" si="0"/>
        <v>112</v>
      </c>
      <c r="F40" s="126"/>
      <c r="G40" s="127" t="s">
        <v>159</v>
      </c>
      <c r="H40" s="130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" customHeight="1">
      <c r="A41" s="124">
        <v>44348</v>
      </c>
      <c r="B41" s="125">
        <v>0</v>
      </c>
      <c r="C41" s="125">
        <v>0</v>
      </c>
      <c r="D41" s="132">
        <v>0</v>
      </c>
      <c r="E41" s="126">
        <f t="shared" si="0"/>
        <v>112</v>
      </c>
      <c r="F41" s="126"/>
      <c r="G41" s="131" t="s">
        <v>160</v>
      </c>
      <c r="H41" s="130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" customHeight="1">
      <c r="A42" s="124">
        <v>44349</v>
      </c>
      <c r="B42" s="125"/>
      <c r="C42" s="125">
        <v>33</v>
      </c>
      <c r="D42" s="126">
        <v>31</v>
      </c>
      <c r="E42" s="126">
        <f t="shared" si="0"/>
        <v>145</v>
      </c>
      <c r="F42" s="126"/>
      <c r="G42" s="136" t="s">
        <v>161</v>
      </c>
      <c r="H42" s="130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" customHeight="1">
      <c r="A43" s="124">
        <v>44350</v>
      </c>
      <c r="B43" s="125">
        <v>0</v>
      </c>
      <c r="C43" s="125">
        <v>0</v>
      </c>
      <c r="D43" s="132">
        <v>0</v>
      </c>
      <c r="E43" s="126">
        <f t="shared" si="0"/>
        <v>145</v>
      </c>
      <c r="F43" s="126"/>
      <c r="G43" s="133"/>
      <c r="H43" s="130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" customHeight="1">
      <c r="A44" s="124">
        <v>44351</v>
      </c>
      <c r="B44" s="125"/>
      <c r="C44" s="125">
        <v>36</v>
      </c>
      <c r="D44" s="126">
        <f>15+11</f>
        <v>26</v>
      </c>
      <c r="E44" s="126">
        <f t="shared" si="0"/>
        <v>181</v>
      </c>
      <c r="F44" s="126"/>
      <c r="G44" s="136" t="s">
        <v>162</v>
      </c>
      <c r="H44" s="130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" customHeight="1">
      <c r="A45" s="124">
        <v>44352</v>
      </c>
      <c r="B45" s="125"/>
      <c r="C45" s="125">
        <v>31</v>
      </c>
      <c r="D45" s="126">
        <v>35</v>
      </c>
      <c r="E45" s="126">
        <f t="shared" si="0"/>
        <v>212</v>
      </c>
      <c r="F45" s="126"/>
      <c r="G45" s="127" t="s">
        <v>163</v>
      </c>
      <c r="H45" s="130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" customHeight="1">
      <c r="A46" s="124">
        <v>44353</v>
      </c>
      <c r="B46" s="125"/>
      <c r="C46" s="125">
        <v>33</v>
      </c>
      <c r="D46" s="132">
        <f>10+11</f>
        <v>21</v>
      </c>
      <c r="E46" s="126">
        <f t="shared" si="0"/>
        <v>245</v>
      </c>
      <c r="F46" s="126"/>
      <c r="G46" s="127" t="s">
        <v>164</v>
      </c>
      <c r="H46" s="130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" customHeight="1">
      <c r="A47" s="124">
        <v>44354</v>
      </c>
      <c r="B47" s="125"/>
      <c r="C47" s="125">
        <v>69</v>
      </c>
      <c r="D47" s="132">
        <f>34+12</f>
        <v>46</v>
      </c>
      <c r="E47" s="126">
        <f t="shared" si="0"/>
        <v>314</v>
      </c>
      <c r="F47" s="126"/>
      <c r="G47" s="127" t="s">
        <v>164</v>
      </c>
      <c r="H47" s="130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" customHeight="1">
      <c r="A48" s="124">
        <v>44355</v>
      </c>
      <c r="B48" s="125"/>
      <c r="C48" s="125">
        <v>39</v>
      </c>
      <c r="D48" s="126">
        <f>24+15</f>
        <v>39</v>
      </c>
      <c r="E48" s="126">
        <f t="shared" si="0"/>
        <v>353</v>
      </c>
      <c r="F48" s="126"/>
      <c r="G48" s="127" t="s">
        <v>165</v>
      </c>
      <c r="H48" s="130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" customHeight="1">
      <c r="A49" s="124">
        <v>44356</v>
      </c>
      <c r="B49" s="125"/>
      <c r="C49" s="125">
        <v>66</v>
      </c>
      <c r="D49" s="126">
        <f>20+46</f>
        <v>66</v>
      </c>
      <c r="E49" s="126">
        <f t="shared" si="0"/>
        <v>419</v>
      </c>
      <c r="F49" s="126"/>
      <c r="G49" s="127" t="s">
        <v>166</v>
      </c>
      <c r="H49" s="130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" customHeight="1">
      <c r="A50" s="124">
        <v>44357</v>
      </c>
      <c r="B50" s="125"/>
      <c r="C50" s="125">
        <v>45</v>
      </c>
      <c r="D50" s="132">
        <f>35+26</f>
        <v>61</v>
      </c>
      <c r="E50" s="126">
        <f t="shared" si="0"/>
        <v>464</v>
      </c>
      <c r="F50" s="126"/>
      <c r="G50" s="133"/>
      <c r="H50" s="130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" customHeight="1">
      <c r="A51" s="124">
        <v>44358</v>
      </c>
      <c r="B51" s="125"/>
      <c r="C51" s="125">
        <v>58</v>
      </c>
      <c r="D51" s="126">
        <f>20+10</f>
        <v>30</v>
      </c>
      <c r="E51" s="126">
        <f t="shared" si="0"/>
        <v>522</v>
      </c>
      <c r="F51" s="126"/>
      <c r="G51" s="127" t="s">
        <v>167</v>
      </c>
      <c r="H51" s="130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" customHeight="1">
      <c r="A52" s="124">
        <v>44359</v>
      </c>
      <c r="B52" s="125"/>
      <c r="C52" s="125">
        <v>84</v>
      </c>
      <c r="D52" s="132">
        <v>84</v>
      </c>
      <c r="E52" s="126">
        <f t="shared" si="0"/>
        <v>606</v>
      </c>
      <c r="F52" s="126"/>
      <c r="G52" s="133"/>
      <c r="H52" s="130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" customHeight="1">
      <c r="A53" s="124">
        <v>44360</v>
      </c>
      <c r="B53" s="125"/>
      <c r="C53" s="125">
        <v>95</v>
      </c>
      <c r="D53" s="126">
        <f>44+26+25</f>
        <v>95</v>
      </c>
      <c r="E53" s="126">
        <f t="shared" si="0"/>
        <v>701</v>
      </c>
      <c r="F53" s="126"/>
      <c r="G53" s="127" t="s">
        <v>168</v>
      </c>
      <c r="H53" s="130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" customHeight="1">
      <c r="A54" s="124">
        <v>44361</v>
      </c>
      <c r="B54" s="125"/>
      <c r="C54" s="125">
        <v>86</v>
      </c>
      <c r="D54" s="126">
        <f>26+26+30</f>
        <v>82</v>
      </c>
      <c r="E54" s="126">
        <f t="shared" si="0"/>
        <v>787</v>
      </c>
      <c r="F54" s="126"/>
      <c r="G54" s="128" t="s">
        <v>169</v>
      </c>
      <c r="H54" s="130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5" customHeight="1">
      <c r="A55" s="124">
        <v>44362</v>
      </c>
      <c r="B55" s="125"/>
      <c r="C55" s="125">
        <v>90</v>
      </c>
      <c r="D55" s="126">
        <f>67+23</f>
        <v>90</v>
      </c>
      <c r="E55" s="126">
        <f t="shared" si="0"/>
        <v>877</v>
      </c>
      <c r="F55" s="126"/>
      <c r="G55" s="127" t="s">
        <v>170</v>
      </c>
      <c r="H55" s="130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5" customHeight="1">
      <c r="A56" s="124">
        <v>44363</v>
      </c>
      <c r="B56" s="125"/>
      <c r="C56" s="125">
        <v>100</v>
      </c>
      <c r="D56" s="132">
        <f>80+19</f>
        <v>99</v>
      </c>
      <c r="E56" s="126">
        <f t="shared" si="0"/>
        <v>977</v>
      </c>
      <c r="F56" s="126"/>
      <c r="G56" s="133"/>
      <c r="H56" s="130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5" customHeight="1">
      <c r="A57" s="124">
        <v>44364</v>
      </c>
      <c r="B57" s="125"/>
      <c r="C57" s="125">
        <v>137</v>
      </c>
      <c r="D57" s="126">
        <f>92+45</f>
        <v>137</v>
      </c>
      <c r="E57" s="126">
        <f t="shared" si="0"/>
        <v>1114</v>
      </c>
      <c r="F57" s="126"/>
      <c r="G57" s="127" t="s">
        <v>171</v>
      </c>
      <c r="H57" s="130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5" customHeight="1">
      <c r="A58" s="124">
        <v>44365</v>
      </c>
      <c r="B58" s="125"/>
      <c r="C58" s="125">
        <v>149</v>
      </c>
      <c r="D58" s="132">
        <f>89+60</f>
        <v>149</v>
      </c>
      <c r="E58" s="126">
        <f t="shared" si="0"/>
        <v>1263</v>
      </c>
      <c r="F58" s="126"/>
      <c r="G58" s="133"/>
      <c r="H58" s="130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5" customHeight="1">
      <c r="A59" s="124">
        <v>44366</v>
      </c>
      <c r="B59" s="125"/>
      <c r="C59" s="125">
        <v>135</v>
      </c>
      <c r="D59" s="126">
        <f>95+40</f>
        <v>135</v>
      </c>
      <c r="E59" s="126">
        <f t="shared" si="0"/>
        <v>1398</v>
      </c>
      <c r="F59" s="126"/>
      <c r="G59" s="131" t="s">
        <v>172</v>
      </c>
      <c r="H59" s="130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5" customHeight="1">
      <c r="A60" s="124">
        <v>44367</v>
      </c>
      <c r="B60" s="125"/>
      <c r="C60" s="125">
        <v>137</v>
      </c>
      <c r="D60" s="132">
        <f>46+91</f>
        <v>137</v>
      </c>
      <c r="E60" s="126">
        <f t="shared" si="0"/>
        <v>1535</v>
      </c>
      <c r="F60" s="126"/>
      <c r="G60" s="133"/>
      <c r="H60" s="130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5" customHeight="1">
      <c r="A61" s="124">
        <v>44368</v>
      </c>
      <c r="B61" s="125"/>
      <c r="C61" s="125">
        <v>166</v>
      </c>
      <c r="D61" s="132">
        <f>133+33</f>
        <v>166</v>
      </c>
      <c r="E61" s="126">
        <f t="shared" si="0"/>
        <v>1701</v>
      </c>
      <c r="F61" s="126"/>
      <c r="G61" s="133"/>
      <c r="H61" s="130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5" customHeight="1">
      <c r="A62" s="124">
        <v>44369</v>
      </c>
      <c r="B62" s="125"/>
      <c r="C62" s="125">
        <v>136</v>
      </c>
      <c r="D62" s="126">
        <f>100+36</f>
        <v>136</v>
      </c>
      <c r="E62" s="126">
        <f t="shared" si="0"/>
        <v>1837</v>
      </c>
      <c r="F62" s="126"/>
      <c r="G62" s="128" t="s">
        <v>173</v>
      </c>
      <c r="H62" s="130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5" customHeight="1">
      <c r="A63" s="124">
        <v>44370</v>
      </c>
      <c r="B63" s="125"/>
      <c r="C63" s="125">
        <v>152</v>
      </c>
      <c r="D63" s="126">
        <f>101+51</f>
        <v>152</v>
      </c>
      <c r="E63" s="126">
        <f t="shared" si="0"/>
        <v>1989</v>
      </c>
      <c r="F63" s="126"/>
      <c r="G63" s="127" t="s">
        <v>174</v>
      </c>
      <c r="H63" s="130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5" customHeight="1">
      <c r="A64" s="124">
        <v>44371</v>
      </c>
      <c r="B64" s="125"/>
      <c r="C64" s="125">
        <v>207</v>
      </c>
      <c r="D64" s="126">
        <f>136+26</f>
        <v>162</v>
      </c>
      <c r="E64" s="126">
        <f t="shared" si="0"/>
        <v>2196</v>
      </c>
      <c r="F64" s="126"/>
      <c r="G64" s="127" t="s">
        <v>175</v>
      </c>
      <c r="H64" s="130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5" customHeight="1">
      <c r="A65" s="124">
        <v>44372</v>
      </c>
      <c r="B65" s="125"/>
      <c r="C65" s="125">
        <v>165</v>
      </c>
      <c r="D65" s="126">
        <f>108+57</f>
        <v>165</v>
      </c>
      <c r="E65" s="126">
        <f t="shared" si="0"/>
        <v>2361</v>
      </c>
      <c r="F65" s="126"/>
      <c r="G65" s="127" t="s">
        <v>176</v>
      </c>
      <c r="H65" s="130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5" customHeight="1">
      <c r="A66" s="124">
        <v>44373</v>
      </c>
      <c r="B66" s="125"/>
      <c r="C66" s="125">
        <v>621</v>
      </c>
      <c r="D66" s="126">
        <f>58+563</f>
        <v>621</v>
      </c>
      <c r="E66" s="126">
        <f t="shared" si="0"/>
        <v>2982</v>
      </c>
      <c r="F66" s="126"/>
      <c r="G66" s="128" t="s">
        <v>177</v>
      </c>
      <c r="H66" s="130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5" customHeight="1">
      <c r="A67" s="124">
        <v>44374</v>
      </c>
      <c r="B67" s="125"/>
      <c r="C67" s="125">
        <v>230</v>
      </c>
      <c r="D67" s="126">
        <f>160+70</f>
        <v>230</v>
      </c>
      <c r="E67" s="126">
        <f t="shared" si="0"/>
        <v>3212</v>
      </c>
      <c r="F67" s="126"/>
      <c r="G67" s="127" t="s">
        <v>178</v>
      </c>
      <c r="H67" s="130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5" customHeight="1">
      <c r="A68" s="124">
        <v>44375</v>
      </c>
      <c r="B68" s="125"/>
      <c r="C68" s="125">
        <v>218</v>
      </c>
      <c r="D68" s="126">
        <f>156+62</f>
        <v>218</v>
      </c>
      <c r="E68" s="126">
        <f t="shared" si="0"/>
        <v>3430</v>
      </c>
      <c r="F68" s="126"/>
      <c r="G68" s="131" t="s">
        <v>179</v>
      </c>
      <c r="H68" s="130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5" customHeight="1">
      <c r="A69" s="124">
        <v>44376</v>
      </c>
      <c r="B69" s="125"/>
      <c r="C69" s="125">
        <v>155</v>
      </c>
      <c r="D69" s="126">
        <f>97+58</f>
        <v>155</v>
      </c>
      <c r="E69" s="126">
        <f t="shared" si="0"/>
        <v>3585</v>
      </c>
      <c r="F69" s="126"/>
      <c r="G69" s="127" t="s">
        <v>180</v>
      </c>
      <c r="H69" s="130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5" customHeight="1">
      <c r="A70" s="124">
        <v>44377</v>
      </c>
      <c r="B70" s="125"/>
      <c r="C70" s="125">
        <v>249</v>
      </c>
      <c r="D70" s="126">
        <f>187+62</f>
        <v>249</v>
      </c>
      <c r="E70" s="126">
        <f t="shared" si="0"/>
        <v>3834</v>
      </c>
      <c r="F70" s="126"/>
      <c r="G70" s="133"/>
      <c r="H70" s="130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5" customHeight="1">
      <c r="A71" s="124">
        <v>44378</v>
      </c>
      <c r="B71" s="125"/>
      <c r="C71" s="125">
        <v>464</v>
      </c>
      <c r="D71" s="126">
        <f>306+158</f>
        <v>464</v>
      </c>
      <c r="E71" s="126">
        <f t="shared" si="0"/>
        <v>4298</v>
      </c>
      <c r="F71" s="126"/>
      <c r="G71" s="128" t="s">
        <v>181</v>
      </c>
      <c r="H71" s="130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5" customHeight="1">
      <c r="A72" s="124">
        <v>44379</v>
      </c>
      <c r="B72" s="125"/>
      <c r="C72" s="125">
        <v>419</v>
      </c>
      <c r="D72" s="126">
        <f>301+118</f>
        <v>419</v>
      </c>
      <c r="E72" s="126">
        <f t="shared" si="0"/>
        <v>4717</v>
      </c>
      <c r="F72" s="126"/>
      <c r="G72" s="133"/>
      <c r="H72" s="130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5" customHeight="1">
      <c r="A73" s="124">
        <v>44380</v>
      </c>
      <c r="B73" s="125"/>
      <c r="C73" s="125">
        <v>714</v>
      </c>
      <c r="D73" s="126">
        <f>499+215</f>
        <v>714</v>
      </c>
      <c r="E73" s="126">
        <f t="shared" ref="E73:E136" si="1">E72+C73</f>
        <v>5431</v>
      </c>
      <c r="F73" s="126"/>
      <c r="G73" s="133"/>
      <c r="H73" s="130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5" customHeight="1">
      <c r="A74" s="124">
        <v>44381</v>
      </c>
      <c r="B74" s="125"/>
      <c r="C74" s="125">
        <v>599</v>
      </c>
      <c r="D74" s="126">
        <f>382+217</f>
        <v>599</v>
      </c>
      <c r="E74" s="126">
        <f t="shared" si="1"/>
        <v>6030</v>
      </c>
      <c r="F74" s="126"/>
      <c r="G74" s="128" t="s">
        <v>182</v>
      </c>
      <c r="H74" s="130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5" customHeight="1">
      <c r="A75" s="124">
        <v>44382</v>
      </c>
      <c r="B75" s="125"/>
      <c r="C75" s="125">
        <v>641</v>
      </c>
      <c r="D75" s="126">
        <f>466+175</f>
        <v>641</v>
      </c>
      <c r="E75" s="126">
        <f t="shared" si="1"/>
        <v>6671</v>
      </c>
      <c r="F75" s="126"/>
      <c r="G75" s="133"/>
      <c r="H75" s="130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5" customHeight="1">
      <c r="A76" s="124">
        <v>44383</v>
      </c>
      <c r="B76" s="125"/>
      <c r="C76" s="125">
        <v>710</v>
      </c>
      <c r="D76" s="126">
        <f>480+230</f>
        <v>710</v>
      </c>
      <c r="E76" s="126">
        <f t="shared" si="1"/>
        <v>7381</v>
      </c>
      <c r="F76" s="126"/>
      <c r="G76" s="128" t="s">
        <v>183</v>
      </c>
      <c r="H76" s="130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customHeight="1">
      <c r="A77" s="124">
        <v>44384</v>
      </c>
      <c r="B77" s="125"/>
      <c r="C77" s="125">
        <v>766</v>
      </c>
      <c r="D77" s="126">
        <f>496+270</f>
        <v>766</v>
      </c>
      <c r="E77" s="126">
        <f t="shared" si="1"/>
        <v>8147</v>
      </c>
      <c r="F77" s="126"/>
      <c r="G77" s="127" t="s">
        <v>184</v>
      </c>
      <c r="H77" s="130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customHeight="1">
      <c r="A78" s="124">
        <v>44385</v>
      </c>
      <c r="B78" s="125"/>
      <c r="C78" s="125">
        <v>915</v>
      </c>
      <c r="D78" s="126">
        <f>681+234</f>
        <v>915</v>
      </c>
      <c r="E78" s="126">
        <f t="shared" si="1"/>
        <v>9062</v>
      </c>
      <c r="F78" s="126"/>
      <c r="G78" s="136" t="s">
        <v>185</v>
      </c>
      <c r="H78" s="130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5" customHeight="1">
      <c r="A79" s="124">
        <v>44386</v>
      </c>
      <c r="B79" s="125"/>
      <c r="C79" s="125">
        <v>1229</v>
      </c>
      <c r="D79" s="126">
        <f>879+350</f>
        <v>1229</v>
      </c>
      <c r="E79" s="126">
        <f t="shared" si="1"/>
        <v>10291</v>
      </c>
      <c r="F79" s="126"/>
      <c r="G79" s="127" t="s">
        <v>186</v>
      </c>
      <c r="H79" s="130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5" customHeight="1">
      <c r="A80" s="124">
        <v>44387</v>
      </c>
      <c r="B80" s="125"/>
      <c r="C80" s="125">
        <v>1320</v>
      </c>
      <c r="D80" s="126">
        <f>800+520</f>
        <v>1320</v>
      </c>
      <c r="E80" s="126">
        <f t="shared" si="1"/>
        <v>11611</v>
      </c>
      <c r="F80" s="126"/>
      <c r="G80" s="127" t="s">
        <v>187</v>
      </c>
      <c r="H80" s="130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5" customHeight="1">
      <c r="A81" s="124">
        <v>44388</v>
      </c>
      <c r="B81" s="125"/>
      <c r="C81" s="125">
        <v>1397</v>
      </c>
      <c r="D81" s="126">
        <f>954+443</f>
        <v>1397</v>
      </c>
      <c r="E81" s="126">
        <f t="shared" si="1"/>
        <v>13008</v>
      </c>
      <c r="F81" s="126"/>
      <c r="G81" s="133"/>
      <c r="H81" s="130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5" customHeight="1">
      <c r="A82" s="124">
        <v>44389</v>
      </c>
      <c r="B82" s="125"/>
      <c r="C82" s="125">
        <v>1764</v>
      </c>
      <c r="D82" s="126">
        <f>1220+544</f>
        <v>1764</v>
      </c>
      <c r="E82" s="126">
        <f t="shared" si="1"/>
        <v>14772</v>
      </c>
      <c r="F82" s="126"/>
      <c r="G82" s="128" t="s">
        <v>188</v>
      </c>
      <c r="H82" s="130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5" customHeight="1">
      <c r="A83" s="124">
        <v>44390</v>
      </c>
      <c r="B83" s="125"/>
      <c r="C83" s="125">
        <v>1802</v>
      </c>
      <c r="D83" s="126">
        <f>1432+365</f>
        <v>1797</v>
      </c>
      <c r="E83" s="126">
        <f t="shared" si="1"/>
        <v>16574</v>
      </c>
      <c r="F83" s="126"/>
      <c r="G83" s="133"/>
      <c r="H83" s="130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5" customHeight="1">
      <c r="A84" s="124">
        <v>44391</v>
      </c>
      <c r="B84" s="125"/>
      <c r="C84" s="125">
        <v>2229</v>
      </c>
      <c r="D84" s="126">
        <f>1563+666</f>
        <v>2229</v>
      </c>
      <c r="E84" s="126">
        <f t="shared" si="1"/>
        <v>18803</v>
      </c>
      <c r="F84" s="126"/>
      <c r="G84" s="133"/>
      <c r="H84" s="130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5" customHeight="1">
      <c r="A85" s="124">
        <v>44392</v>
      </c>
      <c r="B85" s="125"/>
      <c r="C85" s="125">
        <v>2691</v>
      </c>
      <c r="D85" s="126">
        <f>1399+603</f>
        <v>2002</v>
      </c>
      <c r="E85" s="126">
        <f t="shared" si="1"/>
        <v>21494</v>
      </c>
      <c r="F85" s="126"/>
      <c r="G85" s="133"/>
      <c r="H85" s="130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5" customHeight="1">
      <c r="A86" s="124">
        <v>44393</v>
      </c>
      <c r="B86" s="125"/>
      <c r="C86" s="125">
        <v>2436</v>
      </c>
      <c r="D86" s="126">
        <f>1349+1071</f>
        <v>2420</v>
      </c>
      <c r="E86" s="126">
        <f t="shared" si="1"/>
        <v>23930</v>
      </c>
      <c r="F86" s="126"/>
      <c r="G86" s="128" t="s">
        <v>189</v>
      </c>
      <c r="H86" s="130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5" customHeight="1">
      <c r="A87" s="124">
        <v>44394</v>
      </c>
      <c r="B87" s="125"/>
      <c r="C87" s="125">
        <v>3420</v>
      </c>
      <c r="D87" s="126">
        <f>1017+1769</f>
        <v>2786</v>
      </c>
      <c r="E87" s="126">
        <f t="shared" si="1"/>
        <v>27350</v>
      </c>
      <c r="F87" s="126"/>
      <c r="G87" s="128" t="s">
        <v>190</v>
      </c>
      <c r="H87" s="130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5" customHeight="1">
      <c r="A88" s="124">
        <v>44395</v>
      </c>
      <c r="B88" s="125"/>
      <c r="C88" s="125">
        <v>4083</v>
      </c>
      <c r="D88" s="126">
        <f>2310+1756</f>
        <v>4066</v>
      </c>
      <c r="E88" s="126">
        <f t="shared" si="1"/>
        <v>31433</v>
      </c>
      <c r="F88" s="126"/>
      <c r="G88" s="133"/>
      <c r="H88" s="130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5" customHeight="1">
      <c r="A89" s="124">
        <v>44396</v>
      </c>
      <c r="B89" s="125"/>
      <c r="C89" s="125">
        <v>3074</v>
      </c>
      <c r="D89" s="126">
        <f>1539+1535</f>
        <v>3074</v>
      </c>
      <c r="E89" s="126">
        <f t="shared" si="1"/>
        <v>34507</v>
      </c>
      <c r="F89" s="126"/>
      <c r="G89" s="133"/>
      <c r="H89" s="130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5" customHeight="1">
      <c r="A90" s="124">
        <v>44397</v>
      </c>
      <c r="B90" s="125"/>
      <c r="C90" s="125">
        <v>3322</v>
      </c>
      <c r="D90" s="126">
        <f>1803+1519</f>
        <v>3322</v>
      </c>
      <c r="E90" s="126">
        <f t="shared" si="1"/>
        <v>37829</v>
      </c>
      <c r="F90" s="126"/>
      <c r="G90" s="133"/>
      <c r="H90" s="130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5" customHeight="1">
      <c r="A91" s="124">
        <v>44398</v>
      </c>
      <c r="B91" s="125"/>
      <c r="C91" s="125">
        <v>3558</v>
      </c>
      <c r="D91" s="126">
        <f>1817+1739</f>
        <v>3556</v>
      </c>
      <c r="E91" s="126">
        <f t="shared" si="1"/>
        <v>41387</v>
      </c>
      <c r="F91" s="126"/>
      <c r="G91" s="133"/>
      <c r="H91" s="130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5" customHeight="1">
      <c r="A92" s="124">
        <v>44399</v>
      </c>
      <c r="B92" s="125"/>
      <c r="C92" s="125">
        <v>4473</v>
      </c>
      <c r="D92" s="126">
        <v>3913</v>
      </c>
      <c r="E92" s="126">
        <f t="shared" si="1"/>
        <v>45860</v>
      </c>
      <c r="F92" s="126"/>
      <c r="G92" s="133"/>
      <c r="H92" s="130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5" customHeight="1">
      <c r="A93" s="124">
        <v>44400</v>
      </c>
      <c r="B93" s="125"/>
      <c r="C93" s="125">
        <v>4913</v>
      </c>
      <c r="D93" s="126">
        <f>3302+1785</f>
        <v>5087</v>
      </c>
      <c r="E93" s="126">
        <f t="shared" si="1"/>
        <v>50773</v>
      </c>
      <c r="F93" s="126"/>
      <c r="G93" s="133"/>
      <c r="H93" s="130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5" customHeight="1">
      <c r="A94" s="124">
        <v>44401</v>
      </c>
      <c r="B94" s="125"/>
      <c r="C94" s="125">
        <v>5546</v>
      </c>
      <c r="D94" s="126">
        <v>5396</v>
      </c>
      <c r="E94" s="126">
        <f t="shared" si="1"/>
        <v>56319</v>
      </c>
      <c r="F94" s="126"/>
      <c r="G94" s="133"/>
      <c r="H94" s="130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5" customHeight="1">
      <c r="A95" s="124">
        <v>44402</v>
      </c>
      <c r="B95" s="125"/>
      <c r="C95" s="125">
        <v>4555</v>
      </c>
      <c r="D95" s="126">
        <v>4555</v>
      </c>
      <c r="E95" s="126">
        <f t="shared" si="1"/>
        <v>60874</v>
      </c>
      <c r="F95" s="126"/>
      <c r="G95" s="133"/>
      <c r="H95" s="130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5" customHeight="1">
      <c r="A96" s="124">
        <v>44403</v>
      </c>
      <c r="B96" s="125"/>
      <c r="C96" s="125">
        <v>6097</v>
      </c>
      <c r="D96" s="132">
        <v>6097</v>
      </c>
      <c r="E96" s="126">
        <f t="shared" si="1"/>
        <v>66971</v>
      </c>
      <c r="F96" s="126"/>
      <c r="G96" s="128" t="s">
        <v>191</v>
      </c>
      <c r="H96" s="130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5" customHeight="1">
      <c r="A97" s="124">
        <v>44404</v>
      </c>
      <c r="B97" s="125"/>
      <c r="C97" s="125">
        <v>6622</v>
      </c>
      <c r="D97" s="132">
        <v>6622</v>
      </c>
      <c r="E97" s="126">
        <f t="shared" si="1"/>
        <v>73593</v>
      </c>
      <c r="F97" s="126"/>
      <c r="G97" s="128" t="s">
        <v>192</v>
      </c>
      <c r="H97" s="130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5" customHeight="1">
      <c r="A98" s="124">
        <v>44405</v>
      </c>
      <c r="B98" s="125"/>
      <c r="C98" s="125">
        <v>4045</v>
      </c>
      <c r="D98" s="132">
        <v>4045</v>
      </c>
      <c r="E98" s="126">
        <f t="shared" si="1"/>
        <v>77638</v>
      </c>
      <c r="F98" s="126"/>
      <c r="G98" s="133"/>
      <c r="H98" s="130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5" customHeight="1">
      <c r="A99" s="124">
        <v>44406</v>
      </c>
      <c r="B99" s="125"/>
      <c r="C99" s="125">
        <v>2877</v>
      </c>
      <c r="D99" s="126">
        <v>2877</v>
      </c>
      <c r="E99" s="126">
        <f t="shared" si="1"/>
        <v>80515</v>
      </c>
      <c r="F99" s="126"/>
      <c r="G99" s="128" t="s">
        <v>193</v>
      </c>
      <c r="H99" s="130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5" customHeight="1">
      <c r="A100" s="124">
        <v>44407</v>
      </c>
      <c r="B100" s="125"/>
      <c r="C100" s="125">
        <v>1541</v>
      </c>
      <c r="D100" s="126">
        <v>1541</v>
      </c>
      <c r="E100" s="126">
        <f t="shared" si="1"/>
        <v>82056</v>
      </c>
      <c r="F100" s="126"/>
      <c r="G100" s="128" t="s">
        <v>194</v>
      </c>
      <c r="H100" s="130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5" customHeight="1">
      <c r="A101" s="124">
        <v>44408</v>
      </c>
      <c r="B101" s="125"/>
      <c r="C101" s="125">
        <v>4180</v>
      </c>
      <c r="D101" s="126">
        <v>4180</v>
      </c>
      <c r="E101" s="126">
        <f t="shared" si="1"/>
        <v>86236</v>
      </c>
      <c r="F101" s="126"/>
      <c r="G101" s="127" t="s">
        <v>195</v>
      </c>
      <c r="H101" s="130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" customHeight="1">
      <c r="A102" s="124">
        <v>44409</v>
      </c>
      <c r="B102" s="125"/>
      <c r="C102" s="125">
        <v>2025</v>
      </c>
      <c r="D102" s="126">
        <v>2025</v>
      </c>
      <c r="E102" s="126">
        <f t="shared" si="1"/>
        <v>88261</v>
      </c>
      <c r="F102" s="126"/>
      <c r="G102" s="128" t="s">
        <v>196</v>
      </c>
      <c r="H102" s="130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" customHeight="1">
      <c r="A103" s="124">
        <v>44410</v>
      </c>
      <c r="B103" s="125"/>
      <c r="C103" s="125">
        <v>2267</v>
      </c>
      <c r="D103" s="126">
        <v>2267</v>
      </c>
      <c r="E103" s="126">
        <f t="shared" si="1"/>
        <v>90528</v>
      </c>
      <c r="F103" s="126"/>
      <c r="G103" s="127" t="s">
        <v>197</v>
      </c>
      <c r="H103" s="130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5" customHeight="1">
      <c r="A104" s="124">
        <v>44411</v>
      </c>
      <c r="B104" s="125"/>
      <c r="C104" s="125">
        <v>4171</v>
      </c>
      <c r="D104" s="126">
        <v>4171</v>
      </c>
      <c r="E104" s="126">
        <f t="shared" si="1"/>
        <v>94699</v>
      </c>
      <c r="F104" s="126"/>
      <c r="G104" s="128" t="s">
        <v>198</v>
      </c>
      <c r="H104" s="130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5" customHeight="1">
      <c r="A105" s="124">
        <v>44412</v>
      </c>
      <c r="B105" s="125"/>
      <c r="C105" s="125">
        <v>936</v>
      </c>
      <c r="D105" s="126">
        <v>935</v>
      </c>
      <c r="E105" s="126">
        <f t="shared" si="1"/>
        <v>95635</v>
      </c>
      <c r="F105" s="126"/>
      <c r="G105" s="128" t="s">
        <v>198</v>
      </c>
      <c r="H105" s="130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5" customHeight="1">
      <c r="A106" s="124">
        <v>44413</v>
      </c>
      <c r="B106" s="125"/>
      <c r="C106" s="125">
        <v>3886</v>
      </c>
      <c r="D106" s="132">
        <v>3886</v>
      </c>
      <c r="E106" s="126">
        <f t="shared" si="1"/>
        <v>99521</v>
      </c>
      <c r="F106" s="126"/>
      <c r="G106" s="126"/>
      <c r="H106" s="130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5" customHeight="1">
      <c r="A107" s="124">
        <v>44414</v>
      </c>
      <c r="B107" s="125"/>
      <c r="C107" s="125">
        <v>1497</v>
      </c>
      <c r="D107" s="126">
        <v>1497</v>
      </c>
      <c r="E107" s="126">
        <f t="shared" si="1"/>
        <v>101018</v>
      </c>
      <c r="F107" s="126"/>
      <c r="G107" s="127" t="s">
        <v>199</v>
      </c>
      <c r="H107" s="130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5" customHeight="1">
      <c r="A108" s="124">
        <v>44415</v>
      </c>
      <c r="B108" s="125"/>
      <c r="C108" s="125">
        <v>5827</v>
      </c>
      <c r="D108" s="132">
        <v>5827</v>
      </c>
      <c r="E108" s="126">
        <f t="shared" si="1"/>
        <v>106845</v>
      </c>
      <c r="F108" s="126"/>
      <c r="G108" s="127"/>
      <c r="H108" s="130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5" customHeight="1">
      <c r="A109" s="124">
        <v>44416</v>
      </c>
      <c r="B109" s="125"/>
      <c r="C109" s="125">
        <v>2002</v>
      </c>
      <c r="D109" s="126">
        <v>2002</v>
      </c>
      <c r="E109" s="126">
        <f t="shared" si="1"/>
        <v>108847</v>
      </c>
      <c r="F109" s="126"/>
      <c r="G109" s="128" t="s">
        <v>200</v>
      </c>
      <c r="H109" s="130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5" customHeight="1">
      <c r="A110" s="124">
        <v>44417</v>
      </c>
      <c r="B110" s="125"/>
      <c r="C110" s="125">
        <v>4132</v>
      </c>
      <c r="D110" s="132">
        <v>4132</v>
      </c>
      <c r="E110" s="126">
        <f t="shared" si="1"/>
        <v>112979</v>
      </c>
      <c r="F110" s="126"/>
      <c r="G110" s="126"/>
      <c r="H110" s="130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5" customHeight="1">
      <c r="A111" s="124">
        <v>44418</v>
      </c>
      <c r="B111" s="125"/>
      <c r="C111" s="125">
        <v>1466</v>
      </c>
      <c r="D111" s="126">
        <v>1466</v>
      </c>
      <c r="E111" s="126">
        <f t="shared" si="1"/>
        <v>114445</v>
      </c>
      <c r="F111" s="126"/>
      <c r="G111" s="127" t="s">
        <v>201</v>
      </c>
      <c r="H111" s="130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5" customHeight="1">
      <c r="A112" s="124">
        <v>44419</v>
      </c>
      <c r="B112" s="125"/>
      <c r="C112" s="125">
        <v>3609</v>
      </c>
      <c r="D112" s="126">
        <v>3461</v>
      </c>
      <c r="E112" s="126">
        <f t="shared" si="1"/>
        <v>118054</v>
      </c>
      <c r="F112" s="126"/>
      <c r="G112" s="128" t="s">
        <v>202</v>
      </c>
      <c r="H112" s="130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5" customHeight="1">
      <c r="A113" s="124">
        <v>44420</v>
      </c>
      <c r="B113" s="125"/>
      <c r="C113" s="125">
        <v>1521</v>
      </c>
      <c r="D113" s="126">
        <v>1521</v>
      </c>
      <c r="E113" s="126">
        <f t="shared" si="1"/>
        <v>119575</v>
      </c>
      <c r="F113" s="126"/>
      <c r="G113" s="127" t="s">
        <v>203</v>
      </c>
      <c r="H113" s="130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5" customHeight="1">
      <c r="A114" s="124">
        <v>44421</v>
      </c>
      <c r="B114" s="125"/>
      <c r="C114" s="125">
        <v>3399</v>
      </c>
      <c r="D114" s="126">
        <v>3531</v>
      </c>
      <c r="E114" s="126">
        <f t="shared" si="1"/>
        <v>122974</v>
      </c>
      <c r="F114" s="126"/>
      <c r="G114" s="127" t="s">
        <v>204</v>
      </c>
      <c r="H114" s="130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5" customHeight="1">
      <c r="A115" s="124">
        <v>44422</v>
      </c>
      <c r="B115" s="125"/>
      <c r="C115" s="125">
        <v>4915</v>
      </c>
      <c r="D115" s="126">
        <v>4231</v>
      </c>
      <c r="E115" s="126">
        <f t="shared" si="1"/>
        <v>127889</v>
      </c>
      <c r="F115" s="126"/>
      <c r="G115" s="127" t="s">
        <v>205</v>
      </c>
      <c r="H115" s="130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5" customHeight="1">
      <c r="A116" s="124">
        <v>44423</v>
      </c>
      <c r="B116" s="125"/>
      <c r="C116" s="125">
        <v>3975</v>
      </c>
      <c r="D116" s="126">
        <v>4561</v>
      </c>
      <c r="E116" s="126">
        <f t="shared" si="1"/>
        <v>131864</v>
      </c>
      <c r="F116" s="126"/>
      <c r="G116" s="128" t="s">
        <v>206</v>
      </c>
      <c r="H116" s="130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5" customHeight="1">
      <c r="A117" s="124">
        <v>44424</v>
      </c>
      <c r="B117" s="125"/>
      <c r="C117" s="125">
        <v>2855</v>
      </c>
      <c r="D117" s="126">
        <v>3341</v>
      </c>
      <c r="E117" s="126">
        <f t="shared" si="1"/>
        <v>134719</v>
      </c>
      <c r="F117" s="126"/>
      <c r="G117" s="128" t="s">
        <v>207</v>
      </c>
      <c r="H117" s="130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5" customHeight="1">
      <c r="A118" s="124">
        <v>44425</v>
      </c>
      <c r="B118" s="125"/>
      <c r="C118" s="125">
        <v>3740</v>
      </c>
      <c r="D118" s="132">
        <v>3396</v>
      </c>
      <c r="E118" s="126">
        <f t="shared" si="1"/>
        <v>138459</v>
      </c>
      <c r="F118" s="126"/>
      <c r="G118" s="126"/>
      <c r="H118" s="130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5" customHeight="1">
      <c r="A119" s="124">
        <v>44426</v>
      </c>
      <c r="B119" s="125"/>
      <c r="C119" s="125">
        <v>3873</v>
      </c>
      <c r="D119" s="126">
        <v>3731</v>
      </c>
      <c r="E119" s="126">
        <f t="shared" si="1"/>
        <v>142332</v>
      </c>
      <c r="F119" s="126"/>
      <c r="G119" s="136" t="s">
        <v>208</v>
      </c>
      <c r="H119" s="130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5" customHeight="1">
      <c r="A120" s="124">
        <v>44427</v>
      </c>
      <c r="B120" s="125"/>
      <c r="C120" s="125">
        <v>4307</v>
      </c>
      <c r="D120" s="126">
        <v>4425</v>
      </c>
      <c r="E120" s="126">
        <f t="shared" si="1"/>
        <v>146639</v>
      </c>
      <c r="F120" s="126"/>
      <c r="G120" s="128" t="s">
        <v>209</v>
      </c>
      <c r="H120" s="130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5" customHeight="1">
      <c r="A121" s="124">
        <v>44428</v>
      </c>
      <c r="B121" s="125"/>
      <c r="C121" s="125">
        <v>3504</v>
      </c>
      <c r="D121" s="126">
        <v>3375</v>
      </c>
      <c r="E121" s="126">
        <f t="shared" si="1"/>
        <v>150143</v>
      </c>
      <c r="F121" s="126"/>
      <c r="G121" s="128" t="s">
        <v>210</v>
      </c>
      <c r="H121" s="130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5" customHeight="1">
      <c r="A122" s="124">
        <v>44429</v>
      </c>
      <c r="B122" s="125"/>
      <c r="C122" s="125">
        <v>4084</v>
      </c>
      <c r="D122" s="126">
        <v>4084</v>
      </c>
      <c r="E122" s="126">
        <f t="shared" si="1"/>
        <v>154227</v>
      </c>
      <c r="F122" s="126"/>
      <c r="G122" s="127" t="s">
        <v>211</v>
      </c>
      <c r="H122" s="130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5" customHeight="1">
      <c r="A123" s="124">
        <v>44430</v>
      </c>
      <c r="B123" s="125"/>
      <c r="C123" s="125">
        <v>4193</v>
      </c>
      <c r="D123" s="126">
        <v>4193</v>
      </c>
      <c r="E123" s="126">
        <f t="shared" si="1"/>
        <v>158420</v>
      </c>
      <c r="F123" s="126"/>
      <c r="G123" s="136" t="s">
        <v>212</v>
      </c>
      <c r="H123" s="130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5" customHeight="1">
      <c r="A124" s="124">
        <v>44431</v>
      </c>
      <c r="B124" s="125"/>
      <c r="C124" s="125">
        <v>4251</v>
      </c>
      <c r="D124" s="126">
        <v>4251</v>
      </c>
      <c r="E124" s="126">
        <f t="shared" si="1"/>
        <v>162671</v>
      </c>
      <c r="F124" s="126"/>
      <c r="G124" s="127" t="s">
        <v>213</v>
      </c>
      <c r="H124" s="130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5" customHeight="1">
      <c r="A125" s="124">
        <v>44432</v>
      </c>
      <c r="B125" s="125"/>
      <c r="C125" s="125">
        <v>4634</v>
      </c>
      <c r="D125" s="126">
        <v>4627</v>
      </c>
      <c r="E125" s="126">
        <f t="shared" si="1"/>
        <v>167305</v>
      </c>
      <c r="F125" s="126"/>
      <c r="G125" s="127" t="s">
        <v>214</v>
      </c>
      <c r="H125" s="130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5" customHeight="1">
      <c r="A126" s="124">
        <v>44433</v>
      </c>
      <c r="B126" s="125"/>
      <c r="C126" s="125">
        <v>5294</v>
      </c>
      <c r="D126" s="126">
        <v>5294</v>
      </c>
      <c r="E126" s="126">
        <f t="shared" si="1"/>
        <v>172599</v>
      </c>
      <c r="F126" s="126"/>
      <c r="G126" s="128" t="s">
        <v>215</v>
      </c>
      <c r="H126" s="130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5" customHeight="1">
      <c r="A127" s="124">
        <v>44434</v>
      </c>
      <c r="B127" s="125"/>
      <c r="C127" s="125">
        <v>3934</v>
      </c>
      <c r="D127" s="126">
        <v>3934</v>
      </c>
      <c r="E127" s="126">
        <f t="shared" si="1"/>
        <v>176533</v>
      </c>
      <c r="F127" s="126"/>
      <c r="G127" s="128" t="s">
        <v>216</v>
      </c>
      <c r="H127" s="130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5" customHeight="1">
      <c r="A128" s="124">
        <v>44435</v>
      </c>
      <c r="B128" s="125"/>
      <c r="C128" s="125">
        <v>5383</v>
      </c>
      <c r="D128" s="126">
        <v>5383</v>
      </c>
      <c r="E128" s="126">
        <f t="shared" si="1"/>
        <v>181916</v>
      </c>
      <c r="F128" s="126"/>
      <c r="G128" s="128" t="s">
        <v>217</v>
      </c>
      <c r="H128" s="130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5" customHeight="1">
      <c r="A129" s="124">
        <v>44436</v>
      </c>
      <c r="B129" s="125"/>
      <c r="C129" s="125">
        <v>5481</v>
      </c>
      <c r="D129" s="126">
        <v>5481</v>
      </c>
      <c r="E129" s="126">
        <f t="shared" si="1"/>
        <v>187397</v>
      </c>
      <c r="F129" s="126"/>
      <c r="G129" s="128" t="s">
        <v>218</v>
      </c>
      <c r="H129" s="130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5" customHeight="1">
      <c r="A130" s="124">
        <v>44437</v>
      </c>
      <c r="B130" s="125"/>
      <c r="C130" s="125">
        <v>4957</v>
      </c>
      <c r="D130" s="126">
        <v>4957</v>
      </c>
      <c r="E130" s="126">
        <f t="shared" si="1"/>
        <v>192354</v>
      </c>
      <c r="F130" s="126"/>
      <c r="G130" s="128" t="s">
        <v>219</v>
      </c>
      <c r="H130" s="130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5" customHeight="1">
      <c r="A131" s="124">
        <v>44438</v>
      </c>
      <c r="B131" s="125"/>
      <c r="C131" s="125">
        <v>5889</v>
      </c>
      <c r="D131" s="126">
        <v>5889</v>
      </c>
      <c r="E131" s="126">
        <f t="shared" si="1"/>
        <v>198243</v>
      </c>
      <c r="F131" s="126"/>
      <c r="G131" s="128" t="s">
        <v>220</v>
      </c>
      <c r="H131" s="130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5" customHeight="1">
      <c r="A132" s="124">
        <v>44439</v>
      </c>
      <c r="B132" s="125"/>
      <c r="C132" s="125">
        <v>5444</v>
      </c>
      <c r="D132" s="126">
        <v>5444</v>
      </c>
      <c r="E132" s="126">
        <f t="shared" si="1"/>
        <v>203687</v>
      </c>
      <c r="F132" s="126"/>
      <c r="G132" s="128" t="s">
        <v>221</v>
      </c>
      <c r="H132" s="130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5" customHeight="1">
      <c r="A133" s="124">
        <v>44440</v>
      </c>
      <c r="B133" s="125"/>
      <c r="C133" s="125">
        <v>5368</v>
      </c>
      <c r="D133" s="126">
        <v>5368</v>
      </c>
      <c r="E133" s="126">
        <f t="shared" si="1"/>
        <v>209055</v>
      </c>
      <c r="F133" s="126"/>
      <c r="G133" s="127" t="s">
        <v>222</v>
      </c>
      <c r="H133" s="130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5" customHeight="1">
      <c r="A134" s="124">
        <v>44441</v>
      </c>
      <c r="B134" s="125"/>
      <c r="C134" s="125">
        <v>5964</v>
      </c>
      <c r="D134" s="126"/>
      <c r="E134" s="126">
        <f t="shared" si="1"/>
        <v>215019</v>
      </c>
      <c r="F134" s="126"/>
      <c r="G134" s="126"/>
      <c r="H134" s="130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5" customHeight="1">
      <c r="A135" s="124">
        <v>44442</v>
      </c>
      <c r="B135" s="125"/>
      <c r="C135" s="125">
        <v>8510</v>
      </c>
      <c r="D135" s="126">
        <v>8499</v>
      </c>
      <c r="E135" s="126">
        <f t="shared" si="1"/>
        <v>223529</v>
      </c>
      <c r="F135" s="126"/>
      <c r="G135" s="128" t="s">
        <v>223</v>
      </c>
      <c r="H135" s="130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5" customHeight="1">
      <c r="A136" s="124">
        <v>44443</v>
      </c>
      <c r="B136" s="125"/>
      <c r="C136" s="125">
        <v>4104</v>
      </c>
      <c r="D136" s="126">
        <v>4104</v>
      </c>
      <c r="E136" s="126">
        <f t="shared" si="1"/>
        <v>227633</v>
      </c>
      <c r="F136" s="126"/>
      <c r="G136" s="128" t="s">
        <v>224</v>
      </c>
      <c r="H136" s="130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5" customHeight="1">
      <c r="A137" s="124">
        <v>44444</v>
      </c>
      <c r="B137" s="125"/>
      <c r="C137" s="125">
        <v>6226</v>
      </c>
      <c r="D137" s="126">
        <v>6226</v>
      </c>
      <c r="E137" s="126">
        <f t="shared" ref="E137:E200" si="2">E136+C137</f>
        <v>233859</v>
      </c>
      <c r="F137" s="126"/>
      <c r="G137" s="127" t="s">
        <v>225</v>
      </c>
      <c r="H137" s="130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5" customHeight="1">
      <c r="A138" s="124">
        <v>44445</v>
      </c>
      <c r="B138" s="125"/>
      <c r="C138" s="125">
        <v>7122</v>
      </c>
      <c r="D138" s="126">
        <v>7122</v>
      </c>
      <c r="E138" s="126">
        <f t="shared" si="2"/>
        <v>240981</v>
      </c>
      <c r="F138" s="126"/>
      <c r="G138" s="127" t="s">
        <v>226</v>
      </c>
      <c r="H138" s="130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5" customHeight="1">
      <c r="A139" s="124">
        <v>44446</v>
      </c>
      <c r="B139" s="125"/>
      <c r="C139" s="125">
        <v>7310</v>
      </c>
      <c r="D139" s="126">
        <v>7310</v>
      </c>
      <c r="E139" s="126">
        <f t="shared" si="2"/>
        <v>248291</v>
      </c>
      <c r="F139" s="126"/>
      <c r="G139" s="127" t="s">
        <v>227</v>
      </c>
      <c r="H139" s="130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5" customHeight="1">
      <c r="A140" s="124">
        <v>44447</v>
      </c>
      <c r="B140" s="125"/>
      <c r="C140" s="125">
        <v>7308</v>
      </c>
      <c r="D140" s="126">
        <v>7308</v>
      </c>
      <c r="E140" s="126">
        <f t="shared" si="2"/>
        <v>255599</v>
      </c>
      <c r="F140" s="126"/>
      <c r="G140" s="127" t="s">
        <v>228</v>
      </c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5" customHeight="1">
      <c r="A141" s="124">
        <v>44448</v>
      </c>
      <c r="B141" s="125"/>
      <c r="C141" s="125">
        <v>5549</v>
      </c>
      <c r="D141" s="126">
        <v>5549</v>
      </c>
      <c r="E141" s="126">
        <f t="shared" si="2"/>
        <v>261148</v>
      </c>
      <c r="F141" s="126"/>
      <c r="G141" s="128" t="s">
        <v>229</v>
      </c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5" customHeight="1">
      <c r="A142" s="124">
        <v>44449</v>
      </c>
      <c r="B142" s="125"/>
      <c r="C142" s="125">
        <v>7539</v>
      </c>
      <c r="D142" s="126">
        <v>7539</v>
      </c>
      <c r="E142" s="126">
        <f t="shared" si="2"/>
        <v>268687</v>
      </c>
      <c r="F142" s="126"/>
      <c r="G142" s="127" t="s">
        <v>230</v>
      </c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5" customHeight="1">
      <c r="A143" s="124">
        <v>44450</v>
      </c>
      <c r="B143" s="125"/>
      <c r="C143" s="125">
        <v>5629</v>
      </c>
      <c r="D143" s="126">
        <v>5629</v>
      </c>
      <c r="E143" s="126">
        <f t="shared" si="2"/>
        <v>274316</v>
      </c>
      <c r="F143" s="126"/>
      <c r="G143" s="127" t="s">
        <v>231</v>
      </c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5" customHeight="1">
      <c r="A144" s="124">
        <v>44451</v>
      </c>
      <c r="B144" s="125"/>
      <c r="C144" s="125">
        <v>6158</v>
      </c>
      <c r="D144" s="126">
        <v>6158</v>
      </c>
      <c r="E144" s="126">
        <f t="shared" si="2"/>
        <v>280474</v>
      </c>
      <c r="F144" s="126"/>
      <c r="G144" s="127" t="s">
        <v>232</v>
      </c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5" customHeight="1">
      <c r="A145" s="124">
        <v>44452</v>
      </c>
      <c r="B145" s="125"/>
      <c r="C145" s="125">
        <v>5446</v>
      </c>
      <c r="D145" s="126">
        <v>5446</v>
      </c>
      <c r="E145" s="126">
        <f t="shared" si="2"/>
        <v>285920</v>
      </c>
      <c r="F145" s="126"/>
      <c r="G145" s="136" t="s">
        <v>233</v>
      </c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5" customHeight="1">
      <c r="A146" s="124">
        <v>44453</v>
      </c>
      <c r="B146" s="125"/>
      <c r="C146" s="125">
        <v>6315</v>
      </c>
      <c r="D146" s="126">
        <v>6312</v>
      </c>
      <c r="E146" s="126">
        <f t="shared" si="2"/>
        <v>292235</v>
      </c>
      <c r="F146" s="126"/>
      <c r="G146" s="127" t="s">
        <v>234</v>
      </c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5" customHeight="1">
      <c r="A147" s="124">
        <v>44454</v>
      </c>
      <c r="B147" s="125"/>
      <c r="C147" s="125">
        <v>5301</v>
      </c>
      <c r="D147" s="126">
        <v>5301</v>
      </c>
      <c r="E147" s="126">
        <f t="shared" si="2"/>
        <v>297536</v>
      </c>
      <c r="F147" s="126"/>
      <c r="G147" s="127" t="s">
        <v>235</v>
      </c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5" customHeight="1">
      <c r="A148" s="124">
        <v>44455</v>
      </c>
      <c r="B148" s="125"/>
      <c r="C148" s="125">
        <v>5735</v>
      </c>
      <c r="D148" s="126">
        <v>5735</v>
      </c>
      <c r="E148" s="126">
        <f t="shared" si="2"/>
        <v>303271</v>
      </c>
      <c r="F148" s="126"/>
      <c r="G148" s="127" t="s">
        <v>236</v>
      </c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5" customHeight="1">
      <c r="A149" s="124">
        <v>44456</v>
      </c>
      <c r="B149" s="125"/>
      <c r="C149" s="125">
        <v>5972</v>
      </c>
      <c r="D149" s="126">
        <v>5972</v>
      </c>
      <c r="E149" s="126">
        <f t="shared" si="2"/>
        <v>309243</v>
      </c>
      <c r="F149" s="126"/>
      <c r="G149" s="127" t="s">
        <v>237</v>
      </c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5" customHeight="1">
      <c r="A150" s="124">
        <v>44457</v>
      </c>
      <c r="B150" s="125"/>
      <c r="C150" s="125">
        <v>4273</v>
      </c>
      <c r="D150" s="126">
        <v>4273</v>
      </c>
      <c r="E150" s="126">
        <f t="shared" si="2"/>
        <v>313516</v>
      </c>
      <c r="F150" s="126"/>
      <c r="G150" s="127" t="s">
        <v>238</v>
      </c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5" customHeight="1">
      <c r="A151" s="124">
        <v>44458</v>
      </c>
      <c r="B151" s="125"/>
      <c r="C151" s="125">
        <v>5496</v>
      </c>
      <c r="D151" s="126">
        <v>5496</v>
      </c>
      <c r="E151" s="126">
        <f t="shared" si="2"/>
        <v>319012</v>
      </c>
      <c r="F151" s="126"/>
      <c r="G151" s="127" t="s">
        <v>239</v>
      </c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5" customHeight="1">
      <c r="A152" s="124">
        <v>44459</v>
      </c>
      <c r="B152" s="125"/>
      <c r="C152" s="125">
        <v>5172</v>
      </c>
      <c r="D152" s="126">
        <v>5172</v>
      </c>
      <c r="E152" s="126">
        <f t="shared" si="2"/>
        <v>324184</v>
      </c>
      <c r="F152" s="126"/>
      <c r="G152" s="127" t="s">
        <v>240</v>
      </c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5" customHeight="1">
      <c r="A153" s="124">
        <v>44460</v>
      </c>
      <c r="B153" s="125"/>
      <c r="C153" s="125">
        <v>6521</v>
      </c>
      <c r="D153" s="126">
        <v>6521</v>
      </c>
      <c r="E153" s="126">
        <f t="shared" si="2"/>
        <v>330705</v>
      </c>
      <c r="F153" s="126"/>
      <c r="G153" s="127" t="s">
        <v>241</v>
      </c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5" customHeight="1">
      <c r="A154" s="124">
        <v>44461</v>
      </c>
      <c r="B154" s="125"/>
      <c r="C154" s="125">
        <v>5435</v>
      </c>
      <c r="D154" s="126">
        <v>5435</v>
      </c>
      <c r="E154" s="126">
        <f t="shared" si="2"/>
        <v>336140</v>
      </c>
      <c r="F154" s="126"/>
      <c r="G154" s="128" t="s">
        <v>242</v>
      </c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5" customHeight="1">
      <c r="A155" s="124">
        <v>44462</v>
      </c>
      <c r="B155" s="125"/>
      <c r="C155" s="125">
        <v>5052</v>
      </c>
      <c r="D155" s="126">
        <v>5052</v>
      </c>
      <c r="E155" s="126">
        <f t="shared" si="2"/>
        <v>341192</v>
      </c>
      <c r="F155" s="126"/>
      <c r="G155" s="128" t="s">
        <v>243</v>
      </c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5" customHeight="1">
      <c r="A156" s="124">
        <v>44463</v>
      </c>
      <c r="B156" s="125"/>
      <c r="C156" s="125">
        <v>3786</v>
      </c>
      <c r="D156" s="126">
        <v>3786</v>
      </c>
      <c r="E156" s="126">
        <f t="shared" si="2"/>
        <v>344978</v>
      </c>
      <c r="F156" s="126"/>
      <c r="G156" s="128" t="s">
        <v>244</v>
      </c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5" customHeight="1">
      <c r="A157" s="124">
        <v>44464</v>
      </c>
      <c r="B157" s="125"/>
      <c r="C157" s="125">
        <v>4050</v>
      </c>
      <c r="D157" s="126">
        <v>4046</v>
      </c>
      <c r="E157" s="126">
        <f t="shared" si="2"/>
        <v>349028</v>
      </c>
      <c r="F157" s="126"/>
      <c r="G157" s="128" t="s">
        <v>245</v>
      </c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5" customHeight="1">
      <c r="A158" s="124">
        <v>44465</v>
      </c>
      <c r="B158" s="125"/>
      <c r="C158" s="125">
        <v>5121</v>
      </c>
      <c r="D158" s="126">
        <v>5121</v>
      </c>
      <c r="E158" s="126">
        <f t="shared" si="2"/>
        <v>354149</v>
      </c>
      <c r="F158" s="126"/>
      <c r="G158" s="128" t="s">
        <v>246</v>
      </c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5" customHeight="1">
      <c r="A159" s="124">
        <v>44466</v>
      </c>
      <c r="B159" s="137">
        <v>4134</v>
      </c>
      <c r="C159" s="138">
        <v>4134</v>
      </c>
      <c r="D159" s="126">
        <v>4134</v>
      </c>
      <c r="E159" s="126">
        <f t="shared" si="2"/>
        <v>358283</v>
      </c>
      <c r="F159" s="126"/>
      <c r="G159" s="127" t="s">
        <v>247</v>
      </c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5" customHeight="1">
      <c r="A160" s="124">
        <v>44467</v>
      </c>
      <c r="B160" s="139">
        <v>3749</v>
      </c>
      <c r="C160" s="140">
        <v>3749</v>
      </c>
      <c r="D160" s="126">
        <v>377</v>
      </c>
      <c r="E160" s="126">
        <f t="shared" si="2"/>
        <v>362032</v>
      </c>
      <c r="F160" s="126"/>
      <c r="G160" s="128" t="s">
        <v>248</v>
      </c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5" customHeight="1">
      <c r="A161" s="124">
        <v>44468</v>
      </c>
      <c r="B161" s="137">
        <v>4699</v>
      </c>
      <c r="C161" s="137">
        <v>4699</v>
      </c>
      <c r="D161" s="126">
        <v>4699</v>
      </c>
      <c r="E161" s="126">
        <f t="shared" si="2"/>
        <v>366731</v>
      </c>
      <c r="F161" s="126"/>
      <c r="G161" s="128" t="s">
        <v>249</v>
      </c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5" customHeight="1">
      <c r="A162" s="124">
        <v>44469</v>
      </c>
      <c r="B162" s="137">
        <v>4372</v>
      </c>
      <c r="C162" s="137">
        <v>4372</v>
      </c>
      <c r="D162" s="126">
        <v>4372</v>
      </c>
      <c r="E162" s="126">
        <f t="shared" si="2"/>
        <v>371103</v>
      </c>
      <c r="F162" s="126"/>
      <c r="G162" s="128" t="s">
        <v>250</v>
      </c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5" customHeight="1">
      <c r="A163" s="124">
        <v>44470</v>
      </c>
      <c r="B163" s="137">
        <v>3670</v>
      </c>
      <c r="C163" s="137">
        <v>3670</v>
      </c>
      <c r="D163" s="126">
        <v>1787</v>
      </c>
      <c r="E163" s="126">
        <f t="shared" si="2"/>
        <v>374773</v>
      </c>
      <c r="F163" s="126"/>
      <c r="G163" s="128" t="s">
        <v>251</v>
      </c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5" customHeight="1">
      <c r="A164" s="124">
        <v>44471</v>
      </c>
      <c r="B164" s="137">
        <v>2723</v>
      </c>
      <c r="C164" s="137">
        <v>2723</v>
      </c>
      <c r="D164" s="126">
        <v>2723</v>
      </c>
      <c r="E164" s="126">
        <f t="shared" si="2"/>
        <v>377496</v>
      </c>
      <c r="F164" s="126"/>
      <c r="G164" s="128" t="s">
        <v>252</v>
      </c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5" customHeight="1">
      <c r="A165" s="124">
        <v>44472</v>
      </c>
      <c r="B165" s="137">
        <v>2461</v>
      </c>
      <c r="C165" s="137">
        <v>2461</v>
      </c>
      <c r="D165" s="126">
        <v>2461</v>
      </c>
      <c r="E165" s="126">
        <f t="shared" si="2"/>
        <v>379957</v>
      </c>
      <c r="F165" s="126"/>
      <c r="G165" s="127" t="s">
        <v>253</v>
      </c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5" customHeight="1">
      <c r="A166" s="124">
        <v>44473</v>
      </c>
      <c r="B166" s="137">
        <v>2490</v>
      </c>
      <c r="C166" s="137">
        <v>2490</v>
      </c>
      <c r="D166" s="126">
        <v>2490</v>
      </c>
      <c r="E166" s="126">
        <f t="shared" si="2"/>
        <v>382447</v>
      </c>
      <c r="F166" s="126"/>
      <c r="G166" s="128" t="s">
        <v>254</v>
      </c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5" customHeight="1">
      <c r="A167" s="124">
        <v>44474</v>
      </c>
      <c r="B167" s="137">
        <v>1491</v>
      </c>
      <c r="C167" s="137">
        <v>1491</v>
      </c>
      <c r="D167" s="126">
        <v>1491</v>
      </c>
      <c r="E167" s="126">
        <f t="shared" si="2"/>
        <v>383938</v>
      </c>
      <c r="F167" s="126"/>
      <c r="G167" s="128" t="s">
        <v>255</v>
      </c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5" customHeight="1">
      <c r="A168" s="124">
        <v>44475</v>
      </c>
      <c r="B168" s="137">
        <v>1960</v>
      </c>
      <c r="C168" s="137">
        <v>1960</v>
      </c>
      <c r="D168" s="126">
        <v>1960</v>
      </c>
      <c r="E168" s="126">
        <f t="shared" si="2"/>
        <v>385898</v>
      </c>
      <c r="F168" s="126"/>
      <c r="G168" s="128" t="s">
        <v>256</v>
      </c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5" customHeight="1">
      <c r="A169" s="124">
        <v>44476</v>
      </c>
      <c r="B169" s="137">
        <v>1730</v>
      </c>
      <c r="C169" s="137">
        <v>1730</v>
      </c>
      <c r="D169" s="126">
        <v>1730</v>
      </c>
      <c r="E169" s="126">
        <f t="shared" si="2"/>
        <v>387628</v>
      </c>
      <c r="F169" s="126"/>
      <c r="G169" s="128" t="s">
        <v>257</v>
      </c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5" customHeight="1">
      <c r="A170" s="124">
        <v>44477</v>
      </c>
      <c r="B170" s="137">
        <v>2215</v>
      </c>
      <c r="C170" s="141">
        <v>2215</v>
      </c>
      <c r="D170" s="126">
        <v>2215</v>
      </c>
      <c r="E170" s="126">
        <f t="shared" si="2"/>
        <v>389843</v>
      </c>
      <c r="F170" s="126"/>
      <c r="G170" s="128" t="s">
        <v>258</v>
      </c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5" customHeight="1">
      <c r="A171" s="124">
        <v>44478</v>
      </c>
      <c r="B171" s="142">
        <v>1662</v>
      </c>
      <c r="C171" s="137">
        <v>1662</v>
      </c>
      <c r="D171" s="126">
        <v>1662</v>
      </c>
      <c r="E171" s="126">
        <f t="shared" si="2"/>
        <v>391505</v>
      </c>
      <c r="F171" s="126"/>
      <c r="G171" s="127" t="s">
        <v>259</v>
      </c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5" customHeight="1">
      <c r="A172" s="124">
        <v>44479</v>
      </c>
      <c r="B172" s="142">
        <v>1067</v>
      </c>
      <c r="C172" s="143">
        <v>1067</v>
      </c>
      <c r="D172" s="126">
        <v>1067</v>
      </c>
      <c r="E172" s="126">
        <f t="shared" si="2"/>
        <v>392572</v>
      </c>
      <c r="F172" s="126"/>
      <c r="G172" s="127" t="s">
        <v>260</v>
      </c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5" customHeight="1">
      <c r="A173" s="124">
        <v>44480</v>
      </c>
      <c r="B173" s="139">
        <v>1527</v>
      </c>
      <c r="C173" s="138">
        <v>1527</v>
      </c>
      <c r="D173" s="126">
        <v>1527</v>
      </c>
      <c r="E173" s="126">
        <f t="shared" si="2"/>
        <v>394099</v>
      </c>
      <c r="F173" s="126"/>
      <c r="G173" s="128" t="s">
        <v>261</v>
      </c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5" customHeight="1">
      <c r="A174" s="124">
        <v>44481</v>
      </c>
      <c r="B174" s="143">
        <v>1018</v>
      </c>
      <c r="C174" s="141">
        <v>1018</v>
      </c>
      <c r="D174" s="126">
        <v>1018</v>
      </c>
      <c r="E174" s="126">
        <f t="shared" si="2"/>
        <v>395117</v>
      </c>
      <c r="F174" s="126"/>
      <c r="G174" s="128" t="s">
        <v>262</v>
      </c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5" customHeight="1">
      <c r="A175" s="124">
        <v>44482</v>
      </c>
      <c r="B175" s="137">
        <v>1162</v>
      </c>
      <c r="C175" s="138">
        <v>1162</v>
      </c>
      <c r="D175" s="126">
        <v>1162</v>
      </c>
      <c r="E175" s="126">
        <f t="shared" si="2"/>
        <v>396279</v>
      </c>
      <c r="F175" s="126"/>
      <c r="G175" s="128" t="s">
        <v>263</v>
      </c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5" customHeight="1">
      <c r="A176" s="124">
        <v>44483</v>
      </c>
      <c r="B176" s="139">
        <v>909</v>
      </c>
      <c r="C176" s="141">
        <v>909</v>
      </c>
      <c r="D176" s="126">
        <v>909</v>
      </c>
      <c r="E176" s="126">
        <f t="shared" si="2"/>
        <v>397188</v>
      </c>
      <c r="F176" s="126"/>
      <c r="G176" s="136" t="s">
        <v>263</v>
      </c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5" customHeight="1">
      <c r="A177" s="124">
        <v>44484</v>
      </c>
      <c r="B177" s="139">
        <v>1131</v>
      </c>
      <c r="C177" s="138">
        <v>1131</v>
      </c>
      <c r="D177" s="126">
        <v>1131</v>
      </c>
      <c r="E177" s="126">
        <f t="shared" si="2"/>
        <v>398319</v>
      </c>
      <c r="F177" s="126"/>
      <c r="G177" s="127" t="s">
        <v>264</v>
      </c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5" customHeight="1">
      <c r="A178" s="124">
        <v>44485</v>
      </c>
      <c r="B178" s="143">
        <v>790</v>
      </c>
      <c r="C178" s="141">
        <v>790</v>
      </c>
      <c r="D178" s="126">
        <v>790</v>
      </c>
      <c r="E178" s="126">
        <f t="shared" si="2"/>
        <v>399109</v>
      </c>
      <c r="F178" s="126"/>
      <c r="G178" s="127" t="s">
        <v>265</v>
      </c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5" customHeight="1">
      <c r="A179" s="124">
        <v>44486</v>
      </c>
      <c r="B179" s="137">
        <v>1059</v>
      </c>
      <c r="C179" s="138">
        <v>1059</v>
      </c>
      <c r="D179" s="126">
        <v>1059</v>
      </c>
      <c r="E179" s="126">
        <f t="shared" si="2"/>
        <v>400168</v>
      </c>
      <c r="F179" s="126"/>
      <c r="G179" s="127" t="s">
        <v>266</v>
      </c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5" customHeight="1">
      <c r="A180" s="124">
        <v>44487</v>
      </c>
      <c r="B180" s="137">
        <v>968</v>
      </c>
      <c r="C180" s="140">
        <v>968</v>
      </c>
      <c r="D180" s="126">
        <v>968</v>
      </c>
      <c r="E180" s="126">
        <f t="shared" si="2"/>
        <v>401136</v>
      </c>
      <c r="F180" s="126"/>
      <c r="G180" s="144" t="s">
        <v>267</v>
      </c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5" customHeight="1">
      <c r="A181" s="124">
        <v>44488</v>
      </c>
      <c r="B181" s="137">
        <v>907</v>
      </c>
      <c r="C181" s="137">
        <v>907</v>
      </c>
      <c r="D181" s="126">
        <v>907</v>
      </c>
      <c r="E181" s="126">
        <f t="shared" si="2"/>
        <v>402043</v>
      </c>
      <c r="F181" s="126"/>
      <c r="G181" s="145" t="s">
        <v>268</v>
      </c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5" customHeight="1">
      <c r="A182" s="124">
        <v>44489</v>
      </c>
      <c r="B182" s="137">
        <v>1347</v>
      </c>
      <c r="C182" s="137">
        <v>1347</v>
      </c>
      <c r="D182" s="126">
        <v>1347</v>
      </c>
      <c r="E182" s="126">
        <f t="shared" si="2"/>
        <v>403390</v>
      </c>
      <c r="F182" s="126"/>
      <c r="G182" s="146" t="s">
        <v>269</v>
      </c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5" customHeight="1">
      <c r="A183" s="124">
        <v>44490</v>
      </c>
      <c r="B183" s="137">
        <v>1255</v>
      </c>
      <c r="C183" s="137">
        <v>1255</v>
      </c>
      <c r="D183" s="126">
        <v>1255</v>
      </c>
      <c r="E183" s="126">
        <f t="shared" si="2"/>
        <v>404645</v>
      </c>
      <c r="F183" s="126"/>
      <c r="G183" s="127" t="s">
        <v>270</v>
      </c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5" customHeight="1">
      <c r="A184" s="124">
        <v>44491</v>
      </c>
      <c r="B184" s="137">
        <v>1205</v>
      </c>
      <c r="C184" s="137">
        <v>1205</v>
      </c>
      <c r="D184" s="126">
        <v>1205</v>
      </c>
      <c r="E184" s="126">
        <f t="shared" si="2"/>
        <v>405850</v>
      </c>
      <c r="F184" s="126"/>
      <c r="G184" s="127" t="s">
        <v>271</v>
      </c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5" customHeight="1">
      <c r="A185" s="124">
        <v>44492</v>
      </c>
      <c r="B185" s="137">
        <v>749</v>
      </c>
      <c r="C185" s="137">
        <v>749</v>
      </c>
      <c r="D185" s="132">
        <v>749</v>
      </c>
      <c r="E185" s="126">
        <f t="shared" si="2"/>
        <v>406599</v>
      </c>
      <c r="F185" s="126"/>
      <c r="G185" s="126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5" customHeight="1">
      <c r="A186" s="124">
        <v>44493</v>
      </c>
      <c r="B186" s="137">
        <v>966</v>
      </c>
      <c r="C186" s="137">
        <v>966</v>
      </c>
      <c r="D186" s="126">
        <v>966</v>
      </c>
      <c r="E186" s="126">
        <f t="shared" si="2"/>
        <v>407565</v>
      </c>
      <c r="F186" s="126"/>
      <c r="G186" s="127" t="s">
        <v>272</v>
      </c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5" customHeight="1">
      <c r="A187" s="124">
        <v>44494</v>
      </c>
      <c r="B187" s="137">
        <v>969</v>
      </c>
      <c r="C187" s="137">
        <v>969</v>
      </c>
      <c r="D187" s="125">
        <v>969</v>
      </c>
      <c r="E187" s="126">
        <f t="shared" si="2"/>
        <v>408534</v>
      </c>
      <c r="F187" s="126"/>
      <c r="G187" s="127" t="s">
        <v>273</v>
      </c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5" customHeight="1">
      <c r="A188" s="124">
        <v>44495</v>
      </c>
      <c r="B188" s="137">
        <v>783</v>
      </c>
      <c r="C188" s="137">
        <v>783</v>
      </c>
      <c r="D188" s="126">
        <v>783</v>
      </c>
      <c r="E188" s="126">
        <f t="shared" si="2"/>
        <v>409317</v>
      </c>
      <c r="F188" s="126"/>
      <c r="G188" s="127" t="s">
        <v>274</v>
      </c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5" customHeight="1">
      <c r="A189" s="124">
        <v>44496</v>
      </c>
      <c r="B189" s="137">
        <v>1140</v>
      </c>
      <c r="C189" s="137">
        <v>1140</v>
      </c>
      <c r="D189" s="126">
        <v>1140</v>
      </c>
      <c r="E189" s="126">
        <f t="shared" si="2"/>
        <v>410457</v>
      </c>
      <c r="F189" s="126"/>
      <c r="G189" s="127" t="s">
        <v>275</v>
      </c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5" customHeight="1">
      <c r="A190" s="124">
        <v>44497</v>
      </c>
      <c r="B190" s="137">
        <v>1069</v>
      </c>
      <c r="C190" s="137">
        <v>1069</v>
      </c>
      <c r="D190" s="125">
        <v>1069</v>
      </c>
      <c r="E190" s="126">
        <f t="shared" si="2"/>
        <v>411526</v>
      </c>
      <c r="F190" s="126"/>
      <c r="G190" s="147" t="s">
        <v>276</v>
      </c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5" customHeight="1">
      <c r="A191" s="124">
        <v>44498</v>
      </c>
      <c r="B191" s="137">
        <v>977</v>
      </c>
      <c r="C191" s="137">
        <v>977</v>
      </c>
      <c r="D191" s="125">
        <v>977</v>
      </c>
      <c r="E191" s="126">
        <f t="shared" si="2"/>
        <v>412503</v>
      </c>
      <c r="F191" s="126"/>
      <c r="G191" s="126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5" customHeight="1">
      <c r="A192" s="124">
        <v>44499</v>
      </c>
      <c r="B192" s="137">
        <v>1042</v>
      </c>
      <c r="C192" s="137">
        <v>1042</v>
      </c>
      <c r="D192" s="125">
        <v>1042</v>
      </c>
      <c r="E192" s="126">
        <f t="shared" si="2"/>
        <v>413545</v>
      </c>
      <c r="F192" s="126"/>
      <c r="G192" s="126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5" customHeight="1">
      <c r="A193" s="124">
        <v>44500</v>
      </c>
      <c r="B193" s="137">
        <v>1041</v>
      </c>
      <c r="C193" s="137">
        <v>1041</v>
      </c>
      <c r="D193" s="125">
        <v>1041</v>
      </c>
      <c r="E193" s="126">
        <f t="shared" si="2"/>
        <v>414586</v>
      </c>
      <c r="F193" s="126"/>
      <c r="G193" s="126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5" customHeight="1">
      <c r="A194" s="124">
        <v>44501</v>
      </c>
      <c r="B194" s="137">
        <v>927</v>
      </c>
      <c r="C194" s="137">
        <v>927</v>
      </c>
      <c r="D194" s="125">
        <v>927</v>
      </c>
      <c r="E194" s="126">
        <f t="shared" si="2"/>
        <v>415513</v>
      </c>
      <c r="F194" s="126"/>
      <c r="G194" s="126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5" customHeight="1">
      <c r="A195" s="124">
        <v>44502</v>
      </c>
      <c r="B195" s="137">
        <v>682</v>
      </c>
      <c r="C195" s="137">
        <v>682</v>
      </c>
      <c r="D195" s="125">
        <v>682</v>
      </c>
      <c r="E195" s="126">
        <f t="shared" si="2"/>
        <v>416195</v>
      </c>
      <c r="F195" s="126"/>
      <c r="G195" s="126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5" customHeight="1">
      <c r="A196" s="124">
        <v>44503</v>
      </c>
      <c r="B196" s="137">
        <v>985</v>
      </c>
      <c r="C196" s="137">
        <v>985</v>
      </c>
      <c r="D196" s="125">
        <v>985</v>
      </c>
      <c r="E196" s="126">
        <f t="shared" si="2"/>
        <v>417180</v>
      </c>
      <c r="F196" s="126"/>
      <c r="G196" s="126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5" customHeight="1">
      <c r="A197" s="124">
        <v>44504</v>
      </c>
      <c r="B197" s="137">
        <v>981</v>
      </c>
      <c r="C197" s="137">
        <v>981</v>
      </c>
      <c r="D197" s="125">
        <v>981</v>
      </c>
      <c r="E197" s="126">
        <f t="shared" si="2"/>
        <v>418161</v>
      </c>
      <c r="F197" s="126"/>
      <c r="G197" s="126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5" customHeight="1">
      <c r="A198" s="124">
        <v>44505</v>
      </c>
      <c r="B198" s="137">
        <v>912</v>
      </c>
      <c r="C198" s="137">
        <v>912</v>
      </c>
      <c r="D198" s="125">
        <v>912</v>
      </c>
      <c r="E198" s="126">
        <f t="shared" si="2"/>
        <v>419073</v>
      </c>
      <c r="F198" s="126"/>
      <c r="G198" s="126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5" customHeight="1">
      <c r="A199" s="124">
        <v>44506</v>
      </c>
      <c r="B199" s="137">
        <v>986</v>
      </c>
      <c r="C199" s="137">
        <v>986</v>
      </c>
      <c r="D199" s="125">
        <v>986</v>
      </c>
      <c r="E199" s="126">
        <f t="shared" si="2"/>
        <v>420059</v>
      </c>
      <c r="F199" s="126"/>
      <c r="G199" s="126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5" customHeight="1">
      <c r="A200" s="124">
        <v>44507</v>
      </c>
      <c r="B200" s="137">
        <v>1009</v>
      </c>
      <c r="C200" s="137">
        <v>1009</v>
      </c>
      <c r="D200" s="125">
        <v>1009</v>
      </c>
      <c r="E200" s="126">
        <f t="shared" si="2"/>
        <v>421068</v>
      </c>
      <c r="F200" s="126"/>
      <c r="G200" s="126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5" customHeight="1">
      <c r="A201" s="124">
        <v>44508</v>
      </c>
      <c r="B201" s="137">
        <v>1316</v>
      </c>
      <c r="C201" s="137">
        <v>1316</v>
      </c>
      <c r="D201" s="125">
        <v>1316</v>
      </c>
      <c r="E201" s="126">
        <f t="shared" ref="E201:E212" si="3">E200+C201</f>
        <v>422384</v>
      </c>
      <c r="F201" s="126"/>
      <c r="G201" s="126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5" customHeight="1">
      <c r="A202" s="124">
        <v>44509</v>
      </c>
      <c r="B202" s="137">
        <v>1276</v>
      </c>
      <c r="C202" s="137">
        <v>1276</v>
      </c>
      <c r="D202" s="125">
        <v>1276</v>
      </c>
      <c r="E202" s="126">
        <f t="shared" si="3"/>
        <v>423660</v>
      </c>
      <c r="F202" s="126"/>
      <c r="G202" s="126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5" customHeight="1">
      <c r="A203" s="124">
        <v>44510</v>
      </c>
      <c r="B203" s="137">
        <v>1414</v>
      </c>
      <c r="C203" s="137">
        <v>1414</v>
      </c>
      <c r="D203" s="125">
        <v>1414</v>
      </c>
      <c r="E203" s="126">
        <f t="shared" si="3"/>
        <v>425074</v>
      </c>
      <c r="F203" s="126"/>
      <c r="G203" s="126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5" customHeight="1">
      <c r="A204" s="124">
        <v>44511</v>
      </c>
      <c r="B204" s="137">
        <v>1185</v>
      </c>
      <c r="C204" s="137">
        <v>1185</v>
      </c>
      <c r="D204" s="125">
        <v>1185</v>
      </c>
      <c r="E204" s="126">
        <f t="shared" si="3"/>
        <v>426259</v>
      </c>
      <c r="F204" s="126"/>
      <c r="G204" s="126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5.75">
      <c r="A205" s="124">
        <v>44512</v>
      </c>
      <c r="B205" s="137">
        <v>1388</v>
      </c>
      <c r="C205" s="137">
        <v>1388</v>
      </c>
      <c r="D205" s="125">
        <v>1388</v>
      </c>
      <c r="E205" s="126">
        <f t="shared" si="3"/>
        <v>427647</v>
      </c>
      <c r="F205" s="126"/>
      <c r="G205" s="126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5.75">
      <c r="A206" s="124">
        <v>44513</v>
      </c>
      <c r="B206" s="137">
        <v>1240</v>
      </c>
      <c r="C206" s="137">
        <v>1240</v>
      </c>
      <c r="D206" s="125">
        <v>1240</v>
      </c>
      <c r="E206" s="126">
        <f t="shared" si="3"/>
        <v>428887</v>
      </c>
      <c r="F206" s="126"/>
      <c r="G206" s="126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5.75">
      <c r="A207" s="124">
        <v>44514</v>
      </c>
      <c r="B207" s="137">
        <v>985</v>
      </c>
      <c r="C207" s="137">
        <v>985</v>
      </c>
      <c r="D207" s="125">
        <v>985</v>
      </c>
      <c r="E207" s="126">
        <f t="shared" si="3"/>
        <v>429872</v>
      </c>
      <c r="F207" s="126"/>
      <c r="G207" s="126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5.75">
      <c r="A208" s="124">
        <v>44515</v>
      </c>
      <c r="B208" s="137">
        <v>1165</v>
      </c>
      <c r="C208" s="137">
        <v>1165</v>
      </c>
      <c r="D208" s="125">
        <v>1165</v>
      </c>
      <c r="E208" s="126">
        <f t="shared" si="3"/>
        <v>431037</v>
      </c>
      <c r="F208" s="126"/>
      <c r="G208" s="126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5.75">
      <c r="A209" s="124">
        <v>44516</v>
      </c>
      <c r="B209" s="137">
        <v>1183</v>
      </c>
      <c r="C209" s="137">
        <v>1183</v>
      </c>
      <c r="D209" s="125">
        <v>1183</v>
      </c>
      <c r="E209" s="126">
        <f t="shared" si="3"/>
        <v>432220</v>
      </c>
      <c r="F209" s="126"/>
      <c r="G209" s="126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5.75">
      <c r="A210" s="124">
        <v>44517</v>
      </c>
      <c r="B210" s="137">
        <v>1337</v>
      </c>
      <c r="C210" s="137">
        <v>1337</v>
      </c>
      <c r="D210" s="125">
        <v>1337</v>
      </c>
      <c r="E210" s="126">
        <f t="shared" si="3"/>
        <v>433557</v>
      </c>
      <c r="F210" s="126"/>
      <c r="G210" s="126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5.75">
      <c r="A211" s="124">
        <v>44518</v>
      </c>
      <c r="B211" s="137">
        <v>1609</v>
      </c>
      <c r="C211" s="137">
        <v>1609</v>
      </c>
      <c r="D211" s="125">
        <v>1609</v>
      </c>
      <c r="E211" s="126">
        <f t="shared" si="3"/>
        <v>435166</v>
      </c>
      <c r="F211" s="126"/>
      <c r="G211" s="126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5.75">
      <c r="A212" s="124">
        <v>44519</v>
      </c>
      <c r="B212" s="137">
        <v>1339</v>
      </c>
      <c r="C212" s="137">
        <v>1339</v>
      </c>
      <c r="D212" s="125">
        <v>1339</v>
      </c>
      <c r="E212" s="126">
        <f t="shared" si="3"/>
        <v>436505</v>
      </c>
      <c r="F212" s="126"/>
      <c r="G212" s="126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5.75">
      <c r="A213" s="124">
        <v>44520</v>
      </c>
      <c r="B213" s="125"/>
      <c r="C213" s="125"/>
      <c r="D213" s="126"/>
      <c r="E213" s="126"/>
      <c r="F213" s="126"/>
      <c r="G213" s="126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5.75">
      <c r="A214" s="124">
        <v>44521</v>
      </c>
      <c r="B214" s="125"/>
      <c r="C214" s="125"/>
      <c r="D214" s="132"/>
      <c r="E214" s="126"/>
      <c r="F214" s="126"/>
      <c r="G214" s="126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5.75">
      <c r="A215" s="124">
        <v>44522</v>
      </c>
      <c r="B215" s="125"/>
      <c r="C215" s="125"/>
      <c r="D215" s="126"/>
      <c r="E215" s="126"/>
      <c r="F215" s="126"/>
      <c r="G215" s="126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5.75">
      <c r="A216" s="124">
        <v>44523</v>
      </c>
      <c r="B216" s="125"/>
      <c r="C216" s="125"/>
      <c r="D216" s="126"/>
      <c r="E216" s="126"/>
      <c r="F216" s="126"/>
      <c r="G216" s="126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5.75">
      <c r="A217" s="124">
        <v>44524</v>
      </c>
      <c r="B217" s="125"/>
      <c r="C217" s="125"/>
      <c r="D217" s="126"/>
      <c r="E217" s="126"/>
      <c r="F217" s="126"/>
      <c r="G217" s="126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5.75">
      <c r="A218" s="124">
        <v>44525</v>
      </c>
      <c r="B218" s="125"/>
      <c r="C218" s="125"/>
      <c r="D218" s="126"/>
      <c r="E218" s="126"/>
      <c r="F218" s="126"/>
      <c r="G218" s="126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5.75">
      <c r="A219" s="124">
        <v>44526</v>
      </c>
      <c r="B219" s="125"/>
      <c r="C219" s="125"/>
      <c r="D219" s="126"/>
      <c r="E219" s="126"/>
      <c r="F219" s="126"/>
      <c r="G219" s="126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5.75">
      <c r="A220" s="119"/>
      <c r="B220" s="120"/>
      <c r="C220" s="120"/>
      <c r="D220" s="132">
        <f>SUM(D12:D216)</f>
        <v>423120</v>
      </c>
      <c r="E220" s="121"/>
      <c r="F220" s="121"/>
      <c r="G220" s="121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5.75">
      <c r="A221" s="119"/>
      <c r="B221" s="120"/>
      <c r="C221" s="120"/>
      <c r="D221" s="121"/>
      <c r="E221" s="121"/>
      <c r="F221" s="121"/>
      <c r="G221" s="121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5.75">
      <c r="A222" s="119"/>
      <c r="B222" s="120"/>
      <c r="C222" s="120"/>
      <c r="D222" s="121"/>
      <c r="E222" s="121"/>
      <c r="F222" s="121"/>
      <c r="G222" s="121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5.75">
      <c r="A223" s="119"/>
      <c r="B223" s="120"/>
      <c r="C223" s="120"/>
      <c r="D223" s="121"/>
      <c r="E223" s="121"/>
      <c r="F223" s="121"/>
      <c r="G223" s="121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5.75">
      <c r="A224" s="119"/>
      <c r="B224" s="120"/>
      <c r="C224" s="120"/>
      <c r="D224" s="121"/>
      <c r="E224" s="121"/>
      <c r="F224" s="121"/>
      <c r="G224" s="121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>
      <c r="A225" s="119"/>
      <c r="B225" s="120"/>
      <c r="C225" s="120"/>
      <c r="D225" s="121"/>
      <c r="E225" s="121"/>
      <c r="F225" s="121"/>
      <c r="G225" s="121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>
      <c r="A226" s="119"/>
      <c r="B226" s="120"/>
      <c r="C226" s="120"/>
      <c r="D226" s="121"/>
      <c r="E226" s="121"/>
      <c r="F226" s="121"/>
      <c r="G226" s="121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>
      <c r="A227" s="119"/>
      <c r="B227" s="120"/>
      <c r="C227" s="120"/>
      <c r="D227" s="121"/>
      <c r="E227" s="121"/>
      <c r="F227" s="121"/>
      <c r="G227" s="121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>
      <c r="A228" s="119"/>
      <c r="B228" s="120"/>
      <c r="C228" s="120"/>
      <c r="D228" s="121"/>
      <c r="E228" s="121"/>
      <c r="F228" s="121"/>
      <c r="G228" s="121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>
      <c r="A229" s="119"/>
      <c r="B229" s="120"/>
      <c r="C229" s="120"/>
      <c r="D229" s="121"/>
      <c r="E229" s="121"/>
      <c r="F229" s="121"/>
      <c r="G229" s="121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>
      <c r="A230" s="119"/>
      <c r="B230" s="120"/>
      <c r="C230" s="120"/>
      <c r="D230" s="121"/>
      <c r="E230" s="121"/>
      <c r="F230" s="121"/>
      <c r="G230" s="121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>
      <c r="A231" s="119"/>
      <c r="B231" s="120"/>
      <c r="C231" s="120"/>
      <c r="D231" s="121"/>
      <c r="E231" s="121"/>
      <c r="F231" s="121"/>
      <c r="G231" s="121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>
      <c r="A232" s="119"/>
      <c r="B232" s="120"/>
      <c r="C232" s="120"/>
      <c r="D232" s="121"/>
      <c r="E232" s="121"/>
      <c r="F232" s="121"/>
      <c r="G232" s="121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>
      <c r="A233" s="119"/>
      <c r="B233" s="120"/>
      <c r="C233" s="120"/>
      <c r="D233" s="121"/>
      <c r="E233" s="121"/>
      <c r="F233" s="121"/>
      <c r="G233" s="121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>
      <c r="A234" s="119"/>
      <c r="B234" s="120"/>
      <c r="C234" s="120"/>
      <c r="D234" s="121"/>
      <c r="E234" s="121"/>
      <c r="F234" s="121"/>
      <c r="G234" s="121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>
      <c r="A235" s="119"/>
      <c r="B235" s="120"/>
      <c r="C235" s="120"/>
      <c r="D235" s="121"/>
      <c r="E235" s="121"/>
      <c r="F235" s="121"/>
      <c r="G235" s="121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>
      <c r="A236" s="119"/>
      <c r="B236" s="120"/>
      <c r="C236" s="120"/>
      <c r="D236" s="121"/>
      <c r="E236" s="121"/>
      <c r="F236" s="121"/>
      <c r="G236" s="121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>
      <c r="A237" s="119"/>
      <c r="B237" s="120"/>
      <c r="C237" s="120"/>
      <c r="D237" s="121"/>
      <c r="E237" s="121"/>
      <c r="F237" s="121"/>
      <c r="G237" s="121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>
      <c r="A238" s="119"/>
      <c r="B238" s="120"/>
      <c r="C238" s="120"/>
      <c r="D238" s="121"/>
      <c r="E238" s="121"/>
      <c r="F238" s="121"/>
      <c r="G238" s="121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>
      <c r="A239" s="119"/>
      <c r="B239" s="120"/>
      <c r="C239" s="120"/>
      <c r="D239" s="121"/>
      <c r="E239" s="121"/>
      <c r="F239" s="121"/>
      <c r="G239" s="121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>
      <c r="A240" s="119"/>
      <c r="B240" s="120"/>
      <c r="C240" s="120"/>
      <c r="D240" s="121"/>
      <c r="E240" s="121"/>
      <c r="F240" s="121"/>
      <c r="G240" s="121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>
      <c r="A241" s="119"/>
      <c r="B241" s="120"/>
      <c r="C241" s="120"/>
      <c r="D241" s="121"/>
      <c r="E241" s="121"/>
      <c r="F241" s="121"/>
      <c r="G241" s="121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>
      <c r="A242" s="119"/>
      <c r="B242" s="120"/>
      <c r="C242" s="120"/>
      <c r="D242" s="121"/>
      <c r="E242" s="121"/>
      <c r="F242" s="121"/>
      <c r="G242" s="121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>
      <c r="A243" s="119"/>
      <c r="B243" s="120"/>
      <c r="C243" s="120"/>
      <c r="D243" s="121"/>
      <c r="E243" s="121"/>
      <c r="F243" s="121"/>
      <c r="G243" s="121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>
      <c r="A244" s="119"/>
      <c r="B244" s="120"/>
      <c r="C244" s="120"/>
      <c r="D244" s="121"/>
      <c r="E244" s="121"/>
      <c r="F244" s="121"/>
      <c r="G244" s="121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>
      <c r="A245" s="119"/>
      <c r="B245" s="120"/>
      <c r="C245" s="120"/>
      <c r="D245" s="121"/>
      <c r="E245" s="121"/>
      <c r="F245" s="121"/>
      <c r="G245" s="121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>
      <c r="A246" s="119"/>
      <c r="B246" s="120"/>
      <c r="C246" s="120"/>
      <c r="D246" s="121"/>
      <c r="E246" s="121"/>
      <c r="F246" s="121"/>
      <c r="G246" s="121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>
      <c r="A247" s="119"/>
      <c r="B247" s="120"/>
      <c r="C247" s="120"/>
      <c r="D247" s="121"/>
      <c r="E247" s="121"/>
      <c r="F247" s="121"/>
      <c r="G247" s="121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>
      <c r="A248" s="119"/>
      <c r="B248" s="120"/>
      <c r="C248" s="120"/>
      <c r="D248" s="121"/>
      <c r="E248" s="121"/>
      <c r="F248" s="121"/>
      <c r="G248" s="121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>
      <c r="A249" s="119"/>
      <c r="B249" s="120"/>
      <c r="C249" s="120"/>
      <c r="D249" s="121"/>
      <c r="E249" s="121"/>
      <c r="F249" s="121"/>
      <c r="G249" s="121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>
      <c r="A250" s="119"/>
      <c r="B250" s="120"/>
      <c r="C250" s="120"/>
      <c r="D250" s="121"/>
      <c r="E250" s="121"/>
      <c r="F250" s="121"/>
      <c r="G250" s="121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>
      <c r="A251" s="119"/>
      <c r="B251" s="120"/>
      <c r="C251" s="120"/>
      <c r="D251" s="121"/>
      <c r="E251" s="121"/>
      <c r="F251" s="121"/>
      <c r="G251" s="121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>
      <c r="A252" s="119"/>
      <c r="B252" s="120"/>
      <c r="C252" s="120"/>
      <c r="D252" s="121"/>
      <c r="E252" s="121"/>
      <c r="F252" s="121"/>
      <c r="G252" s="121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>
      <c r="A253" s="119"/>
      <c r="B253" s="120"/>
      <c r="C253" s="120"/>
      <c r="D253" s="121"/>
      <c r="E253" s="121"/>
      <c r="F253" s="121"/>
      <c r="G253" s="121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>
      <c r="A254" s="119"/>
      <c r="B254" s="120"/>
      <c r="C254" s="120"/>
      <c r="D254" s="121"/>
      <c r="E254" s="121"/>
      <c r="F254" s="121"/>
      <c r="G254" s="121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>
      <c r="A255" s="119"/>
      <c r="B255" s="120"/>
      <c r="C255" s="120"/>
      <c r="D255" s="121"/>
      <c r="E255" s="121"/>
      <c r="F255" s="121"/>
      <c r="G255" s="121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>
      <c r="A256" s="119"/>
      <c r="B256" s="120"/>
      <c r="C256" s="120"/>
      <c r="D256" s="121"/>
      <c r="E256" s="121"/>
      <c r="F256" s="121"/>
      <c r="G256" s="121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>
      <c r="A257" s="119"/>
      <c r="B257" s="120"/>
      <c r="C257" s="120"/>
      <c r="D257" s="121"/>
      <c r="E257" s="121"/>
      <c r="F257" s="121"/>
      <c r="G257" s="121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>
      <c r="A258" s="119"/>
      <c r="B258" s="120"/>
      <c r="C258" s="120"/>
      <c r="D258" s="121"/>
      <c r="E258" s="121"/>
      <c r="F258" s="121"/>
      <c r="G258" s="121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>
      <c r="A259" s="119"/>
      <c r="B259" s="120"/>
      <c r="C259" s="120"/>
      <c r="D259" s="121"/>
      <c r="E259" s="121"/>
      <c r="F259" s="121"/>
      <c r="G259" s="121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>
      <c r="A260" s="119"/>
      <c r="B260" s="120"/>
      <c r="C260" s="120"/>
      <c r="D260" s="121"/>
      <c r="E260" s="121"/>
      <c r="F260" s="121"/>
      <c r="G260" s="121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>
      <c r="A261" s="119"/>
      <c r="B261" s="120"/>
      <c r="C261" s="120"/>
      <c r="D261" s="121"/>
      <c r="E261" s="121"/>
      <c r="F261" s="121"/>
      <c r="G261" s="121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>
      <c r="A262" s="119"/>
      <c r="B262" s="120"/>
      <c r="C262" s="120"/>
      <c r="D262" s="121"/>
      <c r="E262" s="121"/>
      <c r="F262" s="121"/>
      <c r="G262" s="121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>
      <c r="A263" s="119"/>
      <c r="B263" s="120"/>
      <c r="C263" s="120"/>
      <c r="D263" s="121"/>
      <c r="E263" s="121"/>
      <c r="F263" s="121"/>
      <c r="G263" s="121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>
      <c r="A264" s="119"/>
      <c r="B264" s="120"/>
      <c r="C264" s="120"/>
      <c r="D264" s="121"/>
      <c r="E264" s="121"/>
      <c r="F264" s="121"/>
      <c r="G264" s="121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>
      <c r="A265" s="119"/>
      <c r="B265" s="120"/>
      <c r="C265" s="120"/>
      <c r="D265" s="121"/>
      <c r="E265" s="121"/>
      <c r="F265" s="121"/>
      <c r="G265" s="121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>
      <c r="A266" s="119"/>
      <c r="B266" s="120"/>
      <c r="C266" s="120"/>
      <c r="D266" s="121"/>
      <c r="E266" s="121"/>
      <c r="F266" s="121"/>
      <c r="G266" s="121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>
      <c r="A267" s="119"/>
      <c r="B267" s="120"/>
      <c r="C267" s="120"/>
      <c r="D267" s="121"/>
      <c r="E267" s="121"/>
      <c r="F267" s="121"/>
      <c r="G267" s="121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>
      <c r="A268" s="119"/>
      <c r="B268" s="120"/>
      <c r="C268" s="120"/>
      <c r="D268" s="121"/>
      <c r="E268" s="121"/>
      <c r="F268" s="121"/>
      <c r="G268" s="121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>
      <c r="A269" s="119"/>
      <c r="B269" s="120"/>
      <c r="C269" s="120"/>
      <c r="D269" s="121"/>
      <c r="E269" s="121"/>
      <c r="F269" s="121"/>
      <c r="G269" s="121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>
      <c r="A270" s="119"/>
      <c r="B270" s="120"/>
      <c r="C270" s="120"/>
      <c r="D270" s="121"/>
      <c r="E270" s="121"/>
      <c r="F270" s="121"/>
      <c r="G270" s="121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>
      <c r="A271" s="119"/>
      <c r="B271" s="120"/>
      <c r="C271" s="120"/>
      <c r="D271" s="121"/>
      <c r="E271" s="121"/>
      <c r="F271" s="121"/>
      <c r="G271" s="121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>
      <c r="A272" s="119"/>
      <c r="B272" s="120"/>
      <c r="C272" s="120"/>
      <c r="D272" s="121"/>
      <c r="E272" s="121"/>
      <c r="F272" s="121"/>
      <c r="G272" s="121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>
      <c r="A273" s="119"/>
      <c r="B273" s="120"/>
      <c r="C273" s="120"/>
      <c r="D273" s="121"/>
      <c r="E273" s="121"/>
      <c r="F273" s="121"/>
      <c r="G273" s="121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>
      <c r="A274" s="119"/>
      <c r="B274" s="120"/>
      <c r="C274" s="120"/>
      <c r="D274" s="121"/>
      <c r="E274" s="121"/>
      <c r="F274" s="121"/>
      <c r="G274" s="121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>
      <c r="A275" s="119"/>
      <c r="B275" s="120"/>
      <c r="C275" s="120"/>
      <c r="D275" s="121"/>
      <c r="E275" s="121"/>
      <c r="F275" s="121"/>
      <c r="G275" s="121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>
      <c r="A276" s="119"/>
      <c r="B276" s="120"/>
      <c r="C276" s="120"/>
      <c r="D276" s="121"/>
      <c r="E276" s="121"/>
      <c r="F276" s="121"/>
      <c r="G276" s="121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>
      <c r="A277" s="119"/>
      <c r="B277" s="120"/>
      <c r="C277" s="120"/>
      <c r="D277" s="121"/>
      <c r="E277" s="121"/>
      <c r="F277" s="121"/>
      <c r="G277" s="121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>
      <c r="A278" s="119"/>
      <c r="B278" s="120"/>
      <c r="C278" s="120"/>
      <c r="D278" s="121"/>
      <c r="E278" s="121"/>
      <c r="F278" s="121"/>
      <c r="G278" s="121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>
      <c r="A279" s="119"/>
      <c r="B279" s="120"/>
      <c r="C279" s="120"/>
      <c r="D279" s="121"/>
      <c r="E279" s="121"/>
      <c r="F279" s="121"/>
      <c r="G279" s="121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>
      <c r="A280" s="119"/>
      <c r="B280" s="120"/>
      <c r="C280" s="120"/>
      <c r="D280" s="121"/>
      <c r="E280" s="121"/>
      <c r="F280" s="121"/>
      <c r="G280" s="121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>
      <c r="A281" s="119"/>
      <c r="B281" s="120"/>
      <c r="C281" s="120"/>
      <c r="D281" s="121"/>
      <c r="E281" s="121"/>
      <c r="F281" s="121"/>
      <c r="G281" s="121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>
      <c r="A282" s="119"/>
      <c r="B282" s="120"/>
      <c r="C282" s="120"/>
      <c r="D282" s="121"/>
      <c r="E282" s="121"/>
      <c r="F282" s="121"/>
      <c r="G282" s="121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>
      <c r="A283" s="119"/>
      <c r="B283" s="120"/>
      <c r="C283" s="120"/>
      <c r="D283" s="121"/>
      <c r="E283" s="121"/>
      <c r="F283" s="121"/>
      <c r="G283" s="121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>
      <c r="A284" s="119"/>
      <c r="B284" s="120"/>
      <c r="C284" s="120"/>
      <c r="D284" s="121"/>
      <c r="E284" s="121"/>
      <c r="F284" s="121"/>
      <c r="G284" s="121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>
      <c r="A285" s="119"/>
      <c r="B285" s="120"/>
      <c r="C285" s="120"/>
      <c r="D285" s="121"/>
      <c r="E285" s="121"/>
      <c r="F285" s="121"/>
      <c r="G285" s="121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>
      <c r="A286" s="119"/>
      <c r="B286" s="120"/>
      <c r="C286" s="120"/>
      <c r="D286" s="121"/>
      <c r="E286" s="121"/>
      <c r="F286" s="121"/>
      <c r="G286" s="121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>
      <c r="A287" s="119"/>
      <c r="B287" s="120"/>
      <c r="C287" s="120"/>
      <c r="D287" s="121"/>
      <c r="E287" s="121"/>
      <c r="F287" s="121"/>
      <c r="G287" s="121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>
      <c r="A288" s="119"/>
      <c r="B288" s="120"/>
      <c r="C288" s="120"/>
      <c r="D288" s="121"/>
      <c r="E288" s="121"/>
      <c r="F288" s="121"/>
      <c r="G288" s="121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>
      <c r="A289" s="119"/>
      <c r="B289" s="120"/>
      <c r="C289" s="120"/>
      <c r="D289" s="121"/>
      <c r="E289" s="121"/>
      <c r="F289" s="121"/>
      <c r="G289" s="121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>
      <c r="A290" s="119"/>
      <c r="B290" s="120"/>
      <c r="C290" s="120"/>
      <c r="D290" s="121"/>
      <c r="E290" s="121"/>
      <c r="F290" s="121"/>
      <c r="G290" s="121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>
      <c r="A291" s="119"/>
      <c r="B291" s="120"/>
      <c r="C291" s="120"/>
      <c r="D291" s="121"/>
      <c r="E291" s="121"/>
      <c r="F291" s="121"/>
      <c r="G291" s="121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>
      <c r="A292" s="119"/>
      <c r="B292" s="120"/>
      <c r="C292" s="120"/>
      <c r="D292" s="121"/>
      <c r="E292" s="121"/>
      <c r="F292" s="121"/>
      <c r="G292" s="121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>
      <c r="A293" s="119"/>
      <c r="B293" s="120"/>
      <c r="C293" s="120"/>
      <c r="D293" s="121"/>
      <c r="E293" s="121"/>
      <c r="F293" s="121"/>
      <c r="G293" s="121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>
      <c r="A294" s="119"/>
      <c r="B294" s="120"/>
      <c r="C294" s="120"/>
      <c r="D294" s="121"/>
      <c r="E294" s="121"/>
      <c r="F294" s="121"/>
      <c r="G294" s="121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>
      <c r="A295" s="119"/>
      <c r="B295" s="120"/>
      <c r="C295" s="120"/>
      <c r="D295" s="121"/>
      <c r="E295" s="121"/>
      <c r="F295" s="121"/>
      <c r="G295" s="121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>
      <c r="A296" s="119"/>
      <c r="B296" s="120"/>
      <c r="C296" s="120"/>
      <c r="D296" s="121"/>
      <c r="E296" s="121"/>
      <c r="F296" s="121"/>
      <c r="G296" s="121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>
      <c r="A297" s="119"/>
      <c r="B297" s="120"/>
      <c r="C297" s="120"/>
      <c r="D297" s="121"/>
      <c r="E297" s="121"/>
      <c r="F297" s="121"/>
      <c r="G297" s="121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>
      <c r="A298" s="119"/>
      <c r="B298" s="120"/>
      <c r="C298" s="120"/>
      <c r="D298" s="121"/>
      <c r="E298" s="121"/>
      <c r="F298" s="121"/>
      <c r="G298" s="121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>
      <c r="A299" s="119"/>
      <c r="B299" s="120"/>
      <c r="C299" s="120"/>
      <c r="D299" s="121"/>
      <c r="E299" s="121"/>
      <c r="F299" s="121"/>
      <c r="G299" s="121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>
      <c r="A300" s="119"/>
      <c r="B300" s="120"/>
      <c r="C300" s="120"/>
      <c r="D300" s="121"/>
      <c r="E300" s="121"/>
      <c r="F300" s="121"/>
      <c r="G300" s="121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>
      <c r="A301" s="119"/>
      <c r="B301" s="120"/>
      <c r="C301" s="120"/>
      <c r="D301" s="121"/>
      <c r="E301" s="121"/>
      <c r="F301" s="121"/>
      <c r="G301" s="121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>
      <c r="A302" s="119"/>
      <c r="B302" s="120"/>
      <c r="C302" s="120"/>
      <c r="D302" s="121"/>
      <c r="E302" s="121"/>
      <c r="F302" s="121"/>
      <c r="G302" s="121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>
      <c r="A303" s="119"/>
      <c r="B303" s="120"/>
      <c r="C303" s="120"/>
      <c r="D303" s="121"/>
      <c r="E303" s="121"/>
      <c r="F303" s="121"/>
      <c r="G303" s="121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>
      <c r="A304" s="119"/>
      <c r="B304" s="120"/>
      <c r="C304" s="120"/>
      <c r="D304" s="121"/>
      <c r="E304" s="121"/>
      <c r="F304" s="121"/>
      <c r="G304" s="121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>
      <c r="A305" s="119"/>
      <c r="B305" s="120"/>
      <c r="C305" s="120"/>
      <c r="D305" s="121"/>
      <c r="E305" s="121"/>
      <c r="F305" s="121"/>
      <c r="G305" s="121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>
      <c r="A306" s="119"/>
      <c r="B306" s="120"/>
      <c r="C306" s="120"/>
      <c r="D306" s="121"/>
      <c r="E306" s="121"/>
      <c r="F306" s="121"/>
      <c r="G306" s="121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>
      <c r="A307" s="119"/>
      <c r="B307" s="120"/>
      <c r="C307" s="120"/>
      <c r="D307" s="121"/>
      <c r="E307" s="121"/>
      <c r="F307" s="121"/>
      <c r="G307" s="121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>
      <c r="A308" s="119"/>
      <c r="B308" s="120"/>
      <c r="C308" s="120"/>
      <c r="D308" s="121"/>
      <c r="E308" s="121"/>
      <c r="F308" s="121"/>
      <c r="G308" s="121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>
      <c r="A309" s="119"/>
      <c r="B309" s="120"/>
      <c r="C309" s="120"/>
      <c r="D309" s="121"/>
      <c r="E309" s="121"/>
      <c r="F309" s="121"/>
      <c r="G309" s="121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>
      <c r="A310" s="119"/>
      <c r="B310" s="120"/>
      <c r="C310" s="120"/>
      <c r="D310" s="121"/>
      <c r="E310" s="121"/>
      <c r="F310" s="121"/>
      <c r="G310" s="121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>
      <c r="A311" s="119"/>
      <c r="B311" s="120"/>
      <c r="C311" s="120"/>
      <c r="D311" s="121"/>
      <c r="E311" s="121"/>
      <c r="F311" s="121"/>
      <c r="G311" s="121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>
      <c r="A312" s="119"/>
      <c r="B312" s="120"/>
      <c r="C312" s="120"/>
      <c r="D312" s="121"/>
      <c r="E312" s="121"/>
      <c r="F312" s="121"/>
      <c r="G312" s="121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>
      <c r="A313" s="119"/>
      <c r="B313" s="120"/>
      <c r="C313" s="120"/>
      <c r="D313" s="121"/>
      <c r="E313" s="121"/>
      <c r="F313" s="121"/>
      <c r="G313" s="121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>
      <c r="A314" s="119"/>
      <c r="B314" s="120"/>
      <c r="C314" s="120"/>
      <c r="D314" s="121"/>
      <c r="E314" s="121"/>
      <c r="F314" s="121"/>
      <c r="G314" s="121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>
      <c r="A315" s="119"/>
      <c r="B315" s="120"/>
      <c r="C315" s="120"/>
      <c r="D315" s="121"/>
      <c r="E315" s="121"/>
      <c r="F315" s="121"/>
      <c r="G315" s="121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>
      <c r="A316" s="119"/>
      <c r="B316" s="120"/>
      <c r="C316" s="120"/>
      <c r="D316" s="121"/>
      <c r="E316" s="121"/>
      <c r="F316" s="121"/>
      <c r="G316" s="121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>
      <c r="A317" s="119"/>
      <c r="B317" s="120"/>
      <c r="C317" s="120"/>
      <c r="D317" s="121"/>
      <c r="E317" s="121"/>
      <c r="F317" s="121"/>
      <c r="G317" s="121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>
      <c r="A318" s="119"/>
      <c r="B318" s="120"/>
      <c r="C318" s="120"/>
      <c r="D318" s="121"/>
      <c r="E318" s="121"/>
      <c r="F318" s="121"/>
      <c r="G318" s="121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>
      <c r="A319" s="119"/>
      <c r="B319" s="120"/>
      <c r="C319" s="120"/>
      <c r="D319" s="121"/>
      <c r="E319" s="121"/>
      <c r="F319" s="121"/>
      <c r="G319" s="121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>
      <c r="A320" s="119"/>
      <c r="B320" s="120"/>
      <c r="C320" s="120"/>
      <c r="D320" s="121"/>
      <c r="E320" s="121"/>
      <c r="F320" s="121"/>
      <c r="G320" s="121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>
      <c r="A321" s="119"/>
      <c r="B321" s="120"/>
      <c r="C321" s="120"/>
      <c r="D321" s="121"/>
      <c r="E321" s="121"/>
      <c r="F321" s="121"/>
      <c r="G321" s="121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>
      <c r="A322" s="119"/>
      <c r="B322" s="120"/>
      <c r="C322" s="120"/>
      <c r="D322" s="121"/>
      <c r="E322" s="121"/>
      <c r="F322" s="121"/>
      <c r="G322" s="121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>
      <c r="A323" s="119"/>
      <c r="B323" s="120"/>
      <c r="C323" s="120"/>
      <c r="D323" s="121"/>
      <c r="E323" s="121"/>
      <c r="F323" s="121"/>
      <c r="G323" s="121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>
      <c r="A324" s="119"/>
      <c r="B324" s="120"/>
      <c r="C324" s="120"/>
      <c r="D324" s="121"/>
      <c r="E324" s="121"/>
      <c r="F324" s="121"/>
      <c r="G324" s="121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>
      <c r="A325" s="119"/>
      <c r="B325" s="120"/>
      <c r="C325" s="120"/>
      <c r="D325" s="121"/>
      <c r="E325" s="121"/>
      <c r="F325" s="121"/>
      <c r="G325" s="121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>
      <c r="A326" s="119"/>
      <c r="B326" s="120"/>
      <c r="C326" s="120"/>
      <c r="D326" s="121"/>
      <c r="E326" s="121"/>
      <c r="F326" s="121"/>
      <c r="G326" s="121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>
      <c r="A327" s="119"/>
      <c r="B327" s="120"/>
      <c r="C327" s="120"/>
      <c r="D327" s="121"/>
      <c r="E327" s="121"/>
      <c r="F327" s="121"/>
      <c r="G327" s="121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>
      <c r="A328" s="119"/>
      <c r="B328" s="120"/>
      <c r="C328" s="120"/>
      <c r="D328" s="121"/>
      <c r="E328" s="121"/>
      <c r="F328" s="121"/>
      <c r="G328" s="121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>
      <c r="A329" s="119"/>
      <c r="B329" s="120"/>
      <c r="C329" s="120"/>
      <c r="D329" s="121"/>
      <c r="E329" s="121"/>
      <c r="F329" s="121"/>
      <c r="G329" s="121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>
      <c r="A330" s="119"/>
      <c r="B330" s="120"/>
      <c r="C330" s="120"/>
      <c r="D330" s="121"/>
      <c r="E330" s="121"/>
      <c r="F330" s="121"/>
      <c r="G330" s="121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>
      <c r="A331" s="119"/>
      <c r="B331" s="120"/>
      <c r="C331" s="120"/>
      <c r="D331" s="121"/>
      <c r="E331" s="121"/>
      <c r="F331" s="121"/>
      <c r="G331" s="121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>
      <c r="A332" s="119"/>
      <c r="B332" s="120"/>
      <c r="C332" s="120"/>
      <c r="D332" s="121"/>
      <c r="E332" s="121"/>
      <c r="F332" s="121"/>
      <c r="G332" s="121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>
      <c r="A333" s="119"/>
      <c r="B333" s="120"/>
      <c r="C333" s="120"/>
      <c r="D333" s="121"/>
      <c r="E333" s="121"/>
      <c r="F333" s="121"/>
      <c r="G333" s="121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>
      <c r="A334" s="119"/>
      <c r="B334" s="120"/>
      <c r="C334" s="120"/>
      <c r="D334" s="121"/>
      <c r="E334" s="121"/>
      <c r="F334" s="121"/>
      <c r="G334" s="121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>
      <c r="A335" s="119"/>
      <c r="B335" s="120"/>
      <c r="C335" s="120"/>
      <c r="D335" s="121"/>
      <c r="E335" s="121"/>
      <c r="F335" s="121"/>
      <c r="G335" s="121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>
      <c r="A336" s="119"/>
      <c r="B336" s="120"/>
      <c r="C336" s="120"/>
      <c r="D336" s="121"/>
      <c r="E336" s="121"/>
      <c r="F336" s="121"/>
      <c r="G336" s="121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>
      <c r="A337" s="119"/>
      <c r="B337" s="120"/>
      <c r="C337" s="120"/>
      <c r="D337" s="121"/>
      <c r="E337" s="121"/>
      <c r="F337" s="121"/>
      <c r="G337" s="121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>
      <c r="A338" s="119"/>
      <c r="B338" s="120"/>
      <c r="C338" s="120"/>
      <c r="D338" s="121"/>
      <c r="E338" s="121"/>
      <c r="F338" s="121"/>
      <c r="G338" s="121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>
      <c r="A339" s="119"/>
      <c r="B339" s="120"/>
      <c r="C339" s="120"/>
      <c r="D339" s="121"/>
      <c r="E339" s="121"/>
      <c r="F339" s="121"/>
      <c r="G339" s="121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>
      <c r="A340" s="119"/>
      <c r="B340" s="120"/>
      <c r="C340" s="120"/>
      <c r="D340" s="121"/>
      <c r="E340" s="121"/>
      <c r="F340" s="121"/>
      <c r="G340" s="121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>
      <c r="A341" s="119"/>
      <c r="B341" s="120"/>
      <c r="C341" s="120"/>
      <c r="D341" s="121"/>
      <c r="E341" s="121"/>
      <c r="F341" s="121"/>
      <c r="G341" s="121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>
      <c r="A342" s="119"/>
      <c r="B342" s="120"/>
      <c r="C342" s="120"/>
      <c r="D342" s="121"/>
      <c r="E342" s="121"/>
      <c r="F342" s="121"/>
      <c r="G342" s="121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>
      <c r="A343" s="119"/>
      <c r="B343" s="120"/>
      <c r="C343" s="120"/>
      <c r="D343" s="121"/>
      <c r="E343" s="121"/>
      <c r="F343" s="121"/>
      <c r="G343" s="121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>
      <c r="A344" s="119"/>
      <c r="B344" s="120"/>
      <c r="C344" s="120"/>
      <c r="D344" s="121"/>
      <c r="E344" s="121"/>
      <c r="F344" s="121"/>
      <c r="G344" s="121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>
      <c r="A345" s="119"/>
      <c r="B345" s="120"/>
      <c r="C345" s="120"/>
      <c r="D345" s="121"/>
      <c r="E345" s="121"/>
      <c r="F345" s="121"/>
      <c r="G345" s="121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>
      <c r="A346" s="119"/>
      <c r="B346" s="120"/>
      <c r="C346" s="120"/>
      <c r="D346" s="121"/>
      <c r="E346" s="121"/>
      <c r="F346" s="121"/>
      <c r="G346" s="121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>
      <c r="A347" s="119"/>
      <c r="B347" s="120"/>
      <c r="C347" s="120"/>
      <c r="D347" s="121"/>
      <c r="E347" s="121"/>
      <c r="F347" s="121"/>
      <c r="G347" s="121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>
      <c r="A348" s="119"/>
      <c r="B348" s="120"/>
      <c r="C348" s="120"/>
      <c r="D348" s="121"/>
      <c r="E348" s="121"/>
      <c r="F348" s="121"/>
      <c r="G348" s="121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>
      <c r="A349" s="119"/>
      <c r="B349" s="120"/>
      <c r="C349" s="120"/>
      <c r="D349" s="121"/>
      <c r="E349" s="121"/>
      <c r="F349" s="121"/>
      <c r="G349" s="121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>
      <c r="A350" s="119"/>
      <c r="B350" s="120"/>
      <c r="C350" s="120"/>
      <c r="D350" s="121"/>
      <c r="E350" s="121"/>
      <c r="F350" s="121"/>
      <c r="G350" s="121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>
      <c r="A351" s="119"/>
      <c r="B351" s="120"/>
      <c r="C351" s="120"/>
      <c r="D351" s="121"/>
      <c r="E351" s="121"/>
      <c r="F351" s="121"/>
      <c r="G351" s="121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>
      <c r="A352" s="119"/>
      <c r="B352" s="120"/>
      <c r="C352" s="120"/>
      <c r="D352" s="121"/>
      <c r="E352" s="121"/>
      <c r="F352" s="121"/>
      <c r="G352" s="121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>
      <c r="A353" s="119"/>
      <c r="B353" s="120"/>
      <c r="C353" s="120"/>
      <c r="D353" s="121"/>
      <c r="E353" s="121"/>
      <c r="F353" s="121"/>
      <c r="G353" s="121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>
      <c r="A354" s="119"/>
      <c r="B354" s="120"/>
      <c r="C354" s="120"/>
      <c r="D354" s="121"/>
      <c r="E354" s="121"/>
      <c r="F354" s="121"/>
      <c r="G354" s="121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>
      <c r="A355" s="119"/>
      <c r="B355" s="120"/>
      <c r="C355" s="120"/>
      <c r="D355" s="121"/>
      <c r="E355" s="121"/>
      <c r="F355" s="121"/>
      <c r="G355" s="121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>
      <c r="A356" s="119"/>
      <c r="B356" s="120"/>
      <c r="C356" s="120"/>
      <c r="D356" s="121"/>
      <c r="E356" s="121"/>
      <c r="F356" s="121"/>
      <c r="G356" s="121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>
      <c r="A357" s="119"/>
      <c r="B357" s="120"/>
      <c r="C357" s="120"/>
      <c r="D357" s="121"/>
      <c r="E357" s="121"/>
      <c r="F357" s="121"/>
      <c r="G357" s="121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>
      <c r="A358" s="119"/>
      <c r="B358" s="120"/>
      <c r="C358" s="120"/>
      <c r="D358" s="121"/>
      <c r="E358" s="121"/>
      <c r="F358" s="121"/>
      <c r="G358" s="121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>
      <c r="A359" s="119"/>
      <c r="B359" s="120"/>
      <c r="C359" s="120"/>
      <c r="D359" s="121"/>
      <c r="E359" s="121"/>
      <c r="F359" s="121"/>
      <c r="G359" s="121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>
      <c r="A360" s="119"/>
      <c r="B360" s="120"/>
      <c r="C360" s="120"/>
      <c r="D360" s="121"/>
      <c r="E360" s="121"/>
      <c r="F360" s="121"/>
      <c r="G360" s="121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>
      <c r="A361" s="119"/>
      <c r="B361" s="120"/>
      <c r="C361" s="120"/>
      <c r="D361" s="121"/>
      <c r="E361" s="121"/>
      <c r="F361" s="121"/>
      <c r="G361" s="121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>
      <c r="A362" s="119"/>
      <c r="B362" s="120"/>
      <c r="C362" s="120"/>
      <c r="D362" s="121"/>
      <c r="E362" s="121"/>
      <c r="F362" s="121"/>
      <c r="G362" s="121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>
      <c r="A363" s="119"/>
      <c r="B363" s="120"/>
      <c r="C363" s="120"/>
      <c r="D363" s="121"/>
      <c r="E363" s="121"/>
      <c r="F363" s="121"/>
      <c r="G363" s="121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>
      <c r="A364" s="119"/>
      <c r="B364" s="120"/>
      <c r="C364" s="120"/>
      <c r="D364" s="121"/>
      <c r="E364" s="121"/>
      <c r="F364" s="121"/>
      <c r="G364" s="121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>
      <c r="A365" s="119"/>
      <c r="B365" s="120"/>
      <c r="C365" s="120"/>
      <c r="D365" s="121"/>
      <c r="E365" s="121"/>
      <c r="F365" s="121"/>
      <c r="G365" s="121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>
      <c r="A366" s="119"/>
      <c r="B366" s="120"/>
      <c r="C366" s="120"/>
      <c r="D366" s="121"/>
      <c r="E366" s="121"/>
      <c r="F366" s="121"/>
      <c r="G366" s="121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>
      <c r="A367" s="119"/>
      <c r="B367" s="120"/>
      <c r="C367" s="120"/>
      <c r="D367" s="121"/>
      <c r="E367" s="121"/>
      <c r="F367" s="121"/>
      <c r="G367" s="121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>
      <c r="A368" s="119"/>
      <c r="B368" s="120"/>
      <c r="C368" s="120"/>
      <c r="D368" s="121"/>
      <c r="E368" s="121"/>
      <c r="F368" s="121"/>
      <c r="G368" s="121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>
      <c r="A369" s="119"/>
      <c r="B369" s="120"/>
      <c r="C369" s="120"/>
      <c r="D369" s="121"/>
      <c r="E369" s="121"/>
      <c r="F369" s="121"/>
      <c r="G369" s="121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>
      <c r="A370" s="119"/>
      <c r="B370" s="120"/>
      <c r="C370" s="120"/>
      <c r="D370" s="121"/>
      <c r="E370" s="121"/>
      <c r="F370" s="121"/>
      <c r="G370" s="121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>
      <c r="A371" s="119"/>
      <c r="B371" s="120"/>
      <c r="C371" s="120"/>
      <c r="D371" s="121"/>
      <c r="E371" s="121"/>
      <c r="F371" s="121"/>
      <c r="G371" s="121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>
      <c r="A372" s="119"/>
      <c r="B372" s="120"/>
      <c r="C372" s="120"/>
      <c r="D372" s="121"/>
      <c r="E372" s="121"/>
      <c r="F372" s="121"/>
      <c r="G372" s="121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>
      <c r="A373" s="119"/>
      <c r="B373" s="120"/>
      <c r="C373" s="120"/>
      <c r="D373" s="121"/>
      <c r="E373" s="121"/>
      <c r="F373" s="121"/>
      <c r="G373" s="121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>
      <c r="A374" s="119"/>
      <c r="B374" s="120"/>
      <c r="C374" s="120"/>
      <c r="D374" s="121"/>
      <c r="E374" s="121"/>
      <c r="F374" s="121"/>
      <c r="G374" s="121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>
      <c r="A375" s="119"/>
      <c r="B375" s="120"/>
      <c r="C375" s="120"/>
      <c r="D375" s="121"/>
      <c r="E375" s="121"/>
      <c r="F375" s="121"/>
      <c r="G375" s="121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>
      <c r="A376" s="119"/>
      <c r="B376" s="120"/>
      <c r="C376" s="120"/>
      <c r="D376" s="121"/>
      <c r="E376" s="121"/>
      <c r="F376" s="121"/>
      <c r="G376" s="121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>
      <c r="A377" s="119"/>
      <c r="B377" s="120"/>
      <c r="C377" s="120"/>
      <c r="D377" s="121"/>
      <c r="E377" s="121"/>
      <c r="F377" s="121"/>
      <c r="G377" s="121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>
      <c r="A378" s="119"/>
      <c r="B378" s="120"/>
      <c r="C378" s="120"/>
      <c r="D378" s="121"/>
      <c r="E378" s="121"/>
      <c r="F378" s="121"/>
      <c r="G378" s="121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>
      <c r="A379" s="119"/>
      <c r="B379" s="120"/>
      <c r="C379" s="120"/>
      <c r="D379" s="121"/>
      <c r="E379" s="121"/>
      <c r="F379" s="121"/>
      <c r="G379" s="121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>
      <c r="A380" s="119"/>
      <c r="B380" s="120"/>
      <c r="C380" s="120"/>
      <c r="D380" s="121"/>
      <c r="E380" s="121"/>
      <c r="F380" s="121"/>
      <c r="G380" s="121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>
      <c r="A381" s="119"/>
      <c r="B381" s="120"/>
      <c r="C381" s="120"/>
      <c r="D381" s="121"/>
      <c r="E381" s="121"/>
      <c r="F381" s="121"/>
      <c r="G381" s="121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>
      <c r="A382" s="119"/>
      <c r="B382" s="120"/>
      <c r="C382" s="120"/>
      <c r="D382" s="121"/>
      <c r="E382" s="121"/>
      <c r="F382" s="121"/>
      <c r="G382" s="121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>
      <c r="A383" s="119"/>
      <c r="B383" s="120"/>
      <c r="C383" s="120"/>
      <c r="D383" s="121"/>
      <c r="E383" s="121"/>
      <c r="F383" s="121"/>
      <c r="G383" s="121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>
      <c r="A384" s="119"/>
      <c r="B384" s="120"/>
      <c r="C384" s="120"/>
      <c r="D384" s="121"/>
      <c r="E384" s="121"/>
      <c r="F384" s="121"/>
      <c r="G384" s="121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>
      <c r="A385" s="119"/>
      <c r="B385" s="120"/>
      <c r="C385" s="120"/>
      <c r="D385" s="121"/>
      <c r="E385" s="121"/>
      <c r="F385" s="121"/>
      <c r="G385" s="121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>
      <c r="A386" s="119"/>
      <c r="B386" s="120"/>
      <c r="C386" s="120"/>
      <c r="D386" s="121"/>
      <c r="E386" s="121"/>
      <c r="F386" s="121"/>
      <c r="G386" s="121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>
      <c r="A387" s="119"/>
      <c r="B387" s="120"/>
      <c r="C387" s="120"/>
      <c r="D387" s="121"/>
      <c r="E387" s="121"/>
      <c r="F387" s="121"/>
      <c r="G387" s="121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>
      <c r="A388" s="119"/>
      <c r="B388" s="120"/>
      <c r="C388" s="120"/>
      <c r="D388" s="121"/>
      <c r="E388" s="121"/>
      <c r="F388" s="121"/>
      <c r="G388" s="121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>
      <c r="A389" s="119"/>
      <c r="B389" s="120"/>
      <c r="C389" s="120"/>
      <c r="D389" s="121"/>
      <c r="E389" s="121"/>
      <c r="F389" s="121"/>
      <c r="G389" s="121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>
      <c r="A390" s="119"/>
      <c r="B390" s="120"/>
      <c r="C390" s="120"/>
      <c r="D390" s="121"/>
      <c r="E390" s="121"/>
      <c r="F390" s="121"/>
      <c r="G390" s="121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>
      <c r="A391" s="119"/>
      <c r="B391" s="120"/>
      <c r="C391" s="120"/>
      <c r="D391" s="121"/>
      <c r="E391" s="121"/>
      <c r="F391" s="121"/>
      <c r="G391" s="121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>
      <c r="A392" s="119"/>
      <c r="B392" s="120"/>
      <c r="C392" s="120"/>
      <c r="D392" s="121"/>
      <c r="E392" s="121"/>
      <c r="F392" s="121"/>
      <c r="G392" s="121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>
      <c r="A393" s="119"/>
      <c r="B393" s="120"/>
      <c r="C393" s="120"/>
      <c r="D393" s="121"/>
      <c r="E393" s="121"/>
      <c r="F393" s="121"/>
      <c r="G393" s="121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>
      <c r="A394" s="119"/>
      <c r="B394" s="120"/>
      <c r="C394" s="120"/>
      <c r="D394" s="121"/>
      <c r="E394" s="121"/>
      <c r="F394" s="121"/>
      <c r="G394" s="121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>
      <c r="A395" s="119"/>
      <c r="B395" s="120"/>
      <c r="C395" s="120"/>
      <c r="D395" s="121"/>
      <c r="E395" s="121"/>
      <c r="F395" s="121"/>
      <c r="G395" s="121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>
      <c r="A396" s="119"/>
      <c r="B396" s="120"/>
      <c r="C396" s="120"/>
      <c r="D396" s="121"/>
      <c r="E396" s="121"/>
      <c r="F396" s="121"/>
      <c r="G396" s="121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>
      <c r="A397" s="119"/>
      <c r="B397" s="120"/>
      <c r="C397" s="120"/>
      <c r="D397" s="121"/>
      <c r="E397" s="121"/>
      <c r="F397" s="121"/>
      <c r="G397" s="121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>
      <c r="A398" s="119"/>
      <c r="B398" s="120"/>
      <c r="C398" s="120"/>
      <c r="D398" s="121"/>
      <c r="E398" s="121"/>
      <c r="F398" s="121"/>
      <c r="G398" s="121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>
      <c r="A399" s="119"/>
      <c r="B399" s="120"/>
      <c r="C399" s="120"/>
      <c r="D399" s="121"/>
      <c r="E399" s="121"/>
      <c r="F399" s="121"/>
      <c r="G399" s="121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>
      <c r="A400" s="119"/>
      <c r="B400" s="120"/>
      <c r="C400" s="120"/>
      <c r="D400" s="121"/>
      <c r="E400" s="121"/>
      <c r="F400" s="121"/>
      <c r="G400" s="121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>
      <c r="A401" s="119"/>
      <c r="B401" s="120"/>
      <c r="C401" s="120"/>
      <c r="D401" s="121"/>
      <c r="E401" s="121"/>
      <c r="F401" s="121"/>
      <c r="G401" s="121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>
      <c r="A402" s="119"/>
      <c r="B402" s="120"/>
      <c r="C402" s="120"/>
      <c r="D402" s="121"/>
      <c r="E402" s="121"/>
      <c r="F402" s="121"/>
      <c r="G402" s="121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>
      <c r="A403" s="119"/>
      <c r="B403" s="120"/>
      <c r="C403" s="120"/>
      <c r="D403" s="121"/>
      <c r="E403" s="121"/>
      <c r="F403" s="121"/>
      <c r="G403" s="121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>
      <c r="A404" s="119"/>
      <c r="B404" s="120"/>
      <c r="C404" s="120"/>
      <c r="D404" s="121"/>
      <c r="E404" s="121"/>
      <c r="F404" s="121"/>
      <c r="G404" s="121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>
      <c r="A405" s="119"/>
      <c r="B405" s="120"/>
      <c r="C405" s="120"/>
      <c r="D405" s="121"/>
      <c r="E405" s="121"/>
      <c r="F405" s="121"/>
      <c r="G405" s="121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>
      <c r="A406" s="119"/>
      <c r="B406" s="120"/>
      <c r="C406" s="120"/>
      <c r="D406" s="121"/>
      <c r="E406" s="121"/>
      <c r="F406" s="121"/>
      <c r="G406" s="121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>
      <c r="A407" s="119"/>
      <c r="B407" s="120"/>
      <c r="C407" s="120"/>
      <c r="D407" s="121"/>
      <c r="E407" s="121"/>
      <c r="F407" s="121"/>
      <c r="G407" s="121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>
      <c r="A408" s="119"/>
      <c r="B408" s="120"/>
      <c r="C408" s="120"/>
      <c r="D408" s="121"/>
      <c r="E408" s="121"/>
      <c r="F408" s="121"/>
      <c r="G408" s="121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>
      <c r="A409" s="119"/>
      <c r="B409" s="120"/>
      <c r="C409" s="120"/>
      <c r="D409" s="121"/>
      <c r="E409" s="121"/>
      <c r="F409" s="121"/>
      <c r="G409" s="121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>
      <c r="A410" s="119"/>
      <c r="B410" s="120"/>
      <c r="C410" s="120"/>
      <c r="D410" s="121"/>
      <c r="E410" s="121"/>
      <c r="F410" s="121"/>
      <c r="G410" s="121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>
      <c r="A411" s="119"/>
      <c r="B411" s="120"/>
      <c r="C411" s="120"/>
      <c r="D411" s="121"/>
      <c r="E411" s="121"/>
      <c r="F411" s="121"/>
      <c r="G411" s="121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>
      <c r="A412" s="119"/>
      <c r="B412" s="120"/>
      <c r="C412" s="120"/>
      <c r="D412" s="121"/>
      <c r="E412" s="121"/>
      <c r="F412" s="121"/>
      <c r="G412" s="121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>
      <c r="A413" s="119"/>
      <c r="B413" s="120"/>
      <c r="C413" s="120"/>
      <c r="D413" s="121"/>
      <c r="E413" s="121"/>
      <c r="F413" s="121"/>
      <c r="G413" s="121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>
      <c r="A414" s="119"/>
      <c r="B414" s="120"/>
      <c r="C414" s="120"/>
      <c r="D414" s="121"/>
      <c r="E414" s="121"/>
      <c r="F414" s="121"/>
      <c r="G414" s="121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>
      <c r="A415" s="119"/>
      <c r="B415" s="120"/>
      <c r="C415" s="120"/>
      <c r="D415" s="121"/>
      <c r="E415" s="121"/>
      <c r="F415" s="121"/>
      <c r="G415" s="121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>
      <c r="A416" s="119"/>
      <c r="B416" s="120"/>
      <c r="C416" s="120"/>
      <c r="D416" s="121"/>
      <c r="E416" s="121"/>
      <c r="F416" s="121"/>
      <c r="G416" s="121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>
      <c r="A417" s="119"/>
      <c r="B417" s="120"/>
      <c r="C417" s="120"/>
      <c r="D417" s="121"/>
      <c r="E417" s="121"/>
      <c r="F417" s="121"/>
      <c r="G417" s="121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>
      <c r="A418" s="119"/>
      <c r="B418" s="120"/>
      <c r="C418" s="120"/>
      <c r="D418" s="121"/>
      <c r="E418" s="121"/>
      <c r="F418" s="121"/>
      <c r="G418" s="121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>
      <c r="A419" s="119"/>
      <c r="B419" s="120"/>
      <c r="C419" s="120"/>
      <c r="D419" s="121"/>
      <c r="E419" s="121"/>
      <c r="F419" s="121"/>
      <c r="G419" s="121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>
      <c r="A420" s="119"/>
      <c r="B420" s="120"/>
      <c r="C420" s="120"/>
      <c r="D420" s="121"/>
      <c r="E420" s="121"/>
      <c r="F420" s="121"/>
      <c r="G420" s="121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>
      <c r="A421" s="119"/>
      <c r="B421" s="120"/>
      <c r="C421" s="120"/>
      <c r="D421" s="121"/>
      <c r="E421" s="121"/>
      <c r="F421" s="121"/>
      <c r="G421" s="121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>
      <c r="A422" s="119"/>
      <c r="B422" s="120"/>
      <c r="C422" s="120"/>
      <c r="D422" s="121"/>
      <c r="E422" s="121"/>
      <c r="F422" s="121"/>
      <c r="G422" s="121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>
      <c r="A423" s="119"/>
      <c r="B423" s="120"/>
      <c r="C423" s="120"/>
      <c r="D423" s="121"/>
      <c r="E423" s="121"/>
      <c r="F423" s="121"/>
      <c r="G423" s="121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>
      <c r="A424" s="119"/>
      <c r="B424" s="120"/>
      <c r="C424" s="120"/>
      <c r="D424" s="121"/>
      <c r="E424" s="121"/>
      <c r="F424" s="121"/>
      <c r="G424" s="121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>
      <c r="A425" s="119"/>
      <c r="B425" s="120"/>
      <c r="C425" s="120"/>
      <c r="D425" s="121"/>
      <c r="E425" s="121"/>
      <c r="F425" s="121"/>
      <c r="G425" s="121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>
      <c r="A426" s="119"/>
      <c r="B426" s="120"/>
      <c r="C426" s="120"/>
      <c r="D426" s="121"/>
      <c r="E426" s="121"/>
      <c r="F426" s="121"/>
      <c r="G426" s="121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>
      <c r="A427" s="119"/>
      <c r="B427" s="120"/>
      <c r="C427" s="120"/>
      <c r="D427" s="121"/>
      <c r="E427" s="121"/>
      <c r="F427" s="121"/>
      <c r="G427" s="121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>
      <c r="A428" s="119"/>
      <c r="B428" s="120"/>
      <c r="C428" s="120"/>
      <c r="D428" s="121"/>
      <c r="E428" s="121"/>
      <c r="F428" s="121"/>
      <c r="G428" s="121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>
      <c r="A429" s="119"/>
      <c r="B429" s="120"/>
      <c r="C429" s="120"/>
      <c r="D429" s="121"/>
      <c r="E429" s="121"/>
      <c r="F429" s="121"/>
      <c r="G429" s="121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>
      <c r="A430" s="119"/>
      <c r="B430" s="120"/>
      <c r="C430" s="120"/>
      <c r="D430" s="121"/>
      <c r="E430" s="121"/>
      <c r="F430" s="121"/>
      <c r="G430" s="121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>
      <c r="A431" s="119"/>
      <c r="B431" s="120"/>
      <c r="C431" s="120"/>
      <c r="D431" s="121"/>
      <c r="E431" s="121"/>
      <c r="F431" s="121"/>
      <c r="G431" s="121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>
      <c r="A432" s="119"/>
      <c r="B432" s="120"/>
      <c r="C432" s="120"/>
      <c r="D432" s="121"/>
      <c r="E432" s="121"/>
      <c r="F432" s="121"/>
      <c r="G432" s="121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>
      <c r="A433" s="119"/>
      <c r="B433" s="120"/>
      <c r="C433" s="120"/>
      <c r="D433" s="121"/>
      <c r="E433" s="121"/>
      <c r="F433" s="121"/>
      <c r="G433" s="121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>
      <c r="A434" s="119"/>
      <c r="B434" s="120"/>
      <c r="C434" s="120"/>
      <c r="D434" s="121"/>
      <c r="E434" s="121"/>
      <c r="F434" s="121"/>
      <c r="G434" s="121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>
      <c r="A435" s="119"/>
      <c r="B435" s="120"/>
      <c r="C435" s="120"/>
      <c r="D435" s="121"/>
      <c r="E435" s="121"/>
      <c r="F435" s="121"/>
      <c r="G435" s="121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>
      <c r="A436" s="119"/>
      <c r="B436" s="120"/>
      <c r="C436" s="120"/>
      <c r="D436" s="121"/>
      <c r="E436" s="121"/>
      <c r="F436" s="121"/>
      <c r="G436" s="121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>
      <c r="A437" s="119"/>
      <c r="B437" s="120"/>
      <c r="C437" s="120"/>
      <c r="D437" s="121"/>
      <c r="E437" s="121"/>
      <c r="F437" s="121"/>
      <c r="G437" s="121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>
      <c r="A438" s="119"/>
      <c r="B438" s="120"/>
      <c r="C438" s="120"/>
      <c r="D438" s="121"/>
      <c r="E438" s="121"/>
      <c r="F438" s="121"/>
      <c r="G438" s="121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>
      <c r="A439" s="119"/>
      <c r="B439" s="120"/>
      <c r="C439" s="120"/>
      <c r="D439" s="121"/>
      <c r="E439" s="121"/>
      <c r="F439" s="121"/>
      <c r="G439" s="121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>
      <c r="A440" s="119"/>
      <c r="B440" s="120"/>
      <c r="C440" s="120"/>
      <c r="D440" s="121"/>
      <c r="E440" s="121"/>
      <c r="F440" s="121"/>
      <c r="G440" s="121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>
      <c r="A441" s="119"/>
      <c r="B441" s="120"/>
      <c r="C441" s="120"/>
      <c r="D441" s="121"/>
      <c r="E441" s="121"/>
      <c r="F441" s="121"/>
      <c r="G441" s="121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>
      <c r="A442" s="119"/>
      <c r="B442" s="120"/>
      <c r="C442" s="120"/>
      <c r="D442" s="121"/>
      <c r="E442" s="121"/>
      <c r="F442" s="121"/>
      <c r="G442" s="121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>
      <c r="A443" s="119"/>
      <c r="B443" s="120"/>
      <c r="C443" s="120"/>
      <c r="D443" s="121"/>
      <c r="E443" s="121"/>
      <c r="F443" s="121"/>
      <c r="G443" s="121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>
      <c r="A444" s="119"/>
      <c r="B444" s="120"/>
      <c r="C444" s="120"/>
      <c r="D444" s="121"/>
      <c r="E444" s="121"/>
      <c r="F444" s="121"/>
      <c r="G444" s="121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>
      <c r="A445" s="119"/>
      <c r="B445" s="120"/>
      <c r="C445" s="120"/>
      <c r="D445" s="121"/>
      <c r="E445" s="121"/>
      <c r="F445" s="121"/>
      <c r="G445" s="121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>
      <c r="A446" s="119"/>
      <c r="B446" s="120"/>
      <c r="C446" s="120"/>
      <c r="D446" s="121"/>
      <c r="E446" s="121"/>
      <c r="F446" s="121"/>
      <c r="G446" s="121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>
      <c r="A447" s="119"/>
      <c r="B447" s="120"/>
      <c r="C447" s="120"/>
      <c r="D447" s="121"/>
      <c r="E447" s="121"/>
      <c r="F447" s="121"/>
      <c r="G447" s="121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>
      <c r="A448" s="119"/>
      <c r="B448" s="120"/>
      <c r="C448" s="120"/>
      <c r="D448" s="121"/>
      <c r="E448" s="121"/>
      <c r="F448" s="121"/>
      <c r="G448" s="121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>
      <c r="A449" s="119"/>
      <c r="B449" s="120"/>
      <c r="C449" s="120"/>
      <c r="D449" s="121"/>
      <c r="E449" s="121"/>
      <c r="F449" s="121"/>
      <c r="G449" s="121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>
      <c r="A450" s="119"/>
      <c r="B450" s="120"/>
      <c r="C450" s="120"/>
      <c r="D450" s="121"/>
      <c r="E450" s="121"/>
      <c r="F450" s="121"/>
      <c r="G450" s="121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>
      <c r="A451" s="119"/>
      <c r="B451" s="120"/>
      <c r="C451" s="120"/>
      <c r="D451" s="121"/>
      <c r="E451" s="121"/>
      <c r="F451" s="121"/>
      <c r="G451" s="121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>
      <c r="A452" s="119"/>
      <c r="B452" s="120"/>
      <c r="C452" s="120"/>
      <c r="D452" s="121"/>
      <c r="E452" s="121"/>
      <c r="F452" s="121"/>
      <c r="G452" s="121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>
      <c r="A453" s="119"/>
      <c r="B453" s="120"/>
      <c r="C453" s="120"/>
      <c r="D453" s="121"/>
      <c r="E453" s="121"/>
      <c r="F453" s="121"/>
      <c r="G453" s="121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>
      <c r="A454" s="119"/>
      <c r="B454" s="120"/>
      <c r="C454" s="120"/>
      <c r="D454" s="121"/>
      <c r="E454" s="121"/>
      <c r="F454" s="121"/>
      <c r="G454" s="121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>
      <c r="A455" s="119"/>
      <c r="B455" s="120"/>
      <c r="C455" s="120"/>
      <c r="D455" s="121"/>
      <c r="E455" s="121"/>
      <c r="F455" s="121"/>
      <c r="G455" s="121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>
      <c r="A456" s="119"/>
      <c r="B456" s="120"/>
      <c r="C456" s="120"/>
      <c r="D456" s="121"/>
      <c r="E456" s="121"/>
      <c r="F456" s="121"/>
      <c r="G456" s="121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>
      <c r="A457" s="119"/>
      <c r="B457" s="120"/>
      <c r="C457" s="120"/>
      <c r="D457" s="121"/>
      <c r="E457" s="121"/>
      <c r="F457" s="121"/>
      <c r="G457" s="121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>
      <c r="A458" s="119"/>
      <c r="B458" s="120"/>
      <c r="C458" s="120"/>
      <c r="D458" s="121"/>
      <c r="E458" s="121"/>
      <c r="F458" s="121"/>
      <c r="G458" s="121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>
      <c r="A459" s="119"/>
      <c r="B459" s="120"/>
      <c r="C459" s="120"/>
      <c r="D459" s="121"/>
      <c r="E459" s="121"/>
      <c r="F459" s="121"/>
      <c r="G459" s="121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>
      <c r="A460" s="119"/>
      <c r="B460" s="120"/>
      <c r="C460" s="120"/>
      <c r="D460" s="121"/>
      <c r="E460" s="121"/>
      <c r="F460" s="121"/>
      <c r="G460" s="121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>
      <c r="A461" s="119"/>
      <c r="B461" s="120"/>
      <c r="C461" s="120"/>
      <c r="D461" s="121"/>
      <c r="E461" s="121"/>
      <c r="F461" s="121"/>
      <c r="G461" s="121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>
      <c r="A462" s="119"/>
      <c r="B462" s="120"/>
      <c r="C462" s="120"/>
      <c r="D462" s="121"/>
      <c r="E462" s="121"/>
      <c r="F462" s="121"/>
      <c r="G462" s="121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>
      <c r="A463" s="119"/>
      <c r="B463" s="120"/>
      <c r="C463" s="120"/>
      <c r="D463" s="121"/>
      <c r="E463" s="121"/>
      <c r="F463" s="121"/>
      <c r="G463" s="121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>
      <c r="A464" s="119"/>
      <c r="B464" s="120"/>
      <c r="C464" s="120"/>
      <c r="D464" s="121"/>
      <c r="E464" s="121"/>
      <c r="F464" s="121"/>
      <c r="G464" s="121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>
      <c r="A465" s="119"/>
      <c r="B465" s="120"/>
      <c r="C465" s="120"/>
      <c r="D465" s="121"/>
      <c r="E465" s="121"/>
      <c r="F465" s="121"/>
      <c r="G465" s="121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>
      <c r="A466" s="119"/>
      <c r="B466" s="120"/>
      <c r="C466" s="120"/>
      <c r="D466" s="121"/>
      <c r="E466" s="121"/>
      <c r="F466" s="121"/>
      <c r="G466" s="121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>
      <c r="A467" s="119"/>
      <c r="B467" s="120"/>
      <c r="C467" s="120"/>
      <c r="D467" s="121"/>
      <c r="E467" s="121"/>
      <c r="F467" s="121"/>
      <c r="G467" s="121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>
      <c r="A468" s="119"/>
      <c r="B468" s="120"/>
      <c r="C468" s="120"/>
      <c r="D468" s="121"/>
      <c r="E468" s="121"/>
      <c r="F468" s="121"/>
      <c r="G468" s="121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>
      <c r="A469" s="119"/>
      <c r="B469" s="120"/>
      <c r="C469" s="120"/>
      <c r="D469" s="121"/>
      <c r="E469" s="121"/>
      <c r="F469" s="121"/>
      <c r="G469" s="121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>
      <c r="A470" s="119"/>
      <c r="B470" s="120"/>
      <c r="C470" s="120"/>
      <c r="D470" s="121"/>
      <c r="E470" s="121"/>
      <c r="F470" s="121"/>
      <c r="G470" s="121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>
      <c r="A471" s="119"/>
      <c r="B471" s="120"/>
      <c r="C471" s="120"/>
      <c r="D471" s="121"/>
      <c r="E471" s="121"/>
      <c r="F471" s="121"/>
      <c r="G471" s="121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>
      <c r="A472" s="119"/>
      <c r="B472" s="120"/>
      <c r="C472" s="120"/>
      <c r="D472" s="121"/>
      <c r="E472" s="121"/>
      <c r="F472" s="121"/>
      <c r="G472" s="121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>
      <c r="A473" s="119"/>
      <c r="B473" s="120"/>
      <c r="C473" s="120"/>
      <c r="D473" s="121"/>
      <c r="E473" s="121"/>
      <c r="F473" s="121"/>
      <c r="G473" s="121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>
      <c r="A474" s="119"/>
      <c r="B474" s="120"/>
      <c r="C474" s="120"/>
      <c r="D474" s="121"/>
      <c r="E474" s="121"/>
      <c r="F474" s="121"/>
      <c r="G474" s="121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>
      <c r="A475" s="119"/>
      <c r="B475" s="120"/>
      <c r="C475" s="120"/>
      <c r="D475" s="121"/>
      <c r="E475" s="121"/>
      <c r="F475" s="121"/>
      <c r="G475" s="121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>
      <c r="A476" s="119"/>
      <c r="B476" s="120"/>
      <c r="C476" s="120"/>
      <c r="D476" s="121"/>
      <c r="E476" s="121"/>
      <c r="F476" s="121"/>
      <c r="G476" s="121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>
      <c r="A477" s="119"/>
      <c r="B477" s="120"/>
      <c r="C477" s="120"/>
      <c r="D477" s="121"/>
      <c r="E477" s="121"/>
      <c r="F477" s="121"/>
      <c r="G477" s="121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>
      <c r="A478" s="119"/>
      <c r="B478" s="120"/>
      <c r="C478" s="120"/>
      <c r="D478" s="121"/>
      <c r="E478" s="121"/>
      <c r="F478" s="121"/>
      <c r="G478" s="121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>
      <c r="A479" s="119"/>
      <c r="B479" s="120"/>
      <c r="C479" s="120"/>
      <c r="D479" s="121"/>
      <c r="E479" s="121"/>
      <c r="F479" s="121"/>
      <c r="G479" s="121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>
      <c r="A480" s="119"/>
      <c r="B480" s="120"/>
      <c r="C480" s="120"/>
      <c r="D480" s="121"/>
      <c r="E480" s="121"/>
      <c r="F480" s="121"/>
      <c r="G480" s="121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>
      <c r="A481" s="119"/>
      <c r="B481" s="120"/>
      <c r="C481" s="120"/>
      <c r="D481" s="121"/>
      <c r="E481" s="121"/>
      <c r="F481" s="121"/>
      <c r="G481" s="121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>
      <c r="A482" s="119"/>
      <c r="B482" s="120"/>
      <c r="C482" s="120"/>
      <c r="D482" s="121"/>
      <c r="E482" s="121"/>
      <c r="F482" s="121"/>
      <c r="G482" s="121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>
      <c r="A483" s="119"/>
      <c r="B483" s="120"/>
      <c r="C483" s="120"/>
      <c r="D483" s="121"/>
      <c r="E483" s="121"/>
      <c r="F483" s="121"/>
      <c r="G483" s="121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>
      <c r="A484" s="119"/>
      <c r="B484" s="120"/>
      <c r="C484" s="120"/>
      <c r="D484" s="121"/>
      <c r="E484" s="121"/>
      <c r="F484" s="121"/>
      <c r="G484" s="121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>
      <c r="A485" s="119"/>
      <c r="B485" s="120"/>
      <c r="C485" s="120"/>
      <c r="D485" s="121"/>
      <c r="E485" s="121"/>
      <c r="F485" s="121"/>
      <c r="G485" s="121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>
      <c r="A486" s="119"/>
      <c r="B486" s="120"/>
      <c r="C486" s="120"/>
      <c r="D486" s="121"/>
      <c r="E486" s="121"/>
      <c r="F486" s="121"/>
      <c r="G486" s="121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>
      <c r="A487" s="119"/>
      <c r="B487" s="120"/>
      <c r="C487" s="120"/>
      <c r="D487" s="121"/>
      <c r="E487" s="121"/>
      <c r="F487" s="121"/>
      <c r="G487" s="121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>
      <c r="A488" s="119"/>
      <c r="B488" s="120"/>
      <c r="C488" s="120"/>
      <c r="D488" s="121"/>
      <c r="E488" s="121"/>
      <c r="F488" s="121"/>
      <c r="G488" s="121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>
      <c r="A489" s="119"/>
      <c r="B489" s="120"/>
      <c r="C489" s="120"/>
      <c r="D489" s="121"/>
      <c r="E489" s="121"/>
      <c r="F489" s="121"/>
      <c r="G489" s="121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>
      <c r="A490" s="119"/>
      <c r="B490" s="120"/>
      <c r="C490" s="120"/>
      <c r="D490" s="121"/>
      <c r="E490" s="121"/>
      <c r="F490" s="121"/>
      <c r="G490" s="121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>
      <c r="A491" s="119"/>
      <c r="B491" s="120"/>
      <c r="C491" s="120"/>
      <c r="D491" s="121"/>
      <c r="E491" s="121"/>
      <c r="F491" s="121"/>
      <c r="G491" s="121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>
      <c r="A492" s="119"/>
      <c r="B492" s="120"/>
      <c r="C492" s="120"/>
      <c r="D492" s="121"/>
      <c r="E492" s="121"/>
      <c r="F492" s="121"/>
      <c r="G492" s="121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>
      <c r="A493" s="119"/>
      <c r="B493" s="120"/>
      <c r="C493" s="120"/>
      <c r="D493" s="121"/>
      <c r="E493" s="121"/>
      <c r="F493" s="121"/>
      <c r="G493" s="121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>
      <c r="A494" s="119"/>
      <c r="B494" s="120"/>
      <c r="C494" s="120"/>
      <c r="D494" s="121"/>
      <c r="E494" s="121"/>
      <c r="F494" s="121"/>
      <c r="G494" s="121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>
      <c r="A495" s="119"/>
      <c r="B495" s="120"/>
      <c r="C495" s="120"/>
      <c r="D495" s="121"/>
      <c r="E495" s="121"/>
      <c r="F495" s="121"/>
      <c r="G495" s="121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>
      <c r="A496" s="119"/>
      <c r="B496" s="120"/>
      <c r="C496" s="120"/>
      <c r="D496" s="121"/>
      <c r="E496" s="121"/>
      <c r="F496" s="121"/>
      <c r="G496" s="121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>
      <c r="A497" s="119"/>
      <c r="B497" s="120"/>
      <c r="C497" s="120"/>
      <c r="D497" s="121"/>
      <c r="E497" s="121"/>
      <c r="F497" s="121"/>
      <c r="G497" s="121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>
      <c r="A498" s="119"/>
      <c r="B498" s="120"/>
      <c r="C498" s="120"/>
      <c r="D498" s="121"/>
      <c r="E498" s="121"/>
      <c r="F498" s="121"/>
      <c r="G498" s="121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>
      <c r="A499" s="119"/>
      <c r="B499" s="120"/>
      <c r="C499" s="120"/>
      <c r="D499" s="121"/>
      <c r="E499" s="121"/>
      <c r="F499" s="121"/>
      <c r="G499" s="121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>
      <c r="A500" s="119"/>
      <c r="B500" s="120"/>
      <c r="C500" s="120"/>
      <c r="D500" s="121"/>
      <c r="E500" s="121"/>
      <c r="F500" s="121"/>
      <c r="G500" s="121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>
      <c r="A501" s="119"/>
      <c r="B501" s="120"/>
      <c r="C501" s="120"/>
      <c r="D501" s="121"/>
      <c r="E501" s="121"/>
      <c r="F501" s="121"/>
      <c r="G501" s="121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>
      <c r="A502" s="119"/>
      <c r="B502" s="120"/>
      <c r="C502" s="120"/>
      <c r="D502" s="121"/>
      <c r="E502" s="121"/>
      <c r="F502" s="121"/>
      <c r="G502" s="121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>
      <c r="A503" s="119"/>
      <c r="B503" s="120"/>
      <c r="C503" s="120"/>
      <c r="D503" s="121"/>
      <c r="E503" s="121"/>
      <c r="F503" s="121"/>
      <c r="G503" s="121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>
      <c r="A504" s="119"/>
      <c r="B504" s="120"/>
      <c r="C504" s="120"/>
      <c r="D504" s="121"/>
      <c r="E504" s="121"/>
      <c r="F504" s="121"/>
      <c r="G504" s="121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>
      <c r="A505" s="119"/>
      <c r="B505" s="120"/>
      <c r="C505" s="120"/>
      <c r="D505" s="121"/>
      <c r="E505" s="121"/>
      <c r="F505" s="121"/>
      <c r="G505" s="121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>
      <c r="A506" s="119"/>
      <c r="B506" s="120"/>
      <c r="C506" s="120"/>
      <c r="D506" s="121"/>
      <c r="E506" s="121"/>
      <c r="F506" s="121"/>
      <c r="G506" s="121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>
      <c r="A507" s="119"/>
      <c r="B507" s="120"/>
      <c r="C507" s="120"/>
      <c r="D507" s="121"/>
      <c r="E507" s="121"/>
      <c r="F507" s="121"/>
      <c r="G507" s="121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>
      <c r="A508" s="119"/>
      <c r="B508" s="120"/>
      <c r="C508" s="120"/>
      <c r="D508" s="121"/>
      <c r="E508" s="121"/>
      <c r="F508" s="121"/>
      <c r="G508" s="121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>
      <c r="A509" s="119"/>
      <c r="B509" s="120"/>
      <c r="C509" s="120"/>
      <c r="D509" s="121"/>
      <c r="E509" s="121"/>
      <c r="F509" s="121"/>
      <c r="G509" s="121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>
      <c r="A510" s="119"/>
      <c r="B510" s="120"/>
      <c r="C510" s="120"/>
      <c r="D510" s="121"/>
      <c r="E510" s="121"/>
      <c r="F510" s="121"/>
      <c r="G510" s="121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>
      <c r="A511" s="119"/>
      <c r="B511" s="120"/>
      <c r="C511" s="120"/>
      <c r="D511" s="121"/>
      <c r="E511" s="121"/>
      <c r="F511" s="121"/>
      <c r="G511" s="121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>
      <c r="A512" s="119"/>
      <c r="B512" s="120"/>
      <c r="C512" s="120"/>
      <c r="D512" s="121"/>
      <c r="E512" s="121"/>
      <c r="F512" s="121"/>
      <c r="G512" s="121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>
      <c r="A513" s="119"/>
      <c r="B513" s="120"/>
      <c r="C513" s="120"/>
      <c r="D513" s="121"/>
      <c r="E513" s="121"/>
      <c r="F513" s="121"/>
      <c r="G513" s="121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>
      <c r="A514" s="119"/>
      <c r="B514" s="120"/>
      <c r="C514" s="120"/>
      <c r="D514" s="121"/>
      <c r="E514" s="121"/>
      <c r="F514" s="121"/>
      <c r="G514" s="121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>
      <c r="A515" s="119"/>
      <c r="B515" s="120"/>
      <c r="C515" s="120"/>
      <c r="D515" s="121"/>
      <c r="E515" s="121"/>
      <c r="F515" s="121"/>
      <c r="G515" s="121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>
      <c r="A516" s="119"/>
      <c r="B516" s="120"/>
      <c r="C516" s="120"/>
      <c r="D516" s="121"/>
      <c r="E516" s="121"/>
      <c r="F516" s="121"/>
      <c r="G516" s="121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>
      <c r="A517" s="119"/>
      <c r="B517" s="120"/>
      <c r="C517" s="120"/>
      <c r="D517" s="121"/>
      <c r="E517" s="121"/>
      <c r="F517" s="121"/>
      <c r="G517" s="121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>
      <c r="A518" s="119"/>
      <c r="B518" s="120"/>
      <c r="C518" s="120"/>
      <c r="D518" s="121"/>
      <c r="E518" s="121"/>
      <c r="F518" s="121"/>
      <c r="G518" s="121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>
      <c r="A519" s="119"/>
      <c r="B519" s="120"/>
      <c r="C519" s="120"/>
      <c r="D519" s="121"/>
      <c r="E519" s="121"/>
      <c r="F519" s="121"/>
      <c r="G519" s="121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>
      <c r="A520" s="119"/>
      <c r="B520" s="120"/>
      <c r="C520" s="120"/>
      <c r="D520" s="121"/>
      <c r="E520" s="121"/>
      <c r="F520" s="121"/>
      <c r="G520" s="121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>
      <c r="A521" s="119"/>
      <c r="B521" s="120"/>
      <c r="C521" s="120"/>
      <c r="D521" s="121"/>
      <c r="E521" s="121"/>
      <c r="F521" s="121"/>
      <c r="G521" s="121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>
      <c r="A522" s="119"/>
      <c r="B522" s="120"/>
      <c r="C522" s="120"/>
      <c r="D522" s="121"/>
      <c r="E522" s="121"/>
      <c r="F522" s="121"/>
      <c r="G522" s="121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>
      <c r="A523" s="119"/>
      <c r="B523" s="120"/>
      <c r="C523" s="120"/>
      <c r="D523" s="121"/>
      <c r="E523" s="121"/>
      <c r="F523" s="121"/>
      <c r="G523" s="121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>
      <c r="A524" s="119"/>
      <c r="B524" s="120"/>
      <c r="C524" s="120"/>
      <c r="D524" s="121"/>
      <c r="E524" s="121"/>
      <c r="F524" s="121"/>
      <c r="G524" s="121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>
      <c r="A525" s="119"/>
      <c r="B525" s="120"/>
      <c r="C525" s="120"/>
      <c r="D525" s="121"/>
      <c r="E525" s="121"/>
      <c r="F525" s="121"/>
      <c r="G525" s="121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>
      <c r="A526" s="119"/>
      <c r="B526" s="120"/>
      <c r="C526" s="120"/>
      <c r="D526" s="121"/>
      <c r="E526" s="121"/>
      <c r="F526" s="121"/>
      <c r="G526" s="121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>
      <c r="A527" s="119"/>
      <c r="B527" s="120"/>
      <c r="C527" s="120"/>
      <c r="D527" s="121"/>
      <c r="E527" s="121"/>
      <c r="F527" s="121"/>
      <c r="G527" s="121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>
      <c r="A528" s="119"/>
      <c r="B528" s="120"/>
      <c r="C528" s="120"/>
      <c r="D528" s="121"/>
      <c r="E528" s="121"/>
      <c r="F528" s="121"/>
      <c r="G528" s="121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>
      <c r="A529" s="119"/>
      <c r="B529" s="120"/>
      <c r="C529" s="120"/>
      <c r="D529" s="121"/>
      <c r="E529" s="121"/>
      <c r="F529" s="121"/>
      <c r="G529" s="121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>
      <c r="A530" s="119"/>
      <c r="B530" s="120"/>
      <c r="C530" s="120"/>
      <c r="D530" s="121"/>
      <c r="E530" s="121"/>
      <c r="F530" s="121"/>
      <c r="G530" s="121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>
      <c r="A531" s="119"/>
      <c r="B531" s="120"/>
      <c r="C531" s="120"/>
      <c r="D531" s="121"/>
      <c r="E531" s="121"/>
      <c r="F531" s="121"/>
      <c r="G531" s="121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>
      <c r="A532" s="119"/>
      <c r="B532" s="120"/>
      <c r="C532" s="120"/>
      <c r="D532" s="121"/>
      <c r="E532" s="121"/>
      <c r="F532" s="121"/>
      <c r="G532" s="121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>
      <c r="A533" s="119"/>
      <c r="B533" s="120"/>
      <c r="C533" s="120"/>
      <c r="D533" s="121"/>
      <c r="E533" s="121"/>
      <c r="F533" s="121"/>
      <c r="G533" s="121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>
      <c r="A534" s="119"/>
      <c r="B534" s="120"/>
      <c r="C534" s="120"/>
      <c r="D534" s="121"/>
      <c r="E534" s="121"/>
      <c r="F534" s="121"/>
      <c r="G534" s="121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>
      <c r="A535" s="119"/>
      <c r="B535" s="120"/>
      <c r="C535" s="120"/>
      <c r="D535" s="121"/>
      <c r="E535" s="121"/>
      <c r="F535" s="121"/>
      <c r="G535" s="121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>
      <c r="A536" s="119"/>
      <c r="B536" s="120"/>
      <c r="C536" s="120"/>
      <c r="D536" s="121"/>
      <c r="E536" s="121"/>
      <c r="F536" s="121"/>
      <c r="G536" s="121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>
      <c r="A537" s="119"/>
      <c r="B537" s="120"/>
      <c r="C537" s="120"/>
      <c r="D537" s="121"/>
      <c r="E537" s="121"/>
      <c r="F537" s="121"/>
      <c r="G537" s="121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>
      <c r="A538" s="119"/>
      <c r="B538" s="120"/>
      <c r="C538" s="120"/>
      <c r="D538" s="121"/>
      <c r="E538" s="121"/>
      <c r="F538" s="121"/>
      <c r="G538" s="121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>
      <c r="A539" s="119"/>
      <c r="B539" s="120"/>
      <c r="C539" s="120"/>
      <c r="D539" s="121"/>
      <c r="E539" s="121"/>
      <c r="F539" s="121"/>
      <c r="G539" s="121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>
      <c r="A540" s="119"/>
      <c r="B540" s="120"/>
      <c r="C540" s="120"/>
      <c r="D540" s="121"/>
      <c r="E540" s="121"/>
      <c r="F540" s="121"/>
      <c r="G540" s="121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>
      <c r="A541" s="119"/>
      <c r="B541" s="120"/>
      <c r="C541" s="120"/>
      <c r="D541" s="121"/>
      <c r="E541" s="121"/>
      <c r="F541" s="121"/>
      <c r="G541" s="121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>
      <c r="A542" s="119"/>
      <c r="B542" s="120"/>
      <c r="C542" s="120"/>
      <c r="D542" s="121"/>
      <c r="E542" s="121"/>
      <c r="F542" s="121"/>
      <c r="G542" s="121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>
      <c r="A543" s="119"/>
      <c r="B543" s="120"/>
      <c r="C543" s="120"/>
      <c r="D543" s="121"/>
      <c r="E543" s="121"/>
      <c r="F543" s="121"/>
      <c r="G543" s="121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>
      <c r="A544" s="119"/>
      <c r="B544" s="120"/>
      <c r="C544" s="120"/>
      <c r="D544" s="121"/>
      <c r="E544" s="121"/>
      <c r="F544" s="121"/>
      <c r="G544" s="121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>
      <c r="A545" s="119"/>
      <c r="B545" s="120"/>
      <c r="C545" s="120"/>
      <c r="D545" s="121"/>
      <c r="E545" s="121"/>
      <c r="F545" s="121"/>
      <c r="G545" s="121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>
      <c r="A546" s="119"/>
      <c r="B546" s="120"/>
      <c r="C546" s="120"/>
      <c r="D546" s="121"/>
      <c r="E546" s="121"/>
      <c r="F546" s="121"/>
      <c r="G546" s="121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>
      <c r="A547" s="119"/>
      <c r="B547" s="120"/>
      <c r="C547" s="120"/>
      <c r="D547" s="121"/>
      <c r="E547" s="121"/>
      <c r="F547" s="121"/>
      <c r="G547" s="121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>
      <c r="A548" s="119"/>
      <c r="B548" s="120"/>
      <c r="C548" s="120"/>
      <c r="D548" s="121"/>
      <c r="E548" s="121"/>
      <c r="F548" s="121"/>
      <c r="G548" s="121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>
      <c r="A549" s="119"/>
      <c r="B549" s="120"/>
      <c r="C549" s="120"/>
      <c r="D549" s="121"/>
      <c r="E549" s="121"/>
      <c r="F549" s="121"/>
      <c r="G549" s="121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>
      <c r="A550" s="119"/>
      <c r="B550" s="120"/>
      <c r="C550" s="120"/>
      <c r="D550" s="121"/>
      <c r="E550" s="121"/>
      <c r="F550" s="121"/>
      <c r="G550" s="121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>
      <c r="A551" s="119"/>
      <c r="B551" s="120"/>
      <c r="C551" s="120"/>
      <c r="D551" s="121"/>
      <c r="E551" s="121"/>
      <c r="F551" s="121"/>
      <c r="G551" s="121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>
      <c r="A552" s="119"/>
      <c r="B552" s="120"/>
      <c r="C552" s="120"/>
      <c r="D552" s="121"/>
      <c r="E552" s="121"/>
      <c r="F552" s="121"/>
      <c r="G552" s="121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>
      <c r="A553" s="119"/>
      <c r="B553" s="120"/>
      <c r="C553" s="120"/>
      <c r="D553" s="121"/>
      <c r="E553" s="121"/>
      <c r="F553" s="121"/>
      <c r="G553" s="121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>
      <c r="A554" s="119"/>
      <c r="B554" s="120"/>
      <c r="C554" s="120"/>
      <c r="D554" s="121"/>
      <c r="E554" s="121"/>
      <c r="F554" s="121"/>
      <c r="G554" s="121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>
      <c r="A555" s="119"/>
      <c r="B555" s="120"/>
      <c r="C555" s="120"/>
      <c r="D555" s="121"/>
      <c r="E555" s="121"/>
      <c r="F555" s="121"/>
      <c r="G555" s="121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>
      <c r="A556" s="119"/>
      <c r="B556" s="120"/>
      <c r="C556" s="120"/>
      <c r="D556" s="121"/>
      <c r="E556" s="121"/>
      <c r="F556" s="121"/>
      <c r="G556" s="121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>
      <c r="A557" s="119"/>
      <c r="B557" s="120"/>
      <c r="C557" s="120"/>
      <c r="D557" s="121"/>
      <c r="E557" s="121"/>
      <c r="F557" s="121"/>
      <c r="G557" s="121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>
      <c r="A558" s="119"/>
      <c r="B558" s="120"/>
      <c r="C558" s="120"/>
      <c r="D558" s="121"/>
      <c r="E558" s="121"/>
      <c r="F558" s="121"/>
      <c r="G558" s="121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>
      <c r="A559" s="119"/>
      <c r="B559" s="120"/>
      <c r="C559" s="120"/>
      <c r="D559" s="121"/>
      <c r="E559" s="121"/>
      <c r="F559" s="121"/>
      <c r="G559" s="121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>
      <c r="A560" s="119"/>
      <c r="B560" s="120"/>
      <c r="C560" s="120"/>
      <c r="D560" s="121"/>
      <c r="E560" s="121"/>
      <c r="F560" s="121"/>
      <c r="G560" s="121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>
      <c r="A561" s="119"/>
      <c r="B561" s="120"/>
      <c r="C561" s="120"/>
      <c r="D561" s="121"/>
      <c r="E561" s="121"/>
      <c r="F561" s="121"/>
      <c r="G561" s="121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>
      <c r="A562" s="119"/>
      <c r="B562" s="120"/>
      <c r="C562" s="120"/>
      <c r="D562" s="121"/>
      <c r="E562" s="121"/>
      <c r="F562" s="121"/>
      <c r="G562" s="121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>
      <c r="A563" s="119"/>
      <c r="B563" s="120"/>
      <c r="C563" s="120"/>
      <c r="D563" s="121"/>
      <c r="E563" s="121"/>
      <c r="F563" s="121"/>
      <c r="G563" s="121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>
      <c r="A564" s="119"/>
      <c r="B564" s="120"/>
      <c r="C564" s="120"/>
      <c r="D564" s="121"/>
      <c r="E564" s="121"/>
      <c r="F564" s="121"/>
      <c r="G564" s="121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>
      <c r="A565" s="119"/>
      <c r="B565" s="120"/>
      <c r="C565" s="120"/>
      <c r="D565" s="121"/>
      <c r="E565" s="121"/>
      <c r="F565" s="121"/>
      <c r="G565" s="121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>
      <c r="A566" s="119"/>
      <c r="B566" s="120"/>
      <c r="C566" s="120"/>
      <c r="D566" s="121"/>
      <c r="E566" s="121"/>
      <c r="F566" s="121"/>
      <c r="G566" s="121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>
      <c r="A567" s="119"/>
      <c r="B567" s="120"/>
      <c r="C567" s="120"/>
      <c r="D567" s="121"/>
      <c r="E567" s="121"/>
      <c r="F567" s="121"/>
      <c r="G567" s="121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>
      <c r="A568" s="119"/>
      <c r="B568" s="120"/>
      <c r="C568" s="120"/>
      <c r="D568" s="121"/>
      <c r="E568" s="121"/>
      <c r="F568" s="121"/>
      <c r="G568" s="121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>
      <c r="A569" s="119"/>
      <c r="B569" s="120"/>
      <c r="C569" s="120"/>
      <c r="D569" s="121"/>
      <c r="E569" s="121"/>
      <c r="F569" s="121"/>
      <c r="G569" s="121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>
      <c r="A570" s="119"/>
      <c r="B570" s="120"/>
      <c r="C570" s="120"/>
      <c r="D570" s="121"/>
      <c r="E570" s="121"/>
      <c r="F570" s="121"/>
      <c r="G570" s="121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>
      <c r="A571" s="119"/>
      <c r="B571" s="120"/>
      <c r="C571" s="120"/>
      <c r="D571" s="121"/>
      <c r="E571" s="121"/>
      <c r="F571" s="121"/>
      <c r="G571" s="121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>
      <c r="A572" s="119"/>
      <c r="B572" s="120"/>
      <c r="C572" s="120"/>
      <c r="D572" s="121"/>
      <c r="E572" s="121"/>
      <c r="F572" s="121"/>
      <c r="G572" s="121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>
      <c r="A573" s="119"/>
      <c r="B573" s="120"/>
      <c r="C573" s="120"/>
      <c r="D573" s="121"/>
      <c r="E573" s="121"/>
      <c r="F573" s="121"/>
      <c r="G573" s="121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>
      <c r="A574" s="119"/>
      <c r="B574" s="120"/>
      <c r="C574" s="120"/>
      <c r="D574" s="121"/>
      <c r="E574" s="121"/>
      <c r="F574" s="121"/>
      <c r="G574" s="121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>
      <c r="A575" s="119"/>
      <c r="B575" s="120"/>
      <c r="C575" s="120"/>
      <c r="D575" s="121"/>
      <c r="E575" s="121"/>
      <c r="F575" s="121"/>
      <c r="G575" s="121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>
      <c r="A576" s="119"/>
      <c r="B576" s="120"/>
      <c r="C576" s="120"/>
      <c r="D576" s="121"/>
      <c r="E576" s="121"/>
      <c r="F576" s="121"/>
      <c r="G576" s="121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>
      <c r="A577" s="119"/>
      <c r="B577" s="120"/>
      <c r="C577" s="120"/>
      <c r="D577" s="121"/>
      <c r="E577" s="121"/>
      <c r="F577" s="121"/>
      <c r="G577" s="121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>
      <c r="A578" s="119"/>
      <c r="B578" s="120"/>
      <c r="C578" s="120"/>
      <c r="D578" s="121"/>
      <c r="E578" s="121"/>
      <c r="F578" s="121"/>
      <c r="G578" s="121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>
      <c r="A579" s="119"/>
      <c r="B579" s="120"/>
      <c r="C579" s="120"/>
      <c r="D579" s="121"/>
      <c r="E579" s="121"/>
      <c r="F579" s="121"/>
      <c r="G579" s="121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>
      <c r="A580" s="119"/>
      <c r="B580" s="120"/>
      <c r="C580" s="120"/>
      <c r="D580" s="121"/>
      <c r="E580" s="121"/>
      <c r="F580" s="121"/>
      <c r="G580" s="121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>
      <c r="A581" s="119"/>
      <c r="B581" s="120"/>
      <c r="C581" s="120"/>
      <c r="D581" s="121"/>
      <c r="E581" s="121"/>
      <c r="F581" s="121"/>
      <c r="G581" s="121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>
      <c r="A582" s="119"/>
      <c r="B582" s="120"/>
      <c r="C582" s="120"/>
      <c r="D582" s="121"/>
      <c r="E582" s="121"/>
      <c r="F582" s="121"/>
      <c r="G582" s="121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>
      <c r="A583" s="119"/>
      <c r="B583" s="120"/>
      <c r="C583" s="120"/>
      <c r="D583" s="121"/>
      <c r="E583" s="121"/>
      <c r="F583" s="121"/>
      <c r="G583" s="121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>
      <c r="A584" s="119"/>
      <c r="B584" s="120"/>
      <c r="C584" s="120"/>
      <c r="D584" s="121"/>
      <c r="E584" s="121"/>
      <c r="F584" s="121"/>
      <c r="G584" s="121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>
      <c r="A585" s="119"/>
      <c r="B585" s="120"/>
      <c r="C585" s="120"/>
      <c r="D585" s="121"/>
      <c r="E585" s="121"/>
      <c r="F585" s="121"/>
      <c r="G585" s="121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>
      <c r="A586" s="119"/>
      <c r="B586" s="120"/>
      <c r="C586" s="120"/>
      <c r="D586" s="121"/>
      <c r="E586" s="121"/>
      <c r="F586" s="121"/>
      <c r="G586" s="121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>
      <c r="A587" s="119"/>
      <c r="B587" s="120"/>
      <c r="C587" s="120"/>
      <c r="D587" s="121"/>
      <c r="E587" s="121"/>
      <c r="F587" s="121"/>
      <c r="G587" s="121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>
      <c r="A588" s="119"/>
      <c r="B588" s="120"/>
      <c r="C588" s="120"/>
      <c r="D588" s="121"/>
      <c r="E588" s="121"/>
      <c r="F588" s="121"/>
      <c r="G588" s="121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>
      <c r="A589" s="119"/>
      <c r="B589" s="120"/>
      <c r="C589" s="120"/>
      <c r="D589" s="121"/>
      <c r="E589" s="121"/>
      <c r="F589" s="121"/>
      <c r="G589" s="121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>
      <c r="A590" s="119"/>
      <c r="B590" s="120"/>
      <c r="C590" s="120"/>
      <c r="D590" s="121"/>
      <c r="E590" s="121"/>
      <c r="F590" s="121"/>
      <c r="G590" s="121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>
      <c r="A591" s="119"/>
      <c r="B591" s="120"/>
      <c r="C591" s="120"/>
      <c r="D591" s="121"/>
      <c r="E591" s="121"/>
      <c r="F591" s="121"/>
      <c r="G591" s="121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>
      <c r="A592" s="119"/>
      <c r="B592" s="120"/>
      <c r="C592" s="120"/>
      <c r="D592" s="121"/>
      <c r="E592" s="121"/>
      <c r="F592" s="121"/>
      <c r="G592" s="121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>
      <c r="A593" s="119"/>
      <c r="B593" s="120"/>
      <c r="C593" s="120"/>
      <c r="D593" s="121"/>
      <c r="E593" s="121"/>
      <c r="F593" s="121"/>
      <c r="G593" s="121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>
      <c r="A594" s="119"/>
      <c r="B594" s="120"/>
      <c r="C594" s="120"/>
      <c r="D594" s="121"/>
      <c r="E594" s="121"/>
      <c r="F594" s="121"/>
      <c r="G594" s="121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>
      <c r="A595" s="119"/>
      <c r="B595" s="120"/>
      <c r="C595" s="120"/>
      <c r="D595" s="121"/>
      <c r="E595" s="121"/>
      <c r="F595" s="121"/>
      <c r="G595" s="121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>
      <c r="A596" s="119"/>
      <c r="B596" s="120"/>
      <c r="C596" s="120"/>
      <c r="D596" s="121"/>
      <c r="E596" s="121"/>
      <c r="F596" s="121"/>
      <c r="G596" s="121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>
      <c r="A597" s="119"/>
      <c r="B597" s="120"/>
      <c r="C597" s="120"/>
      <c r="D597" s="121"/>
      <c r="E597" s="121"/>
      <c r="F597" s="121"/>
      <c r="G597" s="121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>
      <c r="A598" s="119"/>
      <c r="B598" s="120"/>
      <c r="C598" s="120"/>
      <c r="D598" s="121"/>
      <c r="E598" s="121"/>
      <c r="F598" s="121"/>
      <c r="G598" s="121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>
      <c r="A599" s="119"/>
      <c r="B599" s="120"/>
      <c r="C599" s="120"/>
      <c r="D599" s="121"/>
      <c r="E599" s="121"/>
      <c r="F599" s="121"/>
      <c r="G599" s="121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>
      <c r="A600" s="119"/>
      <c r="B600" s="120"/>
      <c r="C600" s="120"/>
      <c r="D600" s="121"/>
      <c r="E600" s="121"/>
      <c r="F600" s="121"/>
      <c r="G600" s="121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>
      <c r="A601" s="119"/>
      <c r="B601" s="120"/>
      <c r="C601" s="120"/>
      <c r="D601" s="121"/>
      <c r="E601" s="121"/>
      <c r="F601" s="121"/>
      <c r="G601" s="121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>
      <c r="A602" s="119"/>
      <c r="B602" s="120"/>
      <c r="C602" s="120"/>
      <c r="D602" s="121"/>
      <c r="E602" s="121"/>
      <c r="F602" s="121"/>
      <c r="G602" s="121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>
      <c r="A603" s="119"/>
      <c r="B603" s="120"/>
      <c r="C603" s="120"/>
      <c r="D603" s="121"/>
      <c r="E603" s="121"/>
      <c r="F603" s="121"/>
      <c r="G603" s="121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>
      <c r="A604" s="119"/>
      <c r="B604" s="120"/>
      <c r="C604" s="120"/>
      <c r="D604" s="121"/>
      <c r="E604" s="121"/>
      <c r="F604" s="121"/>
      <c r="G604" s="121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>
      <c r="A605" s="119"/>
      <c r="B605" s="120"/>
      <c r="C605" s="120"/>
      <c r="D605" s="121"/>
      <c r="E605" s="121"/>
      <c r="F605" s="121"/>
      <c r="G605" s="121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>
      <c r="A606" s="119"/>
      <c r="B606" s="120"/>
      <c r="C606" s="120"/>
      <c r="D606" s="121"/>
      <c r="E606" s="121"/>
      <c r="F606" s="121"/>
      <c r="G606" s="121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>
      <c r="A607" s="119"/>
      <c r="B607" s="120"/>
      <c r="C607" s="120"/>
      <c r="D607" s="121"/>
      <c r="E607" s="121"/>
      <c r="F607" s="121"/>
      <c r="G607" s="121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>
      <c r="A608" s="119"/>
      <c r="B608" s="120"/>
      <c r="C608" s="120"/>
      <c r="D608" s="121"/>
      <c r="E608" s="121"/>
      <c r="F608" s="121"/>
      <c r="G608" s="121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>
      <c r="A609" s="119"/>
      <c r="B609" s="120"/>
      <c r="C609" s="120"/>
      <c r="D609" s="121"/>
      <c r="E609" s="121"/>
      <c r="F609" s="121"/>
      <c r="G609" s="121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>
      <c r="A610" s="119"/>
      <c r="B610" s="120"/>
      <c r="C610" s="120"/>
      <c r="D610" s="121"/>
      <c r="E610" s="121"/>
      <c r="F610" s="121"/>
      <c r="G610" s="121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>
      <c r="A611" s="119"/>
      <c r="B611" s="120"/>
      <c r="C611" s="120"/>
      <c r="D611" s="121"/>
      <c r="E611" s="121"/>
      <c r="F611" s="121"/>
      <c r="G611" s="121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>
      <c r="A612" s="119"/>
      <c r="B612" s="120"/>
      <c r="C612" s="120"/>
      <c r="D612" s="121"/>
      <c r="E612" s="121"/>
      <c r="F612" s="121"/>
      <c r="G612" s="121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>
      <c r="A613" s="119"/>
      <c r="B613" s="120"/>
      <c r="C613" s="120"/>
      <c r="D613" s="121"/>
      <c r="E613" s="121"/>
      <c r="F613" s="121"/>
      <c r="G613" s="121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>
      <c r="A614" s="119"/>
      <c r="B614" s="120"/>
      <c r="C614" s="120"/>
      <c r="D614" s="121"/>
      <c r="E614" s="121"/>
      <c r="F614" s="121"/>
      <c r="G614" s="121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>
      <c r="A615" s="119"/>
      <c r="B615" s="120"/>
      <c r="C615" s="120"/>
      <c r="D615" s="121"/>
      <c r="E615" s="121"/>
      <c r="F615" s="121"/>
      <c r="G615" s="121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>
      <c r="A616" s="119"/>
      <c r="B616" s="120"/>
      <c r="C616" s="120"/>
      <c r="D616" s="121"/>
      <c r="E616" s="121"/>
      <c r="F616" s="121"/>
      <c r="G616" s="121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>
      <c r="A617" s="119"/>
      <c r="B617" s="120"/>
      <c r="C617" s="120"/>
      <c r="D617" s="121"/>
      <c r="E617" s="121"/>
      <c r="F617" s="121"/>
      <c r="G617" s="121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>
      <c r="A618" s="119"/>
      <c r="B618" s="120"/>
      <c r="C618" s="120"/>
      <c r="D618" s="121"/>
      <c r="E618" s="121"/>
      <c r="F618" s="121"/>
      <c r="G618" s="121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>
      <c r="A619" s="119"/>
      <c r="B619" s="120"/>
      <c r="C619" s="120"/>
      <c r="D619" s="121"/>
      <c r="E619" s="121"/>
      <c r="F619" s="121"/>
      <c r="G619" s="121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>
      <c r="A620" s="119"/>
      <c r="B620" s="120"/>
      <c r="C620" s="120"/>
      <c r="D620" s="121"/>
      <c r="E620" s="121"/>
      <c r="F620" s="121"/>
      <c r="G620" s="121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>
      <c r="A621" s="119"/>
      <c r="B621" s="120"/>
      <c r="C621" s="120"/>
      <c r="D621" s="121"/>
      <c r="E621" s="121"/>
      <c r="F621" s="121"/>
      <c r="G621" s="121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>
      <c r="A622" s="119"/>
      <c r="B622" s="120"/>
      <c r="C622" s="120"/>
      <c r="D622" s="121"/>
      <c r="E622" s="121"/>
      <c r="F622" s="121"/>
      <c r="G622" s="121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>
      <c r="A623" s="119"/>
      <c r="B623" s="120"/>
      <c r="C623" s="120"/>
      <c r="D623" s="121"/>
      <c r="E623" s="121"/>
      <c r="F623" s="121"/>
      <c r="G623" s="121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>
      <c r="A624" s="119"/>
      <c r="B624" s="120"/>
      <c r="C624" s="120"/>
      <c r="D624" s="121"/>
      <c r="E624" s="121"/>
      <c r="F624" s="121"/>
      <c r="G624" s="121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>
      <c r="A625" s="119"/>
      <c r="B625" s="120"/>
      <c r="C625" s="120"/>
      <c r="D625" s="121"/>
      <c r="E625" s="121"/>
      <c r="F625" s="121"/>
      <c r="G625" s="121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>
      <c r="A626" s="119"/>
      <c r="B626" s="120"/>
      <c r="C626" s="120"/>
      <c r="D626" s="121"/>
      <c r="E626" s="121"/>
      <c r="F626" s="121"/>
      <c r="G626" s="121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>
      <c r="A627" s="119"/>
      <c r="B627" s="120"/>
      <c r="C627" s="120"/>
      <c r="D627" s="121"/>
      <c r="E627" s="121"/>
      <c r="F627" s="121"/>
      <c r="G627" s="121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>
      <c r="A628" s="119"/>
      <c r="B628" s="120"/>
      <c r="C628" s="120"/>
      <c r="D628" s="121"/>
      <c r="E628" s="121"/>
      <c r="F628" s="121"/>
      <c r="G628" s="121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>
      <c r="A629" s="119"/>
      <c r="B629" s="120"/>
      <c r="C629" s="120"/>
      <c r="D629" s="121"/>
      <c r="E629" s="121"/>
      <c r="F629" s="121"/>
      <c r="G629" s="121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>
      <c r="A630" s="119"/>
      <c r="B630" s="120"/>
      <c r="C630" s="120"/>
      <c r="D630" s="121"/>
      <c r="E630" s="121"/>
      <c r="F630" s="121"/>
      <c r="G630" s="121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>
      <c r="A631" s="119"/>
      <c r="B631" s="120"/>
      <c r="C631" s="120"/>
      <c r="D631" s="121"/>
      <c r="E631" s="121"/>
      <c r="F631" s="121"/>
      <c r="G631" s="121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>
      <c r="A632" s="119"/>
      <c r="B632" s="120"/>
      <c r="C632" s="120"/>
      <c r="D632" s="121"/>
      <c r="E632" s="121"/>
      <c r="F632" s="121"/>
      <c r="G632" s="121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>
      <c r="A633" s="119"/>
      <c r="B633" s="120"/>
      <c r="C633" s="120"/>
      <c r="D633" s="121"/>
      <c r="E633" s="121"/>
      <c r="F633" s="121"/>
      <c r="G633" s="121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>
      <c r="A634" s="119"/>
      <c r="B634" s="120"/>
      <c r="C634" s="120"/>
      <c r="D634" s="121"/>
      <c r="E634" s="121"/>
      <c r="F634" s="121"/>
      <c r="G634" s="121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>
      <c r="A635" s="119"/>
      <c r="B635" s="120"/>
      <c r="C635" s="120"/>
      <c r="D635" s="121"/>
      <c r="E635" s="121"/>
      <c r="F635" s="121"/>
      <c r="G635" s="121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>
      <c r="A636" s="119"/>
      <c r="B636" s="120"/>
      <c r="C636" s="120"/>
      <c r="D636" s="121"/>
      <c r="E636" s="121"/>
      <c r="F636" s="121"/>
      <c r="G636" s="121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>
      <c r="A637" s="119"/>
      <c r="B637" s="120"/>
      <c r="C637" s="120"/>
      <c r="D637" s="121"/>
      <c r="E637" s="121"/>
      <c r="F637" s="121"/>
      <c r="G637" s="121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>
      <c r="A638" s="119"/>
      <c r="B638" s="120"/>
      <c r="C638" s="120"/>
      <c r="D638" s="121"/>
      <c r="E638" s="121"/>
      <c r="F638" s="121"/>
      <c r="G638" s="121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>
      <c r="A639" s="119"/>
      <c r="B639" s="120"/>
      <c r="C639" s="120"/>
      <c r="D639" s="121"/>
      <c r="E639" s="121"/>
      <c r="F639" s="121"/>
      <c r="G639" s="121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>
      <c r="A640" s="119"/>
      <c r="B640" s="120"/>
      <c r="C640" s="120"/>
      <c r="D640" s="121"/>
      <c r="E640" s="121"/>
      <c r="F640" s="121"/>
      <c r="G640" s="121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>
      <c r="A641" s="119"/>
      <c r="B641" s="120"/>
      <c r="C641" s="120"/>
      <c r="D641" s="121"/>
      <c r="E641" s="121"/>
      <c r="F641" s="121"/>
      <c r="G641" s="121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>
      <c r="A642" s="119"/>
      <c r="B642" s="120"/>
      <c r="C642" s="120"/>
      <c r="D642" s="121"/>
      <c r="E642" s="121"/>
      <c r="F642" s="121"/>
      <c r="G642" s="121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>
      <c r="A643" s="119"/>
      <c r="B643" s="120"/>
      <c r="C643" s="120"/>
      <c r="D643" s="121"/>
      <c r="E643" s="121"/>
      <c r="F643" s="121"/>
      <c r="G643" s="121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>
      <c r="A644" s="119"/>
      <c r="B644" s="120"/>
      <c r="C644" s="120"/>
      <c r="D644" s="121"/>
      <c r="E644" s="121"/>
      <c r="F644" s="121"/>
      <c r="G644" s="121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>
      <c r="A645" s="119"/>
      <c r="B645" s="120"/>
      <c r="C645" s="120"/>
      <c r="D645" s="121"/>
      <c r="E645" s="121"/>
      <c r="F645" s="121"/>
      <c r="G645" s="121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>
      <c r="A646" s="119"/>
      <c r="B646" s="120"/>
      <c r="C646" s="120"/>
      <c r="D646" s="121"/>
      <c r="E646" s="121"/>
      <c r="F646" s="121"/>
      <c r="G646" s="121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>
      <c r="A647" s="119"/>
      <c r="B647" s="120"/>
      <c r="C647" s="120"/>
      <c r="D647" s="121"/>
      <c r="E647" s="121"/>
      <c r="F647" s="121"/>
      <c r="G647" s="121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>
      <c r="A648" s="119"/>
      <c r="B648" s="120"/>
      <c r="C648" s="120"/>
      <c r="D648" s="121"/>
      <c r="E648" s="121"/>
      <c r="F648" s="121"/>
      <c r="G648" s="121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>
      <c r="A649" s="119"/>
      <c r="B649" s="120"/>
      <c r="C649" s="120"/>
      <c r="D649" s="121"/>
      <c r="E649" s="121"/>
      <c r="F649" s="121"/>
      <c r="G649" s="121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>
      <c r="A650" s="119"/>
      <c r="B650" s="120"/>
      <c r="C650" s="120"/>
      <c r="D650" s="121"/>
      <c r="E650" s="121"/>
      <c r="F650" s="121"/>
      <c r="G650" s="121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>
      <c r="A651" s="119"/>
      <c r="B651" s="120"/>
      <c r="C651" s="120"/>
      <c r="D651" s="121"/>
      <c r="E651" s="121"/>
      <c r="F651" s="121"/>
      <c r="G651" s="121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>
      <c r="A652" s="119"/>
      <c r="B652" s="120"/>
      <c r="C652" s="120"/>
      <c r="D652" s="121"/>
      <c r="E652" s="121"/>
      <c r="F652" s="121"/>
      <c r="G652" s="121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>
      <c r="A653" s="119"/>
      <c r="B653" s="120"/>
      <c r="C653" s="120"/>
      <c r="D653" s="121"/>
      <c r="E653" s="121"/>
      <c r="F653" s="121"/>
      <c r="G653" s="121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>
      <c r="A654" s="119"/>
      <c r="B654" s="120"/>
      <c r="C654" s="120"/>
      <c r="D654" s="121"/>
      <c r="E654" s="121"/>
      <c r="F654" s="121"/>
      <c r="G654" s="121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>
      <c r="A655" s="119"/>
      <c r="B655" s="120"/>
      <c r="C655" s="120"/>
      <c r="D655" s="121"/>
      <c r="E655" s="121"/>
      <c r="F655" s="121"/>
      <c r="G655" s="121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>
      <c r="A656" s="119"/>
      <c r="B656" s="120"/>
      <c r="C656" s="120"/>
      <c r="D656" s="121"/>
      <c r="E656" s="121"/>
      <c r="F656" s="121"/>
      <c r="G656" s="121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>
      <c r="A657" s="119"/>
      <c r="B657" s="120"/>
      <c r="C657" s="120"/>
      <c r="D657" s="121"/>
      <c r="E657" s="121"/>
      <c r="F657" s="121"/>
      <c r="G657" s="121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>
      <c r="A658" s="119"/>
      <c r="B658" s="120"/>
      <c r="C658" s="120"/>
      <c r="D658" s="121"/>
      <c r="E658" s="121"/>
      <c r="F658" s="121"/>
      <c r="G658" s="121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>
      <c r="A659" s="119"/>
      <c r="B659" s="120"/>
      <c r="C659" s="120"/>
      <c r="D659" s="121"/>
      <c r="E659" s="121"/>
      <c r="F659" s="121"/>
      <c r="G659" s="121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>
      <c r="A660" s="119"/>
      <c r="B660" s="120"/>
      <c r="C660" s="120"/>
      <c r="D660" s="121"/>
      <c r="E660" s="121"/>
      <c r="F660" s="121"/>
      <c r="G660" s="121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>
      <c r="A661" s="119"/>
      <c r="B661" s="120"/>
      <c r="C661" s="120"/>
      <c r="D661" s="121"/>
      <c r="E661" s="121"/>
      <c r="F661" s="121"/>
      <c r="G661" s="121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>
      <c r="A662" s="119"/>
      <c r="B662" s="120"/>
      <c r="C662" s="120"/>
      <c r="D662" s="121"/>
      <c r="E662" s="121"/>
      <c r="F662" s="121"/>
      <c r="G662" s="121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>
      <c r="A663" s="119"/>
      <c r="B663" s="120"/>
      <c r="C663" s="120"/>
      <c r="D663" s="121"/>
      <c r="E663" s="121"/>
      <c r="F663" s="121"/>
      <c r="G663" s="121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>
      <c r="A664" s="119"/>
      <c r="B664" s="120"/>
      <c r="C664" s="120"/>
      <c r="D664" s="121"/>
      <c r="E664" s="121"/>
      <c r="F664" s="121"/>
      <c r="G664" s="121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>
      <c r="A665" s="119"/>
      <c r="B665" s="120"/>
      <c r="C665" s="120"/>
      <c r="D665" s="121"/>
      <c r="E665" s="121"/>
      <c r="F665" s="121"/>
      <c r="G665" s="121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>
      <c r="A666" s="119"/>
      <c r="B666" s="120"/>
      <c r="C666" s="120"/>
      <c r="D666" s="121"/>
      <c r="E666" s="121"/>
      <c r="F666" s="121"/>
      <c r="G666" s="121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>
      <c r="A667" s="119"/>
      <c r="B667" s="120"/>
      <c r="C667" s="120"/>
      <c r="D667" s="121"/>
      <c r="E667" s="121"/>
      <c r="F667" s="121"/>
      <c r="G667" s="121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>
      <c r="A668" s="119"/>
      <c r="B668" s="120"/>
      <c r="C668" s="120"/>
      <c r="D668" s="121"/>
      <c r="E668" s="121"/>
      <c r="F668" s="121"/>
      <c r="G668" s="121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>
      <c r="A669" s="119"/>
      <c r="B669" s="120"/>
      <c r="C669" s="120"/>
      <c r="D669" s="121"/>
      <c r="E669" s="121"/>
      <c r="F669" s="121"/>
      <c r="G669" s="121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>
      <c r="A670" s="119"/>
      <c r="B670" s="120"/>
      <c r="C670" s="120"/>
      <c r="D670" s="121"/>
      <c r="E670" s="121"/>
      <c r="F670" s="121"/>
      <c r="G670" s="121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>
      <c r="A671" s="119"/>
      <c r="B671" s="120"/>
      <c r="C671" s="120"/>
      <c r="D671" s="121"/>
      <c r="E671" s="121"/>
      <c r="F671" s="121"/>
      <c r="G671" s="121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>
      <c r="A672" s="119"/>
      <c r="B672" s="120"/>
      <c r="C672" s="120"/>
      <c r="D672" s="121"/>
      <c r="E672" s="121"/>
      <c r="F672" s="121"/>
      <c r="G672" s="121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>
      <c r="A673" s="119"/>
      <c r="B673" s="120"/>
      <c r="C673" s="120"/>
      <c r="D673" s="121"/>
      <c r="E673" s="121"/>
      <c r="F673" s="121"/>
      <c r="G673" s="121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>
      <c r="A674" s="119"/>
      <c r="B674" s="120"/>
      <c r="C674" s="120"/>
      <c r="D674" s="121"/>
      <c r="E674" s="121"/>
      <c r="F674" s="121"/>
      <c r="G674" s="121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>
      <c r="A675" s="119"/>
      <c r="B675" s="120"/>
      <c r="C675" s="120"/>
      <c r="D675" s="121"/>
      <c r="E675" s="121"/>
      <c r="F675" s="121"/>
      <c r="G675" s="121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>
      <c r="A676" s="119"/>
      <c r="B676" s="120"/>
      <c r="C676" s="120"/>
      <c r="D676" s="121"/>
      <c r="E676" s="121"/>
      <c r="F676" s="121"/>
      <c r="G676" s="121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>
      <c r="A677" s="119"/>
      <c r="B677" s="120"/>
      <c r="C677" s="120"/>
      <c r="D677" s="121"/>
      <c r="E677" s="121"/>
      <c r="F677" s="121"/>
      <c r="G677" s="121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>
      <c r="A678" s="119"/>
      <c r="B678" s="120"/>
      <c r="C678" s="120"/>
      <c r="D678" s="121"/>
      <c r="E678" s="121"/>
      <c r="F678" s="121"/>
      <c r="G678" s="121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>
      <c r="A679" s="119"/>
      <c r="B679" s="120"/>
      <c r="C679" s="120"/>
      <c r="D679" s="121"/>
      <c r="E679" s="121"/>
      <c r="F679" s="121"/>
      <c r="G679" s="121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>
      <c r="A680" s="119"/>
      <c r="B680" s="120"/>
      <c r="C680" s="120"/>
      <c r="D680" s="121"/>
      <c r="E680" s="121"/>
      <c r="F680" s="121"/>
      <c r="G680" s="121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>
      <c r="A681" s="119"/>
      <c r="B681" s="120"/>
      <c r="C681" s="120"/>
      <c r="D681" s="121"/>
      <c r="E681" s="121"/>
      <c r="F681" s="121"/>
      <c r="G681" s="121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>
      <c r="A682" s="119"/>
      <c r="B682" s="120"/>
      <c r="C682" s="120"/>
      <c r="D682" s="121"/>
      <c r="E682" s="121"/>
      <c r="F682" s="121"/>
      <c r="G682" s="121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>
      <c r="A683" s="119"/>
      <c r="B683" s="120"/>
      <c r="C683" s="120"/>
      <c r="D683" s="121"/>
      <c r="E683" s="121"/>
      <c r="F683" s="121"/>
      <c r="G683" s="121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>
      <c r="A684" s="119"/>
      <c r="B684" s="120"/>
      <c r="C684" s="120"/>
      <c r="D684" s="121"/>
      <c r="E684" s="121"/>
      <c r="F684" s="121"/>
      <c r="G684" s="121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>
      <c r="A685" s="119"/>
      <c r="B685" s="120"/>
      <c r="C685" s="120"/>
      <c r="D685" s="121"/>
      <c r="E685" s="121"/>
      <c r="F685" s="121"/>
      <c r="G685" s="121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>
      <c r="A686" s="119"/>
      <c r="B686" s="120"/>
      <c r="C686" s="120"/>
      <c r="D686" s="121"/>
      <c r="E686" s="121"/>
      <c r="F686" s="121"/>
      <c r="G686" s="121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>
      <c r="A687" s="119"/>
      <c r="B687" s="120"/>
      <c r="C687" s="120"/>
      <c r="D687" s="121"/>
      <c r="E687" s="121"/>
      <c r="F687" s="121"/>
      <c r="G687" s="121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>
      <c r="A688" s="119"/>
      <c r="B688" s="120"/>
      <c r="C688" s="120"/>
      <c r="D688" s="121"/>
      <c r="E688" s="121"/>
      <c r="F688" s="121"/>
      <c r="G688" s="121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>
      <c r="A689" s="119"/>
      <c r="B689" s="120"/>
      <c r="C689" s="120"/>
      <c r="D689" s="121"/>
      <c r="E689" s="121"/>
      <c r="F689" s="121"/>
      <c r="G689" s="121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>
      <c r="A690" s="119"/>
      <c r="B690" s="120"/>
      <c r="C690" s="120"/>
      <c r="D690" s="121"/>
      <c r="E690" s="121"/>
      <c r="F690" s="121"/>
      <c r="G690" s="121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>
      <c r="A691" s="119"/>
      <c r="B691" s="120"/>
      <c r="C691" s="120"/>
      <c r="D691" s="121"/>
      <c r="E691" s="121"/>
      <c r="F691" s="121"/>
      <c r="G691" s="121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>
      <c r="A692" s="119"/>
      <c r="B692" s="120"/>
      <c r="C692" s="120"/>
      <c r="D692" s="121"/>
      <c r="E692" s="121"/>
      <c r="F692" s="121"/>
      <c r="G692" s="121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>
      <c r="A693" s="119"/>
      <c r="B693" s="120"/>
      <c r="C693" s="120"/>
      <c r="D693" s="121"/>
      <c r="E693" s="121"/>
      <c r="F693" s="121"/>
      <c r="G693" s="121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>
      <c r="A694" s="119"/>
      <c r="B694" s="120"/>
      <c r="C694" s="120"/>
      <c r="D694" s="121"/>
      <c r="E694" s="121"/>
      <c r="F694" s="121"/>
      <c r="G694" s="121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>
      <c r="A695" s="119"/>
      <c r="B695" s="120"/>
      <c r="C695" s="120"/>
      <c r="D695" s="121"/>
      <c r="E695" s="121"/>
      <c r="F695" s="121"/>
      <c r="G695" s="121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>
      <c r="A696" s="119"/>
      <c r="B696" s="120"/>
      <c r="C696" s="120"/>
      <c r="D696" s="121"/>
      <c r="E696" s="121"/>
      <c r="F696" s="121"/>
      <c r="G696" s="121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>
      <c r="A697" s="119"/>
      <c r="B697" s="120"/>
      <c r="C697" s="120"/>
      <c r="D697" s="121"/>
      <c r="E697" s="121"/>
      <c r="F697" s="121"/>
      <c r="G697" s="121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>
      <c r="A698" s="119"/>
      <c r="B698" s="120"/>
      <c r="C698" s="120"/>
      <c r="D698" s="121"/>
      <c r="E698" s="121"/>
      <c r="F698" s="121"/>
      <c r="G698" s="121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>
      <c r="A699" s="119"/>
      <c r="B699" s="120"/>
      <c r="C699" s="120"/>
      <c r="D699" s="121"/>
      <c r="E699" s="121"/>
      <c r="F699" s="121"/>
      <c r="G699" s="121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>
      <c r="A700" s="119"/>
      <c r="B700" s="120"/>
      <c r="C700" s="120"/>
      <c r="D700" s="121"/>
      <c r="E700" s="121"/>
      <c r="F700" s="121"/>
      <c r="G700" s="121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>
      <c r="A701" s="119"/>
      <c r="B701" s="120"/>
      <c r="C701" s="120"/>
      <c r="D701" s="121"/>
      <c r="E701" s="121"/>
      <c r="F701" s="121"/>
      <c r="G701" s="121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>
      <c r="A702" s="119"/>
      <c r="B702" s="120"/>
      <c r="C702" s="120"/>
      <c r="D702" s="121"/>
      <c r="E702" s="121"/>
      <c r="F702" s="121"/>
      <c r="G702" s="121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>
      <c r="A703" s="119"/>
      <c r="B703" s="120"/>
      <c r="C703" s="120"/>
      <c r="D703" s="121"/>
      <c r="E703" s="121"/>
      <c r="F703" s="121"/>
      <c r="G703" s="121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>
      <c r="A704" s="119"/>
      <c r="B704" s="120"/>
      <c r="C704" s="120"/>
      <c r="D704" s="121"/>
      <c r="E704" s="121"/>
      <c r="F704" s="121"/>
      <c r="G704" s="121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>
      <c r="A705" s="119"/>
      <c r="B705" s="120"/>
      <c r="C705" s="120"/>
      <c r="D705" s="121"/>
      <c r="E705" s="121"/>
      <c r="F705" s="121"/>
      <c r="G705" s="121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>
      <c r="A706" s="119"/>
      <c r="B706" s="120"/>
      <c r="C706" s="120"/>
      <c r="D706" s="121"/>
      <c r="E706" s="121"/>
      <c r="F706" s="121"/>
      <c r="G706" s="121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>
      <c r="A707" s="119"/>
      <c r="B707" s="120"/>
      <c r="C707" s="120"/>
      <c r="D707" s="121"/>
      <c r="E707" s="121"/>
      <c r="F707" s="121"/>
      <c r="G707" s="121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>
      <c r="A708" s="119"/>
      <c r="B708" s="120"/>
      <c r="C708" s="120"/>
      <c r="D708" s="121"/>
      <c r="E708" s="121"/>
      <c r="F708" s="121"/>
      <c r="G708" s="121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>
      <c r="A709" s="119"/>
      <c r="B709" s="120"/>
      <c r="C709" s="120"/>
      <c r="D709" s="121"/>
      <c r="E709" s="121"/>
      <c r="F709" s="121"/>
      <c r="G709" s="121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>
      <c r="A710" s="119"/>
      <c r="B710" s="120"/>
      <c r="C710" s="120"/>
      <c r="D710" s="121"/>
      <c r="E710" s="121"/>
      <c r="F710" s="121"/>
      <c r="G710" s="121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>
      <c r="A711" s="119"/>
      <c r="B711" s="120"/>
      <c r="C711" s="120"/>
      <c r="D711" s="121"/>
      <c r="E711" s="121"/>
      <c r="F711" s="121"/>
      <c r="G711" s="121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>
      <c r="A712" s="119"/>
      <c r="B712" s="120"/>
      <c r="C712" s="120"/>
      <c r="D712" s="121"/>
      <c r="E712" s="121"/>
      <c r="F712" s="121"/>
      <c r="G712" s="121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>
      <c r="A713" s="119"/>
      <c r="B713" s="120"/>
      <c r="C713" s="120"/>
      <c r="D713" s="121"/>
      <c r="E713" s="121"/>
      <c r="F713" s="121"/>
      <c r="G713" s="121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>
      <c r="A714" s="119"/>
      <c r="B714" s="120"/>
      <c r="C714" s="120"/>
      <c r="D714" s="121"/>
      <c r="E714" s="121"/>
      <c r="F714" s="121"/>
      <c r="G714" s="121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>
      <c r="A715" s="119"/>
      <c r="B715" s="120"/>
      <c r="C715" s="120"/>
      <c r="D715" s="121"/>
      <c r="E715" s="121"/>
      <c r="F715" s="121"/>
      <c r="G715" s="121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>
      <c r="A716" s="119"/>
      <c r="B716" s="120"/>
      <c r="C716" s="120"/>
      <c r="D716" s="121"/>
      <c r="E716" s="121"/>
      <c r="F716" s="121"/>
      <c r="G716" s="121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>
      <c r="A717" s="119"/>
      <c r="B717" s="120"/>
      <c r="C717" s="120"/>
      <c r="D717" s="121"/>
      <c r="E717" s="121"/>
      <c r="F717" s="121"/>
      <c r="G717" s="121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>
      <c r="A718" s="119"/>
      <c r="B718" s="120"/>
      <c r="C718" s="120"/>
      <c r="D718" s="121"/>
      <c r="E718" s="121"/>
      <c r="F718" s="121"/>
      <c r="G718" s="121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>
      <c r="A719" s="119"/>
      <c r="B719" s="120"/>
      <c r="C719" s="120"/>
      <c r="D719" s="121"/>
      <c r="E719" s="121"/>
      <c r="F719" s="121"/>
      <c r="G719" s="121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>
      <c r="A720" s="119"/>
      <c r="B720" s="120"/>
      <c r="C720" s="120"/>
      <c r="D720" s="121"/>
      <c r="E720" s="121"/>
      <c r="F720" s="121"/>
      <c r="G720" s="121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>
      <c r="A721" s="119"/>
      <c r="B721" s="120"/>
      <c r="C721" s="120"/>
      <c r="D721" s="121"/>
      <c r="E721" s="121"/>
      <c r="F721" s="121"/>
      <c r="G721" s="121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>
      <c r="A722" s="119"/>
      <c r="B722" s="120"/>
      <c r="C722" s="120"/>
      <c r="D722" s="121"/>
      <c r="E722" s="121"/>
      <c r="F722" s="121"/>
      <c r="G722" s="121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>
      <c r="A723" s="119"/>
      <c r="B723" s="120"/>
      <c r="C723" s="120"/>
      <c r="D723" s="121"/>
      <c r="E723" s="121"/>
      <c r="F723" s="121"/>
      <c r="G723" s="121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>
      <c r="A724" s="119"/>
      <c r="B724" s="120"/>
      <c r="C724" s="120"/>
      <c r="D724" s="121"/>
      <c r="E724" s="121"/>
      <c r="F724" s="121"/>
      <c r="G724" s="121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>
      <c r="A725" s="119"/>
      <c r="B725" s="120"/>
      <c r="C725" s="120"/>
      <c r="D725" s="121"/>
      <c r="E725" s="121"/>
      <c r="F725" s="121"/>
      <c r="G725" s="121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>
      <c r="A726" s="119"/>
      <c r="B726" s="120"/>
      <c r="C726" s="120"/>
      <c r="D726" s="121"/>
      <c r="E726" s="121"/>
      <c r="F726" s="121"/>
      <c r="G726" s="121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>
      <c r="A727" s="119"/>
      <c r="B727" s="120"/>
      <c r="C727" s="120"/>
      <c r="D727" s="121"/>
      <c r="E727" s="121"/>
      <c r="F727" s="121"/>
      <c r="G727" s="121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>
      <c r="A728" s="119"/>
      <c r="B728" s="120"/>
      <c r="C728" s="120"/>
      <c r="D728" s="121"/>
      <c r="E728" s="121"/>
      <c r="F728" s="121"/>
      <c r="G728" s="121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>
      <c r="A729" s="119"/>
      <c r="B729" s="120"/>
      <c r="C729" s="120"/>
      <c r="D729" s="121"/>
      <c r="E729" s="121"/>
      <c r="F729" s="121"/>
      <c r="G729" s="121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>
      <c r="A730" s="119"/>
      <c r="B730" s="120"/>
      <c r="C730" s="120"/>
      <c r="D730" s="121"/>
      <c r="E730" s="121"/>
      <c r="F730" s="121"/>
      <c r="G730" s="121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>
      <c r="A731" s="119"/>
      <c r="B731" s="120"/>
      <c r="C731" s="120"/>
      <c r="D731" s="121"/>
      <c r="E731" s="121"/>
      <c r="F731" s="121"/>
      <c r="G731" s="121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>
      <c r="A732" s="119"/>
      <c r="B732" s="120"/>
      <c r="C732" s="120"/>
      <c r="D732" s="121"/>
      <c r="E732" s="121"/>
      <c r="F732" s="121"/>
      <c r="G732" s="121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>
      <c r="A733" s="119"/>
      <c r="B733" s="120"/>
      <c r="C733" s="120"/>
      <c r="D733" s="121"/>
      <c r="E733" s="121"/>
      <c r="F733" s="121"/>
      <c r="G733" s="121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>
      <c r="A734" s="119"/>
      <c r="B734" s="120"/>
      <c r="C734" s="120"/>
      <c r="D734" s="121"/>
      <c r="E734" s="121"/>
      <c r="F734" s="121"/>
      <c r="G734" s="121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>
      <c r="A735" s="119"/>
      <c r="B735" s="120"/>
      <c r="C735" s="120"/>
      <c r="D735" s="121"/>
      <c r="E735" s="121"/>
      <c r="F735" s="121"/>
      <c r="G735" s="121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>
      <c r="A736" s="119"/>
      <c r="B736" s="120"/>
      <c r="C736" s="120"/>
      <c r="D736" s="121"/>
      <c r="E736" s="121"/>
      <c r="F736" s="121"/>
      <c r="G736" s="121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>
      <c r="A737" s="119"/>
      <c r="B737" s="120"/>
      <c r="C737" s="120"/>
      <c r="D737" s="121"/>
      <c r="E737" s="121"/>
      <c r="F737" s="121"/>
      <c r="G737" s="121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>
      <c r="A738" s="119"/>
      <c r="B738" s="120"/>
      <c r="C738" s="120"/>
      <c r="D738" s="121"/>
      <c r="E738" s="121"/>
      <c r="F738" s="121"/>
      <c r="G738" s="121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>
      <c r="A739" s="119"/>
      <c r="B739" s="120"/>
      <c r="C739" s="120"/>
      <c r="D739" s="121"/>
      <c r="E739" s="121"/>
      <c r="F739" s="121"/>
      <c r="G739" s="121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>
      <c r="A740" s="119"/>
      <c r="B740" s="120"/>
      <c r="C740" s="120"/>
      <c r="D740" s="121"/>
      <c r="E740" s="121"/>
      <c r="F740" s="121"/>
      <c r="G740" s="121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>
      <c r="A741" s="119"/>
      <c r="B741" s="120"/>
      <c r="C741" s="120"/>
      <c r="D741" s="121"/>
      <c r="E741" s="121"/>
      <c r="F741" s="121"/>
      <c r="G741" s="121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>
      <c r="A742" s="119"/>
      <c r="B742" s="120"/>
      <c r="C742" s="120"/>
      <c r="D742" s="121"/>
      <c r="E742" s="121"/>
      <c r="F742" s="121"/>
      <c r="G742" s="121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>
      <c r="A743" s="119"/>
      <c r="B743" s="120"/>
      <c r="C743" s="120"/>
      <c r="D743" s="121"/>
      <c r="E743" s="121"/>
      <c r="F743" s="121"/>
      <c r="G743" s="121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>
      <c r="A744" s="119"/>
      <c r="B744" s="120"/>
      <c r="C744" s="120"/>
      <c r="D744" s="121"/>
      <c r="E744" s="121"/>
      <c r="F744" s="121"/>
      <c r="G744" s="121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>
      <c r="A745" s="119"/>
      <c r="B745" s="120"/>
      <c r="C745" s="120"/>
      <c r="D745" s="121"/>
      <c r="E745" s="121"/>
      <c r="F745" s="121"/>
      <c r="G745" s="121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>
      <c r="A746" s="119"/>
      <c r="B746" s="120"/>
      <c r="C746" s="120"/>
      <c r="D746" s="121"/>
      <c r="E746" s="121"/>
      <c r="F746" s="121"/>
      <c r="G746" s="121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>
      <c r="A747" s="119"/>
      <c r="B747" s="120"/>
      <c r="C747" s="120"/>
      <c r="D747" s="121"/>
      <c r="E747" s="121"/>
      <c r="F747" s="121"/>
      <c r="G747" s="121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>
      <c r="A748" s="119"/>
      <c r="B748" s="120"/>
      <c r="C748" s="120"/>
      <c r="D748" s="121"/>
      <c r="E748" s="121"/>
      <c r="F748" s="121"/>
      <c r="G748" s="121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>
      <c r="A749" s="119"/>
      <c r="B749" s="120"/>
      <c r="C749" s="120"/>
      <c r="D749" s="121"/>
      <c r="E749" s="121"/>
      <c r="F749" s="121"/>
      <c r="G749" s="121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>
      <c r="A750" s="119"/>
      <c r="B750" s="120"/>
      <c r="C750" s="120"/>
      <c r="D750" s="121"/>
      <c r="E750" s="121"/>
      <c r="F750" s="121"/>
      <c r="G750" s="121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>
      <c r="A751" s="119"/>
      <c r="B751" s="120"/>
      <c r="C751" s="120"/>
      <c r="D751" s="121"/>
      <c r="E751" s="121"/>
      <c r="F751" s="121"/>
      <c r="G751" s="121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>
      <c r="A752" s="119"/>
      <c r="B752" s="120"/>
      <c r="C752" s="120"/>
      <c r="D752" s="121"/>
      <c r="E752" s="121"/>
      <c r="F752" s="121"/>
      <c r="G752" s="121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>
      <c r="A753" s="119"/>
      <c r="B753" s="120"/>
      <c r="C753" s="120"/>
      <c r="D753" s="121"/>
      <c r="E753" s="121"/>
      <c r="F753" s="121"/>
      <c r="G753" s="121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>
      <c r="A754" s="119"/>
      <c r="B754" s="120"/>
      <c r="C754" s="120"/>
      <c r="D754" s="121"/>
      <c r="E754" s="121"/>
      <c r="F754" s="121"/>
      <c r="G754" s="121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>
      <c r="A755" s="119"/>
      <c r="B755" s="120"/>
      <c r="C755" s="120"/>
      <c r="D755" s="121"/>
      <c r="E755" s="121"/>
      <c r="F755" s="121"/>
      <c r="G755" s="121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>
      <c r="A756" s="119"/>
      <c r="B756" s="120"/>
      <c r="C756" s="120"/>
      <c r="D756" s="121"/>
      <c r="E756" s="121"/>
      <c r="F756" s="121"/>
      <c r="G756" s="121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>
      <c r="A757" s="119"/>
      <c r="B757" s="120"/>
      <c r="C757" s="120"/>
      <c r="D757" s="121"/>
      <c r="E757" s="121"/>
      <c r="F757" s="121"/>
      <c r="G757" s="121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>
      <c r="A758" s="119"/>
      <c r="B758" s="120"/>
      <c r="C758" s="120"/>
      <c r="D758" s="121"/>
      <c r="E758" s="121"/>
      <c r="F758" s="121"/>
      <c r="G758" s="121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>
      <c r="A759" s="119"/>
      <c r="B759" s="120"/>
      <c r="C759" s="120"/>
      <c r="D759" s="121"/>
      <c r="E759" s="121"/>
      <c r="F759" s="121"/>
      <c r="G759" s="121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>
      <c r="A760" s="119"/>
      <c r="B760" s="120"/>
      <c r="C760" s="120"/>
      <c r="D760" s="121"/>
      <c r="E760" s="121"/>
      <c r="F760" s="121"/>
      <c r="G760" s="121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>
      <c r="A761" s="119"/>
      <c r="B761" s="120"/>
      <c r="C761" s="120"/>
      <c r="D761" s="121"/>
      <c r="E761" s="121"/>
      <c r="F761" s="121"/>
      <c r="G761" s="121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>
      <c r="A762" s="119"/>
      <c r="B762" s="120"/>
      <c r="C762" s="120"/>
      <c r="D762" s="121"/>
      <c r="E762" s="121"/>
      <c r="F762" s="121"/>
      <c r="G762" s="121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>
      <c r="A763" s="119"/>
      <c r="B763" s="120"/>
      <c r="C763" s="120"/>
      <c r="D763" s="121"/>
      <c r="E763" s="121"/>
      <c r="F763" s="121"/>
      <c r="G763" s="121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>
      <c r="A764" s="119"/>
      <c r="B764" s="120"/>
      <c r="C764" s="120"/>
      <c r="D764" s="121"/>
      <c r="E764" s="121"/>
      <c r="F764" s="121"/>
      <c r="G764" s="121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>
      <c r="A765" s="119"/>
      <c r="B765" s="120"/>
      <c r="C765" s="120"/>
      <c r="D765" s="121"/>
      <c r="E765" s="121"/>
      <c r="F765" s="121"/>
      <c r="G765" s="121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>
      <c r="A766" s="119"/>
      <c r="B766" s="120"/>
      <c r="C766" s="120"/>
      <c r="D766" s="121"/>
      <c r="E766" s="121"/>
      <c r="F766" s="121"/>
      <c r="G766" s="121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>
      <c r="A767" s="119"/>
      <c r="B767" s="120"/>
      <c r="C767" s="120"/>
      <c r="D767" s="121"/>
      <c r="E767" s="121"/>
      <c r="F767" s="121"/>
      <c r="G767" s="121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>
      <c r="A768" s="119"/>
      <c r="B768" s="120"/>
      <c r="C768" s="120"/>
      <c r="D768" s="121"/>
      <c r="E768" s="121"/>
      <c r="F768" s="121"/>
      <c r="G768" s="121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>
      <c r="A769" s="119"/>
      <c r="B769" s="120"/>
      <c r="C769" s="120"/>
      <c r="D769" s="121"/>
      <c r="E769" s="121"/>
      <c r="F769" s="121"/>
      <c r="G769" s="121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>
      <c r="A770" s="119"/>
      <c r="B770" s="120"/>
      <c r="C770" s="120"/>
      <c r="D770" s="121"/>
      <c r="E770" s="121"/>
      <c r="F770" s="121"/>
      <c r="G770" s="121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>
      <c r="A771" s="119"/>
      <c r="B771" s="120"/>
      <c r="C771" s="120"/>
      <c r="D771" s="121"/>
      <c r="E771" s="121"/>
      <c r="F771" s="121"/>
      <c r="G771" s="121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>
      <c r="A772" s="119"/>
      <c r="B772" s="120"/>
      <c r="C772" s="120"/>
      <c r="D772" s="121"/>
      <c r="E772" s="121"/>
      <c r="F772" s="121"/>
      <c r="G772" s="121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>
      <c r="A773" s="119"/>
      <c r="B773" s="120"/>
      <c r="C773" s="120"/>
      <c r="D773" s="121"/>
      <c r="E773" s="121"/>
      <c r="F773" s="121"/>
      <c r="G773" s="121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>
      <c r="A774" s="119"/>
      <c r="B774" s="120"/>
      <c r="C774" s="120"/>
      <c r="D774" s="121"/>
      <c r="E774" s="121"/>
      <c r="F774" s="121"/>
      <c r="G774" s="121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>
      <c r="A775" s="119"/>
      <c r="B775" s="120"/>
      <c r="C775" s="120"/>
      <c r="D775" s="121"/>
      <c r="E775" s="121"/>
      <c r="F775" s="121"/>
      <c r="G775" s="121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>
      <c r="A776" s="119"/>
      <c r="B776" s="120"/>
      <c r="C776" s="120"/>
      <c r="D776" s="121"/>
      <c r="E776" s="121"/>
      <c r="F776" s="121"/>
      <c r="G776" s="121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>
      <c r="A777" s="119"/>
      <c r="B777" s="120"/>
      <c r="C777" s="120"/>
      <c r="D777" s="121"/>
      <c r="E777" s="121"/>
      <c r="F777" s="121"/>
      <c r="G777" s="121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>
      <c r="A778" s="119"/>
      <c r="B778" s="120"/>
      <c r="C778" s="120"/>
      <c r="D778" s="121"/>
      <c r="E778" s="121"/>
      <c r="F778" s="121"/>
      <c r="G778" s="121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>
      <c r="A779" s="119"/>
      <c r="B779" s="120"/>
      <c r="C779" s="120"/>
      <c r="D779" s="121"/>
      <c r="E779" s="121"/>
      <c r="F779" s="121"/>
      <c r="G779" s="121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>
      <c r="A780" s="119"/>
      <c r="B780" s="120"/>
      <c r="C780" s="120"/>
      <c r="D780" s="121"/>
      <c r="E780" s="121"/>
      <c r="F780" s="121"/>
      <c r="G780" s="121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>
      <c r="A781" s="119"/>
      <c r="B781" s="120"/>
      <c r="C781" s="120"/>
      <c r="D781" s="121"/>
      <c r="E781" s="121"/>
      <c r="F781" s="121"/>
      <c r="G781" s="121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>
      <c r="A782" s="119"/>
      <c r="B782" s="120"/>
      <c r="C782" s="120"/>
      <c r="D782" s="121"/>
      <c r="E782" s="121"/>
      <c r="F782" s="121"/>
      <c r="G782" s="121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>
      <c r="A783" s="119"/>
      <c r="B783" s="120"/>
      <c r="C783" s="120"/>
      <c r="D783" s="121"/>
      <c r="E783" s="121"/>
      <c r="F783" s="121"/>
      <c r="G783" s="121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>
      <c r="A784" s="119"/>
      <c r="B784" s="120"/>
      <c r="C784" s="120"/>
      <c r="D784" s="121"/>
      <c r="E784" s="121"/>
      <c r="F784" s="121"/>
      <c r="G784" s="121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>
      <c r="A785" s="119"/>
      <c r="B785" s="120"/>
      <c r="C785" s="120"/>
      <c r="D785" s="121"/>
      <c r="E785" s="121"/>
      <c r="F785" s="121"/>
      <c r="G785" s="121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>
      <c r="A786" s="119"/>
      <c r="B786" s="120"/>
      <c r="C786" s="120"/>
      <c r="D786" s="121"/>
      <c r="E786" s="121"/>
      <c r="F786" s="121"/>
      <c r="G786" s="121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>
      <c r="A787" s="119"/>
      <c r="B787" s="120"/>
      <c r="C787" s="120"/>
      <c r="D787" s="121"/>
      <c r="E787" s="121"/>
      <c r="F787" s="121"/>
      <c r="G787" s="121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>
      <c r="A788" s="119"/>
      <c r="B788" s="120"/>
      <c r="C788" s="120"/>
      <c r="D788" s="121"/>
      <c r="E788" s="121"/>
      <c r="F788" s="121"/>
      <c r="G788" s="121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>
      <c r="A789" s="119"/>
      <c r="B789" s="120"/>
      <c r="C789" s="120"/>
      <c r="D789" s="121"/>
      <c r="E789" s="121"/>
      <c r="F789" s="121"/>
      <c r="G789" s="121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>
      <c r="A790" s="119"/>
      <c r="B790" s="120"/>
      <c r="C790" s="120"/>
      <c r="D790" s="121"/>
      <c r="E790" s="121"/>
      <c r="F790" s="121"/>
      <c r="G790" s="121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>
      <c r="A791" s="119"/>
      <c r="B791" s="120"/>
      <c r="C791" s="120"/>
      <c r="D791" s="121"/>
      <c r="E791" s="121"/>
      <c r="F791" s="121"/>
      <c r="G791" s="121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>
      <c r="A792" s="119"/>
      <c r="B792" s="120"/>
      <c r="C792" s="120"/>
      <c r="D792" s="121"/>
      <c r="E792" s="121"/>
      <c r="F792" s="121"/>
      <c r="G792" s="121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>
      <c r="A793" s="119"/>
      <c r="B793" s="120"/>
      <c r="C793" s="120"/>
      <c r="D793" s="121"/>
      <c r="E793" s="121"/>
      <c r="F793" s="121"/>
      <c r="G793" s="121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>
      <c r="A794" s="119"/>
      <c r="B794" s="120"/>
      <c r="C794" s="120"/>
      <c r="D794" s="121"/>
      <c r="E794" s="121"/>
      <c r="F794" s="121"/>
      <c r="G794" s="121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>
      <c r="A795" s="119"/>
      <c r="B795" s="120"/>
      <c r="C795" s="120"/>
      <c r="D795" s="121"/>
      <c r="E795" s="121"/>
      <c r="F795" s="121"/>
      <c r="G795" s="121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>
      <c r="A796" s="119"/>
      <c r="B796" s="120"/>
      <c r="C796" s="120"/>
      <c r="D796" s="121"/>
      <c r="E796" s="121"/>
      <c r="F796" s="121"/>
      <c r="G796" s="121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>
      <c r="A797" s="119"/>
      <c r="B797" s="120"/>
      <c r="C797" s="120"/>
      <c r="D797" s="121"/>
      <c r="E797" s="121"/>
      <c r="F797" s="121"/>
      <c r="G797" s="121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>
      <c r="A798" s="119"/>
      <c r="B798" s="120"/>
      <c r="C798" s="120"/>
      <c r="D798" s="121"/>
      <c r="E798" s="121"/>
      <c r="F798" s="121"/>
      <c r="G798" s="121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>
      <c r="A799" s="119"/>
      <c r="B799" s="120"/>
      <c r="C799" s="120"/>
      <c r="D799" s="121"/>
      <c r="E799" s="121"/>
      <c r="F799" s="121"/>
      <c r="G799" s="121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>
      <c r="A800" s="119"/>
      <c r="B800" s="120"/>
      <c r="C800" s="120"/>
      <c r="D800" s="121"/>
      <c r="E800" s="121"/>
      <c r="F800" s="121"/>
      <c r="G800" s="121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>
      <c r="A801" s="119"/>
      <c r="B801" s="120"/>
      <c r="C801" s="120"/>
      <c r="D801" s="121"/>
      <c r="E801" s="121"/>
      <c r="F801" s="121"/>
      <c r="G801" s="121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>
      <c r="A802" s="119"/>
      <c r="B802" s="120"/>
      <c r="C802" s="120"/>
      <c r="D802" s="121"/>
      <c r="E802" s="121"/>
      <c r="F802" s="121"/>
      <c r="G802" s="121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>
      <c r="A803" s="119"/>
      <c r="B803" s="120"/>
      <c r="C803" s="120"/>
      <c r="D803" s="121"/>
      <c r="E803" s="121"/>
      <c r="F803" s="121"/>
      <c r="G803" s="121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>
      <c r="A804" s="119"/>
      <c r="B804" s="120"/>
      <c r="C804" s="120"/>
      <c r="D804" s="121"/>
      <c r="E804" s="121"/>
      <c r="F804" s="121"/>
      <c r="G804" s="121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>
      <c r="A805" s="119"/>
      <c r="B805" s="120"/>
      <c r="C805" s="120"/>
      <c r="D805" s="121"/>
      <c r="E805" s="121"/>
      <c r="F805" s="121"/>
      <c r="G805" s="121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>
      <c r="A806" s="119"/>
      <c r="B806" s="120"/>
      <c r="C806" s="120"/>
      <c r="D806" s="121"/>
      <c r="E806" s="121"/>
      <c r="F806" s="121"/>
      <c r="G806" s="121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>
      <c r="A807" s="119"/>
      <c r="B807" s="120"/>
      <c r="C807" s="120"/>
      <c r="D807" s="121"/>
      <c r="E807" s="121"/>
      <c r="F807" s="121"/>
      <c r="G807" s="121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>
      <c r="A808" s="119"/>
      <c r="B808" s="120"/>
      <c r="C808" s="120"/>
      <c r="D808" s="121"/>
      <c r="E808" s="121"/>
      <c r="F808" s="121"/>
      <c r="G808" s="121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>
      <c r="A809" s="119"/>
      <c r="B809" s="120"/>
      <c r="C809" s="120"/>
      <c r="D809" s="121"/>
      <c r="E809" s="121"/>
      <c r="F809" s="121"/>
      <c r="G809" s="121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>
      <c r="A810" s="119"/>
      <c r="B810" s="120"/>
      <c r="C810" s="120"/>
      <c r="D810" s="121"/>
      <c r="E810" s="121"/>
      <c r="F810" s="121"/>
      <c r="G810" s="121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>
      <c r="A811" s="119"/>
      <c r="B811" s="120"/>
      <c r="C811" s="120"/>
      <c r="D811" s="121"/>
      <c r="E811" s="121"/>
      <c r="F811" s="121"/>
      <c r="G811" s="121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>
      <c r="A812" s="119"/>
      <c r="B812" s="120"/>
      <c r="C812" s="120"/>
      <c r="D812" s="121"/>
      <c r="E812" s="121"/>
      <c r="F812" s="121"/>
      <c r="G812" s="121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>
      <c r="A813" s="119"/>
      <c r="B813" s="120"/>
      <c r="C813" s="120"/>
      <c r="D813" s="121"/>
      <c r="E813" s="121"/>
      <c r="F813" s="121"/>
      <c r="G813" s="121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>
      <c r="A814" s="119"/>
      <c r="B814" s="120"/>
      <c r="C814" s="120"/>
      <c r="D814" s="121"/>
      <c r="E814" s="121"/>
      <c r="F814" s="121"/>
      <c r="G814" s="121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>
      <c r="A815" s="119"/>
      <c r="B815" s="120"/>
      <c r="C815" s="120"/>
      <c r="D815" s="121"/>
      <c r="E815" s="121"/>
      <c r="F815" s="121"/>
      <c r="G815" s="121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>
      <c r="A816" s="119"/>
      <c r="B816" s="120"/>
      <c r="C816" s="120"/>
      <c r="D816" s="121"/>
      <c r="E816" s="121"/>
      <c r="F816" s="121"/>
      <c r="G816" s="121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>
      <c r="A817" s="119"/>
      <c r="B817" s="120"/>
      <c r="C817" s="120"/>
      <c r="D817" s="121"/>
      <c r="E817" s="121"/>
      <c r="F817" s="121"/>
      <c r="G817" s="121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>
      <c r="A818" s="119"/>
      <c r="B818" s="120"/>
      <c r="C818" s="120"/>
      <c r="D818" s="121"/>
      <c r="E818" s="121"/>
      <c r="F818" s="121"/>
      <c r="G818" s="121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>
      <c r="A819" s="119"/>
      <c r="B819" s="120"/>
      <c r="C819" s="120"/>
      <c r="D819" s="121"/>
      <c r="E819" s="121"/>
      <c r="F819" s="121"/>
      <c r="G819" s="121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>
      <c r="A820" s="119"/>
      <c r="B820" s="120"/>
      <c r="C820" s="120"/>
      <c r="D820" s="121"/>
      <c r="E820" s="121"/>
      <c r="F820" s="121"/>
      <c r="G820" s="121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>
      <c r="A821" s="119"/>
      <c r="B821" s="120"/>
      <c r="C821" s="120"/>
      <c r="D821" s="121"/>
      <c r="E821" s="121"/>
      <c r="F821" s="121"/>
      <c r="G821" s="121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>
      <c r="A822" s="119"/>
      <c r="B822" s="120"/>
      <c r="C822" s="120"/>
      <c r="D822" s="121"/>
      <c r="E822" s="121"/>
      <c r="F822" s="121"/>
      <c r="G822" s="121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>
      <c r="A823" s="119"/>
      <c r="B823" s="120"/>
      <c r="C823" s="120"/>
      <c r="D823" s="121"/>
      <c r="E823" s="121"/>
      <c r="F823" s="121"/>
      <c r="G823" s="121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>
      <c r="A824" s="119"/>
      <c r="B824" s="120"/>
      <c r="C824" s="120"/>
      <c r="D824" s="121"/>
      <c r="E824" s="121"/>
      <c r="F824" s="121"/>
      <c r="G824" s="121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>
      <c r="A825" s="119"/>
      <c r="B825" s="120"/>
      <c r="C825" s="120"/>
      <c r="D825" s="121"/>
      <c r="E825" s="121"/>
      <c r="F825" s="121"/>
      <c r="G825" s="121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>
      <c r="A826" s="119"/>
      <c r="B826" s="120"/>
      <c r="C826" s="120"/>
      <c r="D826" s="121"/>
      <c r="E826" s="121"/>
      <c r="F826" s="121"/>
      <c r="G826" s="121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>
      <c r="A827" s="119"/>
      <c r="B827" s="120"/>
      <c r="C827" s="120"/>
      <c r="D827" s="121"/>
      <c r="E827" s="121"/>
      <c r="F827" s="121"/>
      <c r="G827" s="121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>
      <c r="A828" s="119"/>
      <c r="B828" s="120"/>
      <c r="C828" s="120"/>
      <c r="D828" s="121"/>
      <c r="E828" s="121"/>
      <c r="F828" s="121"/>
      <c r="G828" s="121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>
      <c r="A829" s="119"/>
      <c r="B829" s="120"/>
      <c r="C829" s="120"/>
      <c r="D829" s="121"/>
      <c r="E829" s="121"/>
      <c r="F829" s="121"/>
      <c r="G829" s="121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>
      <c r="A830" s="119"/>
      <c r="B830" s="120"/>
      <c r="C830" s="120"/>
      <c r="D830" s="121"/>
      <c r="E830" s="121"/>
      <c r="F830" s="121"/>
      <c r="G830" s="121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>
      <c r="A831" s="119"/>
      <c r="B831" s="120"/>
      <c r="C831" s="120"/>
      <c r="D831" s="121"/>
      <c r="E831" s="121"/>
      <c r="F831" s="121"/>
      <c r="G831" s="121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>
      <c r="A832" s="119"/>
      <c r="B832" s="120"/>
      <c r="C832" s="120"/>
      <c r="D832" s="121"/>
      <c r="E832" s="121"/>
      <c r="F832" s="121"/>
      <c r="G832" s="121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>
      <c r="A833" s="119"/>
      <c r="B833" s="120"/>
      <c r="C833" s="120"/>
      <c r="D833" s="121"/>
      <c r="E833" s="121"/>
      <c r="F833" s="121"/>
      <c r="G833" s="121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>
      <c r="A834" s="119"/>
      <c r="B834" s="120"/>
      <c r="C834" s="120"/>
      <c r="D834" s="121"/>
      <c r="E834" s="121"/>
      <c r="F834" s="121"/>
      <c r="G834" s="121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>
      <c r="A835" s="119"/>
      <c r="B835" s="120"/>
      <c r="C835" s="120"/>
      <c r="D835" s="121"/>
      <c r="E835" s="121"/>
      <c r="F835" s="121"/>
      <c r="G835" s="121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>
      <c r="A836" s="119"/>
      <c r="B836" s="120"/>
      <c r="C836" s="120"/>
      <c r="D836" s="121"/>
      <c r="E836" s="121"/>
      <c r="F836" s="121"/>
      <c r="G836" s="121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>
      <c r="A837" s="119"/>
      <c r="B837" s="120"/>
      <c r="C837" s="120"/>
      <c r="D837" s="121"/>
      <c r="E837" s="121"/>
      <c r="F837" s="121"/>
      <c r="G837" s="121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>
      <c r="A838" s="119"/>
      <c r="B838" s="120"/>
      <c r="C838" s="120"/>
      <c r="D838" s="121"/>
      <c r="E838" s="121"/>
      <c r="F838" s="121"/>
      <c r="G838" s="121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>
      <c r="A839" s="119"/>
      <c r="B839" s="120"/>
      <c r="C839" s="120"/>
      <c r="D839" s="121"/>
      <c r="E839" s="121"/>
      <c r="F839" s="121"/>
      <c r="G839" s="121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>
      <c r="A840" s="119"/>
      <c r="B840" s="120"/>
      <c r="C840" s="120"/>
      <c r="D840" s="121"/>
      <c r="E840" s="121"/>
      <c r="F840" s="121"/>
      <c r="G840" s="121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>
      <c r="A841" s="119"/>
      <c r="B841" s="120"/>
      <c r="C841" s="120"/>
      <c r="D841" s="121"/>
      <c r="E841" s="121"/>
      <c r="F841" s="121"/>
      <c r="G841" s="121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>
      <c r="A842" s="119"/>
      <c r="B842" s="120"/>
      <c r="C842" s="120"/>
      <c r="D842" s="121"/>
      <c r="E842" s="121"/>
      <c r="F842" s="121"/>
      <c r="G842" s="121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>
      <c r="A843" s="119"/>
      <c r="B843" s="120"/>
      <c r="C843" s="120"/>
      <c r="D843" s="121"/>
      <c r="E843" s="121"/>
      <c r="F843" s="121"/>
      <c r="G843" s="121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>
      <c r="A844" s="119"/>
      <c r="B844" s="120"/>
      <c r="C844" s="120"/>
      <c r="D844" s="121"/>
      <c r="E844" s="121"/>
      <c r="F844" s="121"/>
      <c r="G844" s="121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>
      <c r="A845" s="119"/>
      <c r="B845" s="120"/>
      <c r="C845" s="120"/>
      <c r="D845" s="121"/>
      <c r="E845" s="121"/>
      <c r="F845" s="121"/>
      <c r="G845" s="121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>
      <c r="A846" s="119"/>
      <c r="B846" s="120"/>
      <c r="C846" s="120"/>
      <c r="D846" s="121"/>
      <c r="E846" s="121"/>
      <c r="F846" s="121"/>
      <c r="G846" s="121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>
      <c r="A847" s="119"/>
      <c r="B847" s="120"/>
      <c r="C847" s="120"/>
      <c r="D847" s="121"/>
      <c r="E847" s="121"/>
      <c r="F847" s="121"/>
      <c r="G847" s="121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>
      <c r="A848" s="119"/>
      <c r="B848" s="120"/>
      <c r="C848" s="120"/>
      <c r="D848" s="121"/>
      <c r="E848" s="121"/>
      <c r="F848" s="121"/>
      <c r="G848" s="121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>
      <c r="A849" s="119"/>
      <c r="B849" s="120"/>
      <c r="C849" s="120"/>
      <c r="D849" s="121"/>
      <c r="E849" s="121"/>
      <c r="F849" s="121"/>
      <c r="G849" s="121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>
      <c r="A850" s="119"/>
      <c r="B850" s="120"/>
      <c r="C850" s="120"/>
      <c r="D850" s="121"/>
      <c r="E850" s="121"/>
      <c r="F850" s="121"/>
      <c r="G850" s="121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>
      <c r="A851" s="119"/>
      <c r="B851" s="120"/>
      <c r="C851" s="120"/>
      <c r="D851" s="121"/>
      <c r="E851" s="121"/>
      <c r="F851" s="121"/>
      <c r="G851" s="121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>
      <c r="A852" s="119"/>
      <c r="B852" s="120"/>
      <c r="C852" s="120"/>
      <c r="D852" s="121"/>
      <c r="E852" s="121"/>
      <c r="F852" s="121"/>
      <c r="G852" s="121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>
      <c r="A853" s="119"/>
      <c r="B853" s="120"/>
      <c r="C853" s="120"/>
      <c r="D853" s="121"/>
      <c r="E853" s="121"/>
      <c r="F853" s="121"/>
      <c r="G853" s="121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>
      <c r="A854" s="119"/>
      <c r="B854" s="120"/>
      <c r="C854" s="120"/>
      <c r="D854" s="121"/>
      <c r="E854" s="121"/>
      <c r="F854" s="121"/>
      <c r="G854" s="121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>
      <c r="A855" s="119"/>
      <c r="B855" s="120"/>
      <c r="C855" s="120"/>
      <c r="D855" s="121"/>
      <c r="E855" s="121"/>
      <c r="F855" s="121"/>
      <c r="G855" s="121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>
      <c r="A856" s="119"/>
      <c r="B856" s="120"/>
      <c r="C856" s="120"/>
      <c r="D856" s="121"/>
      <c r="E856" s="121"/>
      <c r="F856" s="121"/>
      <c r="G856" s="121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>
      <c r="A857" s="119"/>
      <c r="B857" s="120"/>
      <c r="C857" s="120"/>
      <c r="D857" s="121"/>
      <c r="E857" s="121"/>
      <c r="F857" s="121"/>
      <c r="G857" s="121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>
      <c r="A858" s="119"/>
      <c r="B858" s="120"/>
      <c r="C858" s="120"/>
      <c r="D858" s="121"/>
      <c r="E858" s="121"/>
      <c r="F858" s="121"/>
      <c r="G858" s="121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>
      <c r="A859" s="119"/>
      <c r="B859" s="120"/>
      <c r="C859" s="120"/>
      <c r="D859" s="121"/>
      <c r="E859" s="121"/>
      <c r="F859" s="121"/>
      <c r="G859" s="121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>
      <c r="A860" s="119"/>
      <c r="B860" s="120"/>
      <c r="C860" s="120"/>
      <c r="D860" s="121"/>
      <c r="E860" s="121"/>
      <c r="F860" s="121"/>
      <c r="G860" s="121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>
      <c r="A861" s="119"/>
      <c r="B861" s="120"/>
      <c r="C861" s="120"/>
      <c r="D861" s="121"/>
      <c r="E861" s="121"/>
      <c r="F861" s="121"/>
      <c r="G861" s="121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>
      <c r="A862" s="119"/>
      <c r="B862" s="120"/>
      <c r="C862" s="120"/>
      <c r="D862" s="121"/>
      <c r="E862" s="121"/>
      <c r="F862" s="121"/>
      <c r="G862" s="121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>
      <c r="A863" s="119"/>
      <c r="B863" s="120"/>
      <c r="C863" s="120"/>
      <c r="D863" s="121"/>
      <c r="E863" s="121"/>
      <c r="F863" s="121"/>
      <c r="G863" s="121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>
      <c r="A864" s="119"/>
      <c r="B864" s="120"/>
      <c r="C864" s="120"/>
      <c r="D864" s="121"/>
      <c r="E864" s="121"/>
      <c r="F864" s="121"/>
      <c r="G864" s="121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>
      <c r="A865" s="119"/>
      <c r="B865" s="120"/>
      <c r="C865" s="120"/>
      <c r="D865" s="121"/>
      <c r="E865" s="121"/>
      <c r="F865" s="121"/>
      <c r="G865" s="121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>
      <c r="A866" s="119"/>
      <c r="B866" s="120"/>
      <c r="C866" s="120"/>
      <c r="D866" s="121"/>
      <c r="E866" s="121"/>
      <c r="F866" s="121"/>
      <c r="G866" s="121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>
      <c r="A867" s="119"/>
      <c r="B867" s="120"/>
      <c r="C867" s="120"/>
      <c r="D867" s="121"/>
      <c r="E867" s="121"/>
      <c r="F867" s="121"/>
      <c r="G867" s="121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>
      <c r="A868" s="119"/>
      <c r="B868" s="120"/>
      <c r="C868" s="120"/>
      <c r="D868" s="121"/>
      <c r="E868" s="121"/>
      <c r="F868" s="121"/>
      <c r="G868" s="121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>
      <c r="A869" s="119"/>
      <c r="B869" s="120"/>
      <c r="C869" s="120"/>
      <c r="D869" s="121"/>
      <c r="E869" s="121"/>
      <c r="F869" s="121"/>
      <c r="G869" s="121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>
      <c r="A870" s="119"/>
      <c r="B870" s="120"/>
      <c r="C870" s="120"/>
      <c r="D870" s="121"/>
      <c r="E870" s="121"/>
      <c r="F870" s="121"/>
      <c r="G870" s="121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>
      <c r="A871" s="119"/>
      <c r="B871" s="120"/>
      <c r="C871" s="120"/>
      <c r="D871" s="121"/>
      <c r="E871" s="121"/>
      <c r="F871" s="121"/>
      <c r="G871" s="121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>
      <c r="A872" s="119"/>
      <c r="B872" s="120"/>
      <c r="C872" s="120"/>
      <c r="D872" s="121"/>
      <c r="E872" s="121"/>
      <c r="F872" s="121"/>
      <c r="G872" s="121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>
      <c r="A873" s="119"/>
      <c r="B873" s="120"/>
      <c r="C873" s="120"/>
      <c r="D873" s="121"/>
      <c r="E873" s="121"/>
      <c r="F873" s="121"/>
      <c r="G873" s="121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>
      <c r="A874" s="119"/>
      <c r="B874" s="120"/>
      <c r="C874" s="120"/>
      <c r="D874" s="121"/>
      <c r="E874" s="121"/>
      <c r="F874" s="121"/>
      <c r="G874" s="121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>
      <c r="A875" s="119"/>
      <c r="B875" s="120"/>
      <c r="C875" s="120"/>
      <c r="D875" s="121"/>
      <c r="E875" s="121"/>
      <c r="F875" s="121"/>
      <c r="G875" s="121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>
      <c r="A876" s="119"/>
      <c r="B876" s="120"/>
      <c r="C876" s="120"/>
      <c r="D876" s="121"/>
      <c r="E876" s="121"/>
      <c r="F876" s="121"/>
      <c r="G876" s="121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>
      <c r="A877" s="119"/>
      <c r="B877" s="120"/>
      <c r="C877" s="120"/>
      <c r="D877" s="121"/>
      <c r="E877" s="121"/>
      <c r="F877" s="121"/>
      <c r="G877" s="121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>
      <c r="A878" s="119"/>
      <c r="B878" s="120"/>
      <c r="C878" s="120"/>
      <c r="D878" s="121"/>
      <c r="E878" s="121"/>
      <c r="F878" s="121"/>
      <c r="G878" s="121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>
      <c r="A879" s="119"/>
      <c r="B879" s="120"/>
      <c r="C879" s="120"/>
      <c r="D879" s="121"/>
      <c r="E879" s="121"/>
      <c r="F879" s="121"/>
      <c r="G879" s="121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>
      <c r="A880" s="119"/>
      <c r="B880" s="120"/>
      <c r="C880" s="120"/>
      <c r="D880" s="121"/>
      <c r="E880" s="121"/>
      <c r="F880" s="121"/>
      <c r="G880" s="121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>
      <c r="A881" s="119"/>
      <c r="B881" s="120"/>
      <c r="C881" s="120"/>
      <c r="D881" s="121"/>
      <c r="E881" s="121"/>
      <c r="F881" s="121"/>
      <c r="G881" s="121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>
      <c r="A882" s="119"/>
      <c r="B882" s="120"/>
      <c r="C882" s="120"/>
      <c r="D882" s="121"/>
      <c r="E882" s="121"/>
      <c r="F882" s="121"/>
      <c r="G882" s="121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>
      <c r="A883" s="119"/>
      <c r="B883" s="120"/>
      <c r="C883" s="120"/>
      <c r="D883" s="121"/>
      <c r="E883" s="121"/>
      <c r="F883" s="121"/>
      <c r="G883" s="121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>
      <c r="A884" s="119"/>
      <c r="B884" s="120"/>
      <c r="C884" s="120"/>
      <c r="D884" s="121"/>
      <c r="E884" s="121"/>
      <c r="F884" s="121"/>
      <c r="G884" s="121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>
      <c r="A885" s="119"/>
      <c r="B885" s="120"/>
      <c r="C885" s="120"/>
      <c r="D885" s="121"/>
      <c r="E885" s="121"/>
      <c r="F885" s="121"/>
      <c r="G885" s="121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>
      <c r="A886" s="119"/>
      <c r="B886" s="120"/>
      <c r="C886" s="120"/>
      <c r="D886" s="121"/>
      <c r="E886" s="121"/>
      <c r="F886" s="121"/>
      <c r="G886" s="121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>
      <c r="A887" s="119"/>
      <c r="B887" s="120"/>
      <c r="C887" s="120"/>
      <c r="D887" s="121"/>
      <c r="E887" s="121"/>
      <c r="F887" s="121"/>
      <c r="G887" s="121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>
      <c r="A888" s="119"/>
      <c r="B888" s="120"/>
      <c r="C888" s="120"/>
      <c r="D888" s="121"/>
      <c r="E888" s="121"/>
      <c r="F888" s="121"/>
      <c r="G888" s="121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>
      <c r="A889" s="119"/>
      <c r="B889" s="120"/>
      <c r="C889" s="120"/>
      <c r="D889" s="121"/>
      <c r="E889" s="121"/>
      <c r="F889" s="121"/>
      <c r="G889" s="121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>
      <c r="A890" s="119"/>
      <c r="B890" s="120"/>
      <c r="C890" s="120"/>
      <c r="D890" s="121"/>
      <c r="E890" s="121"/>
      <c r="F890" s="121"/>
      <c r="G890" s="121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>
      <c r="A891" s="119"/>
      <c r="B891" s="120"/>
      <c r="C891" s="120"/>
      <c r="D891" s="121"/>
      <c r="E891" s="121"/>
      <c r="F891" s="121"/>
      <c r="G891" s="121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>
      <c r="A892" s="119"/>
      <c r="B892" s="120"/>
      <c r="C892" s="120"/>
      <c r="D892" s="121"/>
      <c r="E892" s="121"/>
      <c r="F892" s="121"/>
      <c r="G892" s="121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>
      <c r="A893" s="119"/>
      <c r="B893" s="120"/>
      <c r="C893" s="120"/>
      <c r="D893" s="121"/>
      <c r="E893" s="121"/>
      <c r="F893" s="121"/>
      <c r="G893" s="121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>
      <c r="A894" s="119"/>
      <c r="B894" s="120"/>
      <c r="C894" s="120"/>
      <c r="D894" s="121"/>
      <c r="E894" s="121"/>
      <c r="F894" s="121"/>
      <c r="G894" s="121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>
      <c r="A895" s="119"/>
      <c r="B895" s="120"/>
      <c r="C895" s="120"/>
      <c r="D895" s="121"/>
      <c r="E895" s="121"/>
      <c r="F895" s="121"/>
      <c r="G895" s="121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>
      <c r="A896" s="119"/>
      <c r="B896" s="120"/>
      <c r="C896" s="120"/>
      <c r="D896" s="121"/>
      <c r="E896" s="121"/>
      <c r="F896" s="121"/>
      <c r="G896" s="121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>
      <c r="A897" s="119"/>
      <c r="B897" s="120"/>
      <c r="C897" s="120"/>
      <c r="D897" s="121"/>
      <c r="E897" s="121"/>
      <c r="F897" s="121"/>
      <c r="G897" s="121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>
      <c r="A898" s="119"/>
      <c r="B898" s="120"/>
      <c r="C898" s="120"/>
      <c r="D898" s="121"/>
      <c r="E898" s="121"/>
      <c r="F898" s="121"/>
      <c r="G898" s="121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>
      <c r="A899" s="119"/>
      <c r="B899" s="120"/>
      <c r="C899" s="120"/>
      <c r="D899" s="121"/>
      <c r="E899" s="121"/>
      <c r="F899" s="121"/>
      <c r="G899" s="121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>
      <c r="A900" s="119"/>
      <c r="B900" s="120"/>
      <c r="C900" s="120"/>
      <c r="D900" s="121"/>
      <c r="E900" s="121"/>
      <c r="F900" s="121"/>
      <c r="G900" s="121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>
      <c r="A901" s="119"/>
      <c r="B901" s="120"/>
      <c r="C901" s="120"/>
      <c r="D901" s="121"/>
      <c r="E901" s="121"/>
      <c r="F901" s="121"/>
      <c r="G901" s="121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>
      <c r="A902" s="119"/>
      <c r="B902" s="120"/>
      <c r="C902" s="120"/>
      <c r="D902" s="121"/>
      <c r="E902" s="121"/>
      <c r="F902" s="121"/>
      <c r="G902" s="121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>
      <c r="A903" s="119"/>
      <c r="B903" s="120"/>
      <c r="C903" s="120"/>
      <c r="D903" s="121"/>
      <c r="E903" s="121"/>
      <c r="F903" s="121"/>
      <c r="G903" s="121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>
      <c r="A904" s="119"/>
      <c r="B904" s="120"/>
      <c r="C904" s="120"/>
      <c r="D904" s="121"/>
      <c r="E904" s="121"/>
      <c r="F904" s="121"/>
      <c r="G904" s="121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>
      <c r="A905" s="119"/>
      <c r="B905" s="120"/>
      <c r="C905" s="120"/>
      <c r="D905" s="121"/>
      <c r="E905" s="121"/>
      <c r="F905" s="121"/>
      <c r="G905" s="121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>
      <c r="A906" s="119"/>
      <c r="B906" s="120"/>
      <c r="C906" s="120"/>
      <c r="D906" s="121"/>
      <c r="E906" s="121"/>
      <c r="F906" s="121"/>
      <c r="G906" s="121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>
      <c r="A907" s="119"/>
      <c r="B907" s="120"/>
      <c r="C907" s="120"/>
      <c r="D907" s="121"/>
      <c r="E907" s="121"/>
      <c r="F907" s="121"/>
      <c r="G907" s="121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>
      <c r="A908" s="119"/>
      <c r="B908" s="120"/>
      <c r="C908" s="120"/>
      <c r="D908" s="121"/>
      <c r="E908" s="121"/>
      <c r="F908" s="121"/>
      <c r="G908" s="121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>
      <c r="A909" s="119"/>
      <c r="B909" s="120"/>
      <c r="C909" s="120"/>
      <c r="D909" s="121"/>
      <c r="E909" s="121"/>
      <c r="F909" s="121"/>
      <c r="G909" s="121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>
      <c r="A910" s="119"/>
      <c r="B910" s="120"/>
      <c r="C910" s="120"/>
      <c r="D910" s="121"/>
      <c r="E910" s="121"/>
      <c r="F910" s="121"/>
      <c r="G910" s="121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>
      <c r="A911" s="119"/>
      <c r="B911" s="120"/>
      <c r="C911" s="120"/>
      <c r="D911" s="121"/>
      <c r="E911" s="121"/>
      <c r="F911" s="121"/>
      <c r="G911" s="121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>
      <c r="A912" s="119"/>
      <c r="B912" s="120"/>
      <c r="C912" s="120"/>
      <c r="D912" s="121"/>
      <c r="E912" s="121"/>
      <c r="F912" s="121"/>
      <c r="G912" s="121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>
      <c r="A913" s="119"/>
      <c r="B913" s="120"/>
      <c r="C913" s="120"/>
      <c r="D913" s="121"/>
      <c r="E913" s="121"/>
      <c r="F913" s="121"/>
      <c r="G913" s="121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>
      <c r="A914" s="119"/>
      <c r="B914" s="120"/>
      <c r="C914" s="120"/>
      <c r="D914" s="121"/>
      <c r="E914" s="121"/>
      <c r="F914" s="121"/>
      <c r="G914" s="121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>
      <c r="A915" s="119"/>
      <c r="B915" s="120"/>
      <c r="C915" s="120"/>
      <c r="D915" s="121"/>
      <c r="E915" s="121"/>
      <c r="F915" s="121"/>
      <c r="G915" s="121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>
      <c r="A916" s="119"/>
      <c r="B916" s="120"/>
      <c r="C916" s="120"/>
      <c r="D916" s="121"/>
      <c r="E916" s="121"/>
      <c r="F916" s="121"/>
      <c r="G916" s="121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>
      <c r="A917" s="119"/>
      <c r="B917" s="120"/>
      <c r="C917" s="120"/>
      <c r="D917" s="121"/>
      <c r="E917" s="121"/>
      <c r="F917" s="121"/>
      <c r="G917" s="121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>
      <c r="A918" s="119"/>
      <c r="B918" s="120"/>
      <c r="C918" s="120"/>
      <c r="D918" s="121"/>
      <c r="E918" s="121"/>
      <c r="F918" s="121"/>
      <c r="G918" s="121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>
      <c r="A919" s="119"/>
      <c r="B919" s="120"/>
      <c r="C919" s="120"/>
      <c r="D919" s="121"/>
      <c r="E919" s="121"/>
      <c r="F919" s="121"/>
      <c r="G919" s="121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>
      <c r="A920" s="119"/>
      <c r="B920" s="120"/>
      <c r="C920" s="120"/>
      <c r="D920" s="121"/>
      <c r="E920" s="121"/>
      <c r="F920" s="121"/>
      <c r="G920" s="121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>
      <c r="A921" s="119"/>
      <c r="B921" s="120"/>
      <c r="C921" s="120"/>
      <c r="D921" s="121"/>
      <c r="E921" s="121"/>
      <c r="F921" s="121"/>
      <c r="G921" s="121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>
      <c r="A922" s="119"/>
      <c r="B922" s="120"/>
      <c r="C922" s="120"/>
      <c r="D922" s="121"/>
      <c r="E922" s="121"/>
      <c r="F922" s="121"/>
      <c r="G922" s="121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>
      <c r="A923" s="119"/>
      <c r="B923" s="120"/>
      <c r="C923" s="120"/>
      <c r="D923" s="121"/>
      <c r="E923" s="121"/>
      <c r="F923" s="121"/>
      <c r="G923" s="121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>
      <c r="A924" s="119"/>
      <c r="B924" s="120"/>
      <c r="C924" s="120"/>
      <c r="D924" s="121"/>
      <c r="E924" s="121"/>
      <c r="F924" s="121"/>
      <c r="G924" s="121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>
      <c r="A925" s="119"/>
      <c r="B925" s="120"/>
      <c r="C925" s="120"/>
      <c r="D925" s="121"/>
      <c r="E925" s="121"/>
      <c r="F925" s="121"/>
      <c r="G925" s="121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>
      <c r="A926" s="119"/>
      <c r="B926" s="120"/>
      <c r="C926" s="120"/>
      <c r="D926" s="121"/>
      <c r="E926" s="121"/>
      <c r="F926" s="121"/>
      <c r="G926" s="121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>
      <c r="A927" s="119"/>
      <c r="B927" s="120"/>
      <c r="C927" s="120"/>
      <c r="D927" s="121"/>
      <c r="E927" s="121"/>
      <c r="F927" s="121"/>
      <c r="G927" s="121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>
      <c r="A928" s="119"/>
      <c r="B928" s="120"/>
      <c r="C928" s="120"/>
      <c r="D928" s="121"/>
      <c r="E928" s="121"/>
      <c r="F928" s="121"/>
      <c r="G928" s="121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>
      <c r="A929" s="119"/>
      <c r="B929" s="120"/>
      <c r="C929" s="120"/>
      <c r="D929" s="121"/>
      <c r="E929" s="121"/>
      <c r="F929" s="121"/>
      <c r="G929" s="121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>
      <c r="A930" s="119"/>
      <c r="B930" s="120"/>
      <c r="C930" s="120"/>
      <c r="D930" s="121"/>
      <c r="E930" s="121"/>
      <c r="F930" s="121"/>
      <c r="G930" s="121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>
      <c r="A931" s="119"/>
      <c r="B931" s="120"/>
      <c r="C931" s="120"/>
      <c r="D931" s="121"/>
      <c r="E931" s="121"/>
      <c r="F931" s="121"/>
      <c r="G931" s="121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>
      <c r="A932" s="119"/>
      <c r="B932" s="120"/>
      <c r="C932" s="120"/>
      <c r="D932" s="121"/>
      <c r="E932" s="121"/>
      <c r="F932" s="121"/>
      <c r="G932" s="121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>
      <c r="A933" s="119"/>
      <c r="B933" s="120"/>
      <c r="C933" s="120"/>
      <c r="D933" s="121"/>
      <c r="E933" s="121"/>
      <c r="F933" s="121"/>
      <c r="G933" s="121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>
      <c r="A934" s="119"/>
      <c r="B934" s="120"/>
      <c r="C934" s="120"/>
      <c r="D934" s="121"/>
      <c r="E934" s="121"/>
      <c r="F934" s="121"/>
      <c r="G934" s="121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>
      <c r="A935" s="119"/>
      <c r="B935" s="120"/>
      <c r="C935" s="120"/>
      <c r="D935" s="121"/>
      <c r="E935" s="121"/>
      <c r="F935" s="121"/>
      <c r="G935" s="121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>
      <c r="A936" s="119"/>
      <c r="B936" s="120"/>
      <c r="C936" s="120"/>
      <c r="D936" s="121"/>
      <c r="E936" s="121"/>
      <c r="F936" s="121"/>
      <c r="G936" s="121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>
      <c r="A937" s="119"/>
      <c r="B937" s="120"/>
      <c r="C937" s="120"/>
      <c r="D937" s="121"/>
      <c r="E937" s="121"/>
      <c r="F937" s="121"/>
      <c r="G937" s="121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>
      <c r="A938" s="119"/>
      <c r="B938" s="120"/>
      <c r="C938" s="120"/>
      <c r="D938" s="121"/>
      <c r="E938" s="121"/>
      <c r="F938" s="121"/>
      <c r="G938" s="121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>
      <c r="A939" s="119"/>
      <c r="B939" s="120"/>
      <c r="C939" s="120"/>
      <c r="D939" s="121"/>
      <c r="E939" s="121"/>
      <c r="F939" s="121"/>
      <c r="G939" s="121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>
      <c r="A940" s="119"/>
      <c r="B940" s="120"/>
      <c r="C940" s="120"/>
      <c r="D940" s="121"/>
      <c r="E940" s="121"/>
      <c r="F940" s="121"/>
      <c r="G940" s="121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>
      <c r="A941" s="119"/>
      <c r="B941" s="120"/>
      <c r="C941" s="120"/>
      <c r="D941" s="121"/>
      <c r="E941" s="121"/>
      <c r="F941" s="121"/>
      <c r="G941" s="121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>
      <c r="A942" s="119"/>
      <c r="B942" s="120"/>
      <c r="C942" s="120"/>
      <c r="D942" s="121"/>
      <c r="E942" s="121"/>
      <c r="F942" s="121"/>
      <c r="G942" s="121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>
      <c r="A943" s="119"/>
      <c r="B943" s="120"/>
      <c r="C943" s="120"/>
      <c r="D943" s="121"/>
      <c r="E943" s="121"/>
      <c r="F943" s="121"/>
      <c r="G943" s="121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>
      <c r="A944" s="119"/>
      <c r="B944" s="120"/>
      <c r="C944" s="120"/>
      <c r="D944" s="121"/>
      <c r="E944" s="121"/>
      <c r="F944" s="121"/>
      <c r="G944" s="121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>
      <c r="A945" s="119"/>
      <c r="B945" s="120"/>
      <c r="C945" s="120"/>
      <c r="D945" s="121"/>
      <c r="E945" s="121"/>
      <c r="F945" s="121"/>
      <c r="G945" s="121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>
      <c r="A946" s="119"/>
      <c r="B946" s="120"/>
      <c r="C946" s="120"/>
      <c r="D946" s="121"/>
      <c r="E946" s="121"/>
      <c r="F946" s="121"/>
      <c r="G946" s="121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>
      <c r="A947" s="119"/>
      <c r="B947" s="120"/>
      <c r="C947" s="120"/>
      <c r="D947" s="121"/>
      <c r="E947" s="121"/>
      <c r="F947" s="121"/>
      <c r="G947" s="121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>
      <c r="A948" s="119"/>
      <c r="B948" s="120"/>
      <c r="C948" s="120"/>
      <c r="D948" s="121"/>
      <c r="E948" s="121"/>
      <c r="F948" s="121"/>
      <c r="G948" s="121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>
      <c r="A949" s="119"/>
      <c r="B949" s="120"/>
      <c r="C949" s="120"/>
      <c r="D949" s="121"/>
      <c r="E949" s="121"/>
      <c r="F949" s="121"/>
      <c r="G949" s="121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>
      <c r="A950" s="119"/>
      <c r="B950" s="120"/>
      <c r="C950" s="120"/>
      <c r="D950" s="121"/>
      <c r="E950" s="121"/>
      <c r="F950" s="121"/>
      <c r="G950" s="121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>
      <c r="A951" s="119"/>
      <c r="B951" s="120"/>
      <c r="C951" s="120"/>
      <c r="D951" s="121"/>
      <c r="E951" s="121"/>
      <c r="F951" s="121"/>
      <c r="G951" s="121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>
      <c r="A952" s="119"/>
      <c r="B952" s="120"/>
      <c r="C952" s="120"/>
      <c r="D952" s="121"/>
      <c r="E952" s="121"/>
      <c r="F952" s="121"/>
      <c r="G952" s="121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>
      <c r="A953" s="119"/>
      <c r="B953" s="120"/>
      <c r="C953" s="120"/>
      <c r="D953" s="121"/>
      <c r="E953" s="121"/>
      <c r="F953" s="121"/>
      <c r="G953" s="121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>
      <c r="A954" s="119"/>
      <c r="B954" s="120"/>
      <c r="C954" s="120"/>
      <c r="D954" s="121"/>
      <c r="E954" s="121"/>
      <c r="F954" s="121"/>
      <c r="G954" s="121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>
      <c r="A955" s="119"/>
      <c r="B955" s="120"/>
      <c r="C955" s="120"/>
      <c r="D955" s="121"/>
      <c r="E955" s="121"/>
      <c r="F955" s="121"/>
      <c r="G955" s="121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>
      <c r="A956" s="119"/>
      <c r="B956" s="120"/>
      <c r="C956" s="120"/>
      <c r="D956" s="121"/>
      <c r="E956" s="121"/>
      <c r="F956" s="121"/>
      <c r="G956" s="121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>
      <c r="A957" s="119"/>
      <c r="B957" s="120"/>
      <c r="C957" s="120"/>
      <c r="D957" s="121"/>
      <c r="E957" s="121"/>
      <c r="F957" s="121"/>
      <c r="G957" s="121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>
      <c r="A958" s="119"/>
      <c r="B958" s="120"/>
      <c r="C958" s="120"/>
      <c r="D958" s="121"/>
      <c r="E958" s="121"/>
      <c r="F958" s="121"/>
      <c r="G958" s="121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>
      <c r="A959" s="119"/>
      <c r="B959" s="120"/>
      <c r="C959" s="120"/>
      <c r="D959" s="121"/>
      <c r="E959" s="121"/>
      <c r="F959" s="121"/>
      <c r="G959" s="121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>
      <c r="A960" s="119"/>
      <c r="B960" s="120"/>
      <c r="C960" s="120"/>
      <c r="D960" s="121"/>
      <c r="E960" s="121"/>
      <c r="F960" s="121"/>
      <c r="G960" s="121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>
      <c r="A961" s="119"/>
      <c r="B961" s="120"/>
      <c r="C961" s="120"/>
      <c r="D961" s="121"/>
      <c r="E961" s="121"/>
      <c r="F961" s="121"/>
      <c r="G961" s="121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>
      <c r="A962" s="119"/>
      <c r="B962" s="120"/>
      <c r="C962" s="120"/>
      <c r="D962" s="121"/>
      <c r="E962" s="121"/>
      <c r="F962" s="121"/>
      <c r="G962" s="121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>
      <c r="A963" s="119"/>
      <c r="B963" s="120"/>
      <c r="C963" s="120"/>
      <c r="D963" s="121"/>
      <c r="E963" s="121"/>
      <c r="F963" s="121"/>
      <c r="G963" s="121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>
      <c r="A964" s="119"/>
      <c r="B964" s="120"/>
      <c r="C964" s="120"/>
      <c r="D964" s="121"/>
      <c r="E964" s="121"/>
      <c r="F964" s="121"/>
      <c r="G964" s="121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>
      <c r="A965" s="119"/>
      <c r="B965" s="120"/>
      <c r="C965" s="120"/>
      <c r="D965" s="121"/>
      <c r="E965" s="121"/>
      <c r="F965" s="121"/>
      <c r="G965" s="121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>
      <c r="A966" s="119"/>
      <c r="B966" s="120"/>
      <c r="C966" s="120"/>
      <c r="D966" s="121"/>
      <c r="E966" s="121"/>
      <c r="F966" s="121"/>
      <c r="G966" s="121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>
      <c r="A967" s="119"/>
      <c r="B967" s="120"/>
      <c r="C967" s="120"/>
      <c r="D967" s="121"/>
      <c r="E967" s="121"/>
      <c r="F967" s="121"/>
      <c r="G967" s="121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>
      <c r="A968" s="119"/>
      <c r="B968" s="120"/>
      <c r="C968" s="120"/>
      <c r="D968" s="121"/>
      <c r="E968" s="121"/>
      <c r="F968" s="121"/>
      <c r="G968" s="121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>
      <c r="A969" s="119"/>
      <c r="B969" s="120"/>
      <c r="C969" s="120"/>
      <c r="D969" s="121"/>
      <c r="E969" s="121"/>
      <c r="F969" s="121"/>
      <c r="G969" s="121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>
      <c r="A970" s="119"/>
      <c r="B970" s="120"/>
      <c r="C970" s="120"/>
      <c r="D970" s="121"/>
      <c r="E970" s="121"/>
      <c r="F970" s="121"/>
      <c r="G970" s="121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>
      <c r="A971" s="119"/>
      <c r="B971" s="120"/>
      <c r="C971" s="120"/>
      <c r="D971" s="121"/>
      <c r="E971" s="121"/>
      <c r="F971" s="121"/>
      <c r="G971" s="121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>
      <c r="A972" s="119"/>
      <c r="B972" s="120"/>
      <c r="C972" s="120"/>
      <c r="D972" s="121"/>
      <c r="E972" s="121"/>
      <c r="F972" s="121"/>
      <c r="G972" s="121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>
      <c r="A973" s="119"/>
      <c r="B973" s="120"/>
      <c r="C973" s="120"/>
      <c r="D973" s="121"/>
      <c r="E973" s="121"/>
      <c r="F973" s="121"/>
      <c r="G973" s="121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>
      <c r="A974" s="119"/>
      <c r="B974" s="120"/>
      <c r="C974" s="120"/>
      <c r="D974" s="121"/>
      <c r="E974" s="121"/>
      <c r="F974" s="121"/>
      <c r="G974" s="121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>
      <c r="A975" s="119"/>
      <c r="B975" s="120"/>
      <c r="C975" s="120"/>
      <c r="D975" s="121"/>
      <c r="E975" s="121"/>
      <c r="F975" s="121"/>
      <c r="G975" s="121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>
      <c r="A976" s="119"/>
      <c r="B976" s="120"/>
      <c r="C976" s="120"/>
      <c r="D976" s="121"/>
      <c r="E976" s="121"/>
      <c r="F976" s="121"/>
      <c r="G976" s="121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>
      <c r="A977" s="119"/>
      <c r="B977" s="120"/>
      <c r="C977" s="120"/>
      <c r="D977" s="121"/>
      <c r="E977" s="121"/>
      <c r="F977" s="121"/>
      <c r="G977" s="121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>
      <c r="A978" s="119"/>
      <c r="B978" s="120"/>
      <c r="C978" s="120"/>
      <c r="D978" s="121"/>
      <c r="E978" s="121"/>
      <c r="F978" s="121"/>
      <c r="G978" s="121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>
      <c r="A979" s="119"/>
      <c r="B979" s="120"/>
      <c r="C979" s="120"/>
      <c r="D979" s="121"/>
      <c r="E979" s="121"/>
      <c r="F979" s="121"/>
      <c r="G979" s="121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>
      <c r="A980" s="119"/>
      <c r="B980" s="120"/>
      <c r="C980" s="120"/>
      <c r="D980" s="121"/>
      <c r="E980" s="121"/>
      <c r="F980" s="121"/>
      <c r="G980" s="121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>
      <c r="A981" s="119"/>
      <c r="B981" s="120"/>
      <c r="C981" s="120"/>
      <c r="D981" s="121"/>
      <c r="E981" s="121"/>
      <c r="F981" s="121"/>
      <c r="G981" s="121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>
      <c r="A982" s="119"/>
      <c r="B982" s="120"/>
      <c r="C982" s="120"/>
      <c r="D982" s="121"/>
      <c r="E982" s="121"/>
      <c r="F982" s="121"/>
      <c r="G982" s="121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>
      <c r="A983" s="119"/>
      <c r="B983" s="120"/>
      <c r="C983" s="120"/>
      <c r="D983" s="121"/>
      <c r="E983" s="121"/>
      <c r="F983" s="121"/>
      <c r="G983" s="121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>
      <c r="A984" s="119"/>
      <c r="B984" s="120"/>
      <c r="C984" s="120"/>
      <c r="D984" s="121"/>
      <c r="E984" s="121"/>
      <c r="F984" s="121"/>
      <c r="G984" s="121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>
      <c r="A985" s="119"/>
      <c r="B985" s="120"/>
      <c r="C985" s="120"/>
      <c r="D985" s="121"/>
      <c r="E985" s="121"/>
      <c r="F985" s="121"/>
      <c r="G985" s="121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>
      <c r="A986" s="119"/>
      <c r="B986" s="120"/>
      <c r="C986" s="120"/>
      <c r="D986" s="121"/>
      <c r="E986" s="121"/>
      <c r="F986" s="121"/>
      <c r="G986" s="121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>
      <c r="A987" s="119"/>
      <c r="B987" s="120"/>
      <c r="C987" s="120"/>
      <c r="D987" s="121"/>
      <c r="E987" s="121"/>
      <c r="F987" s="121"/>
      <c r="G987" s="121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>
      <c r="A988" s="119"/>
      <c r="B988" s="120"/>
      <c r="C988" s="120"/>
      <c r="D988" s="121"/>
      <c r="E988" s="121"/>
      <c r="F988" s="121"/>
      <c r="G988" s="121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>
      <c r="A989" s="119"/>
      <c r="B989" s="120"/>
      <c r="C989" s="120"/>
      <c r="D989" s="121"/>
      <c r="E989" s="121"/>
      <c r="F989" s="121"/>
      <c r="G989" s="121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>
      <c r="A990" s="119"/>
      <c r="B990" s="120"/>
      <c r="C990" s="120"/>
      <c r="D990" s="121"/>
      <c r="E990" s="121"/>
      <c r="F990" s="121"/>
      <c r="G990" s="121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>
      <c r="A991" s="119"/>
      <c r="B991" s="120"/>
      <c r="C991" s="120"/>
      <c r="D991" s="121"/>
      <c r="E991" s="121"/>
      <c r="F991" s="121"/>
      <c r="G991" s="121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>
      <c r="A992" s="119"/>
      <c r="B992" s="120"/>
      <c r="C992" s="120"/>
      <c r="D992" s="121"/>
      <c r="E992" s="121"/>
      <c r="F992" s="121"/>
      <c r="G992" s="121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>
      <c r="A993" s="119"/>
      <c r="B993" s="120"/>
      <c r="C993" s="120"/>
      <c r="D993" s="121"/>
      <c r="E993" s="121"/>
      <c r="F993" s="121"/>
      <c r="G993" s="121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>
      <c r="A994" s="119"/>
      <c r="B994" s="120"/>
      <c r="C994" s="120"/>
      <c r="D994" s="121"/>
      <c r="E994" s="121"/>
      <c r="F994" s="121"/>
      <c r="G994" s="121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>
      <c r="A995" s="119"/>
      <c r="B995" s="120"/>
      <c r="C995" s="120"/>
      <c r="D995" s="121"/>
      <c r="E995" s="121"/>
      <c r="F995" s="121"/>
      <c r="G995" s="121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>
      <c r="A996" s="119"/>
      <c r="B996" s="120"/>
      <c r="C996" s="120"/>
      <c r="D996" s="121"/>
      <c r="E996" s="121"/>
      <c r="F996" s="121"/>
      <c r="G996" s="121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>
      <c r="A997" s="119"/>
      <c r="B997" s="120"/>
      <c r="C997" s="120"/>
      <c r="D997" s="121"/>
      <c r="E997" s="121"/>
      <c r="F997" s="121"/>
      <c r="G997" s="121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>
      <c r="A998" s="119"/>
      <c r="B998" s="120"/>
      <c r="C998" s="120"/>
      <c r="D998" s="121"/>
      <c r="E998" s="121"/>
      <c r="F998" s="121"/>
      <c r="G998" s="121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5.75">
      <c r="A999" s="119"/>
      <c r="B999" s="120"/>
      <c r="C999" s="120"/>
      <c r="D999" s="121"/>
      <c r="E999" s="121"/>
      <c r="F999" s="121"/>
      <c r="G999" s="121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5.75">
      <c r="A1000" s="119"/>
      <c r="B1000" s="120"/>
      <c r="C1000" s="120"/>
      <c r="D1000" s="121"/>
      <c r="E1000" s="121"/>
      <c r="F1000" s="121"/>
      <c r="G1000" s="121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5.75">
      <c r="A1001" s="119"/>
      <c r="B1001" s="120"/>
      <c r="C1001" s="120"/>
      <c r="D1001" s="121"/>
      <c r="E1001" s="121"/>
      <c r="F1001" s="121"/>
      <c r="G1001" s="121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  <row r="1002" spans="1:26" ht="15.75">
      <c r="A1002" s="119"/>
      <c r="B1002" s="120"/>
      <c r="C1002" s="120"/>
      <c r="D1002" s="121"/>
      <c r="E1002" s="121"/>
      <c r="F1002" s="121"/>
      <c r="G1002" s="121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</row>
  </sheetData>
  <mergeCells count="6">
    <mergeCell ref="A1:G1"/>
    <mergeCell ref="A2:G2"/>
    <mergeCell ref="A4:A5"/>
    <mergeCell ref="B4:E4"/>
    <mergeCell ref="F4:F5"/>
    <mergeCell ref="G4:G5"/>
  </mergeCells>
  <hyperlinks>
    <hyperlink ref="I1" r:id="rId1" xr:uid="{E9C0CBAD-0828-4F5B-87F7-5EF12CCB9318}"/>
    <hyperlink ref="I2" r:id="rId2" xr:uid="{327F84B5-8997-428A-9950-5380B48E39B5}"/>
    <hyperlink ref="G6" r:id="rId3" xr:uid="{0E54F84B-4121-4B4B-A99E-8D9A597EC5FE}"/>
    <hyperlink ref="G7" r:id="rId4" xr:uid="{63EA988E-33F2-400C-97F1-6DA46AD4B9CB}"/>
    <hyperlink ref="G8" r:id="rId5" xr:uid="{ECDD1C95-BFD2-4039-8F38-549B9BC51BC8}"/>
    <hyperlink ref="G9" r:id="rId6" xr:uid="{3DEB5F42-CFA7-45AA-B6CF-23D2D28798E3}"/>
    <hyperlink ref="G10" r:id="rId7" xr:uid="{D0E4A9C6-54B8-4CD4-9249-0AB5E3AAFC4F}"/>
    <hyperlink ref="G11" r:id="rId8" xr:uid="{5471E735-AC59-485A-A990-F76113896831}"/>
    <hyperlink ref="G12" r:id="rId9" xr:uid="{484EF61C-EA6C-4F30-B533-401C4A2CEA4C}"/>
    <hyperlink ref="G13" r:id="rId10" xr:uid="{87FDCBB4-7659-483C-97C1-4736B9132CF3}"/>
    <hyperlink ref="G14" r:id="rId11" xr:uid="{DDCE8055-5E64-4BC2-847B-E393DE20C420}"/>
    <hyperlink ref="G15" r:id="rId12" xr:uid="{780AAC89-3C12-4231-A998-2E1F19617A0F}"/>
    <hyperlink ref="G16" r:id="rId13" xr:uid="{5893FB8D-E669-46AA-A47A-EF0025DAA574}"/>
    <hyperlink ref="G17" r:id="rId14" xr:uid="{6784EC61-24E0-4016-8E18-30234322D3FE}"/>
    <hyperlink ref="G18" r:id="rId15" xr:uid="{F60B83BF-49E9-4731-B127-133D1091C66E}"/>
    <hyperlink ref="G20" r:id="rId16" xr:uid="{0DD4896F-4FD1-4940-937C-76AADD503D82}"/>
    <hyperlink ref="G23" r:id="rId17" xr:uid="{499FA34A-1B6F-4B7B-9728-51FAC3DC8F8D}"/>
    <hyperlink ref="G24" r:id="rId18" xr:uid="{5A75B142-36C2-43F2-94C4-87C85EBA13D1}"/>
    <hyperlink ref="G25" r:id="rId19" xr:uid="{ABFD4394-4091-44D2-BEEA-43D41E5E02CA}"/>
    <hyperlink ref="G26" r:id="rId20" xr:uid="{F6148E36-48B0-4CAE-A0D1-5C4AEEADC0A9}"/>
    <hyperlink ref="G27" r:id="rId21" xr:uid="{AA6B6343-F29E-499F-BF13-77BCF95EDA6A}"/>
    <hyperlink ref="G28" r:id="rId22" xr:uid="{BC7DA3BA-CC65-4E58-8691-A6718C15D0B2}"/>
    <hyperlink ref="G29" r:id="rId23" xr:uid="{DBB61D92-E832-4EB1-A682-01523E69650F}"/>
    <hyperlink ref="G30" r:id="rId24" xr:uid="{883B71C2-83CF-48B9-82C6-BF54B1E07D29}"/>
    <hyperlink ref="G31" r:id="rId25" xr:uid="{B6F49212-7C84-4334-8C32-CA268ED9F89A}"/>
    <hyperlink ref="G32" r:id="rId26" xr:uid="{3DFE182E-D9FD-4D66-90C4-ABB7D48F5F62}"/>
    <hyperlink ref="G33" r:id="rId27" xr:uid="{177C9A2E-4DDD-4A66-A98E-3DF2EFE588D6}"/>
    <hyperlink ref="G34" r:id="rId28" xr:uid="{90D9CE98-8B6E-4FA7-9464-3D105B1419D4}"/>
    <hyperlink ref="G35" r:id="rId29" xr:uid="{4D7309CE-D648-4342-AA0B-90264F911BA0}"/>
    <hyperlink ref="G36" r:id="rId30" xr:uid="{4A68193F-954D-4A4F-9E48-2C732D7882C5}"/>
    <hyperlink ref="G37" r:id="rId31" xr:uid="{0FEDA54F-4099-42B9-B53B-64CDF8C06A0D}"/>
    <hyperlink ref="G38" r:id="rId32" xr:uid="{ADCFD1E5-E8A2-435B-8D75-F7845BDCA48E}"/>
    <hyperlink ref="G39" r:id="rId33" xr:uid="{DF0C7ECE-6F48-4B73-B219-8E0FC8DF5E5E}"/>
    <hyperlink ref="G40" r:id="rId34" xr:uid="{D0CE47C6-0910-4DDA-9B43-660E4E862F1D}"/>
    <hyperlink ref="G41" r:id="rId35" xr:uid="{16E489C1-FB13-4ACE-9E66-4BADE43D12F9}"/>
    <hyperlink ref="G42" r:id="rId36" xr:uid="{136D96E8-93C4-4870-83F5-10E3AB84B537}"/>
    <hyperlink ref="G44" r:id="rId37" xr:uid="{B73DD400-4EA0-4D70-84BD-17227BD24CB4}"/>
    <hyperlink ref="G45" r:id="rId38" xr:uid="{2BA02026-DE0C-44E3-AF51-D93511A21B0A}"/>
    <hyperlink ref="G46" r:id="rId39" xr:uid="{E9A8000E-AA1D-4352-A656-A89D234F0C77}"/>
    <hyperlink ref="G47" r:id="rId40" xr:uid="{3C0887BF-4FFF-430B-859A-1D40F178041D}"/>
    <hyperlink ref="G48" r:id="rId41" xr:uid="{822953F8-A6A5-496A-8110-A3E982A0B83F}"/>
    <hyperlink ref="G49" r:id="rId42" xr:uid="{7F4F7F49-5A88-43A0-9CCD-958B63DDF63B}"/>
    <hyperlink ref="G51" r:id="rId43" xr:uid="{B23067BE-F6AF-4860-BFB7-6768F68C7851}"/>
    <hyperlink ref="G53" r:id="rId44" xr:uid="{6358BA33-3F6E-492C-88F3-35F77670FB90}"/>
    <hyperlink ref="G54" r:id="rId45" xr:uid="{D583A721-4286-4113-BB46-0D29F375816D}"/>
    <hyperlink ref="G55" r:id="rId46" xr:uid="{7D22A7C1-9C2C-45CE-BE33-40EA7C2A2BCE}"/>
    <hyperlink ref="G57" r:id="rId47" xr:uid="{23573D41-6D4B-4D42-8533-44A347DBF732}"/>
    <hyperlink ref="G59" r:id="rId48" xr:uid="{5CF0973D-7C08-4382-85CE-E3BB1266510C}"/>
    <hyperlink ref="G62" r:id="rId49" xr:uid="{ADD31F9A-49CF-40CF-867C-9479C431DDC9}"/>
    <hyperlink ref="G63" r:id="rId50" xr:uid="{E2C914EB-CEA7-4E2F-8FDE-722172A40026}"/>
    <hyperlink ref="G64" r:id="rId51" xr:uid="{59234CD8-BDD9-4BD7-BD36-59B966B153DD}"/>
    <hyperlink ref="G65" r:id="rId52" xr:uid="{B3657297-2328-4C43-ACD7-672DA1DDC3D0}"/>
    <hyperlink ref="G66" r:id="rId53" xr:uid="{2D843401-6517-401E-B186-53B258F1D4B9}"/>
    <hyperlink ref="G67" r:id="rId54" xr:uid="{9F19724B-6524-42C4-8648-36AC683A37C6}"/>
    <hyperlink ref="G68" r:id="rId55" xr:uid="{76BC059B-F0D4-4873-A982-0203CAC68744}"/>
    <hyperlink ref="G69" r:id="rId56" xr:uid="{1446EA93-8D39-47FF-936B-19F6660DB007}"/>
    <hyperlink ref="G71" r:id="rId57" xr:uid="{E586B227-D5AC-450D-97C9-CF3FB74E986E}"/>
    <hyperlink ref="G74" r:id="rId58" xr:uid="{3704D2B5-B468-4F37-AEAE-2B20C6E72B60}"/>
    <hyperlink ref="G76" r:id="rId59" xr:uid="{5869D8BF-3074-45F5-9083-48C2970E3A7C}"/>
    <hyperlink ref="G77" r:id="rId60" xr:uid="{822FE2BF-5792-496D-88BE-29E01A71089E}"/>
    <hyperlink ref="G78" r:id="rId61" xr:uid="{29091A6E-8B38-49D2-81F4-53934CE96694}"/>
    <hyperlink ref="G79" r:id="rId62" xr:uid="{780B2886-0A3C-4AD0-9134-914C0C28C554}"/>
    <hyperlink ref="G80" r:id="rId63" xr:uid="{C258B176-8DB8-43D0-B58D-5D2838AC2EE0}"/>
    <hyperlink ref="G82" r:id="rId64" xr:uid="{3BCB25E1-C652-41E0-A301-6767008C4648}"/>
    <hyperlink ref="G86" r:id="rId65" xr:uid="{DD5C3EE7-9E49-461F-BEB4-91460110615A}"/>
    <hyperlink ref="G87" r:id="rId66" xr:uid="{7B183960-E94C-4AB0-A2E1-C0FA60AF17D1}"/>
    <hyperlink ref="G96" r:id="rId67" xr:uid="{0BBE97F7-F91F-4E8B-BB89-78A571EE8EBB}"/>
    <hyperlink ref="G97" r:id="rId68" xr:uid="{32E38BB3-8487-46BB-B007-F4FADC080452}"/>
    <hyperlink ref="G99" r:id="rId69" xr:uid="{7EECDB93-FD90-4FF6-9F23-0DA53353D0AF}"/>
    <hyperlink ref="G100" r:id="rId70" xr:uid="{919BED26-1605-4450-87EE-294DA4DB89B2}"/>
    <hyperlink ref="G101" r:id="rId71" xr:uid="{22717CEB-9DEC-4835-B15F-F33BA6788ACD}"/>
    <hyperlink ref="G102" r:id="rId72" xr:uid="{B8ECD627-956C-4C40-9F58-F32799A5FCCC}"/>
    <hyperlink ref="G103" r:id="rId73" xr:uid="{44EAAE5E-1410-4E9C-8F66-90F7B9873E03}"/>
    <hyperlink ref="G104" r:id="rId74" xr:uid="{ED48FBF0-6679-4C7D-BA2A-D93424A9DA44}"/>
    <hyperlink ref="G105" r:id="rId75" xr:uid="{DC73CF48-2267-45A9-AB0F-E0E90F82AF86}"/>
    <hyperlink ref="G107" r:id="rId76" xr:uid="{2F5CCF44-7890-461D-8BCA-DB05653E4850}"/>
    <hyperlink ref="G109" r:id="rId77" xr:uid="{5DEF766D-514A-4B1B-B395-38A387F200A0}"/>
    <hyperlink ref="G111" r:id="rId78" xr:uid="{FD8A6AF8-4BEF-4747-ABAD-D9D7A38CD46F}"/>
    <hyperlink ref="G112" r:id="rId79" xr:uid="{616FA329-C04F-422C-ADF1-B154A086A100}"/>
    <hyperlink ref="G113" r:id="rId80" xr:uid="{5D44B294-56E3-4B60-8ADF-226469F83193}"/>
    <hyperlink ref="G114" r:id="rId81" xr:uid="{AB30B9B7-4248-4751-A886-E5387F8EC099}"/>
    <hyperlink ref="G115" r:id="rId82" xr:uid="{C14C4A85-5D5B-4D91-8034-FA34473F3D46}"/>
    <hyperlink ref="G116" r:id="rId83" xr:uid="{6D80A06D-8146-4FE6-8A55-6D22D27D6B0C}"/>
    <hyperlink ref="G117" r:id="rId84" xr:uid="{3DC6B882-647E-4CD8-88EE-BBBD0804848F}"/>
    <hyperlink ref="G119" r:id="rId85" xr:uid="{6B2F95D8-7BAC-4FCC-BC79-571F688F9F22}"/>
    <hyperlink ref="G120" r:id="rId86" xr:uid="{B6865FFF-8F33-49A5-843B-C7D9A189C28B}"/>
    <hyperlink ref="G121" r:id="rId87" xr:uid="{F87A74C4-9BF9-43A3-B324-DFF4F586CE22}"/>
    <hyperlink ref="G122" r:id="rId88" xr:uid="{FF26E229-DB89-476F-A2BC-41BAB12B10F4}"/>
    <hyperlink ref="G123" r:id="rId89" xr:uid="{19218103-600F-458C-8E6B-9B629049B5ED}"/>
    <hyperlink ref="G124" r:id="rId90" xr:uid="{9A2199B0-B589-4456-83D0-607553E72EE9}"/>
    <hyperlink ref="G125" r:id="rId91" xr:uid="{2426CBA0-1C67-4F98-A0C8-B10F9713BDBD}"/>
    <hyperlink ref="G126" r:id="rId92" xr:uid="{BC884ABE-E0C1-4F55-AC9B-9D406D9ADF14}"/>
    <hyperlink ref="G127" r:id="rId93" xr:uid="{BED872F3-EC5C-4731-8341-EB7E4B0DBF2E}"/>
    <hyperlink ref="G128" r:id="rId94" xr:uid="{4D6AC46B-BE18-40F4-8559-C16B70AB5A86}"/>
    <hyperlink ref="G129" r:id="rId95" xr:uid="{A24793E3-5700-421D-9496-C372EFF5A1A4}"/>
    <hyperlink ref="G130" r:id="rId96" xr:uid="{F191D1D5-6615-450E-A28C-46FF2517424A}"/>
    <hyperlink ref="G131" r:id="rId97" xr:uid="{39134A94-6895-4E5F-9B78-AD32D18697A2}"/>
    <hyperlink ref="G132" r:id="rId98" xr:uid="{2EA4C664-022E-4F3C-B18E-7250F97BEE6E}"/>
    <hyperlink ref="G133" r:id="rId99" xr:uid="{6EDB1EAF-4508-48AC-A7BA-EB05E6F9C22E}"/>
    <hyperlink ref="G135" r:id="rId100" xr:uid="{131D6960-7A4A-4A3C-9D87-53D34627E1F2}"/>
    <hyperlink ref="G136" r:id="rId101" xr:uid="{293F4F8A-3756-4FB9-B619-2C0373DAC4B1}"/>
    <hyperlink ref="G137" r:id="rId102" xr:uid="{EA3AF6CB-FCE4-4CAE-B216-3A7FFF64A51B}"/>
    <hyperlink ref="G138" r:id="rId103" xr:uid="{F256222A-B9B9-4BC7-870D-3EC83A35E409}"/>
    <hyperlink ref="G139" r:id="rId104" xr:uid="{6FC767A1-A7B7-463A-9F07-8A1CF179FCED}"/>
    <hyperlink ref="G140" r:id="rId105" xr:uid="{6CE9EA3E-760B-41AF-9E6B-BE421D0985ED}"/>
    <hyperlink ref="G141" r:id="rId106" xr:uid="{F269D448-AAFC-4991-B877-BE68D49B0919}"/>
    <hyperlink ref="G142" r:id="rId107" xr:uid="{E10A0856-40D1-485B-848F-9D963213C401}"/>
    <hyperlink ref="G143" r:id="rId108" xr:uid="{78013B7D-5D50-4F13-8408-90648E722FDB}"/>
    <hyperlink ref="G144" r:id="rId109" xr:uid="{1993C273-464F-40B5-8023-F87BFB6A9D97}"/>
    <hyperlink ref="G145" r:id="rId110" xr:uid="{CC0C327D-102D-4704-81C7-6C39D98DDB72}"/>
    <hyperlink ref="G146" r:id="rId111" xr:uid="{9BA19AB3-BC3A-49BA-BF9A-B4EF20A53938}"/>
    <hyperlink ref="G147" r:id="rId112" xr:uid="{5049C7EB-5FAA-4E9D-91FF-7C1A85A24C69}"/>
    <hyperlink ref="G148" r:id="rId113" xr:uid="{7C3263E2-6DD2-4B0D-9DD8-78AF832B92B0}"/>
    <hyperlink ref="G149" r:id="rId114" xr:uid="{D540ADE9-9917-4948-9345-D2BB638F187A}"/>
    <hyperlink ref="G150" r:id="rId115" xr:uid="{3EC42D10-665F-4073-A557-5FB93791B248}"/>
    <hyperlink ref="G151" r:id="rId116" xr:uid="{28DFE5D4-8CFB-4C99-8E0D-DD360FE5C6E9}"/>
    <hyperlink ref="G152" r:id="rId117" xr:uid="{1F5BC7A4-E1B4-4A89-9D0C-BD8CB135FE51}"/>
    <hyperlink ref="G153" r:id="rId118" xr:uid="{CDD91E28-EFB3-4FF9-B33E-A12364CDB273}"/>
    <hyperlink ref="G154" r:id="rId119" xr:uid="{37AAD6D1-A0F0-438D-9D38-781B1497311E}"/>
    <hyperlink ref="G155" r:id="rId120" xr:uid="{776B3D4C-E07E-4CBD-AD8B-73EE80B812E4}"/>
    <hyperlink ref="G156" r:id="rId121" xr:uid="{F0F52063-F2C3-48A9-8C7A-D725C5542AA7}"/>
    <hyperlink ref="G157" r:id="rId122" xr:uid="{D27ADCC0-CA5C-4AF8-A2C5-A675E76B37F5}"/>
    <hyperlink ref="G158" r:id="rId123" xr:uid="{A2FD4A99-8E15-4C16-8F33-0F31BE651210}"/>
    <hyperlink ref="G159" r:id="rId124" xr:uid="{4E2A86F7-45B8-4F51-83AD-FC161B79512E}"/>
    <hyperlink ref="G160" r:id="rId125" xr:uid="{94CFDC01-769F-44DA-BB9B-166533DB9577}"/>
    <hyperlink ref="G161" r:id="rId126" xr:uid="{ADB7538B-8D56-4BCF-AC7D-C1F2A9B8F683}"/>
    <hyperlink ref="G162" r:id="rId127" xr:uid="{1E82583B-8B24-4026-A2FD-D83F46647666}"/>
    <hyperlink ref="G163" r:id="rId128" xr:uid="{3039E5C7-2FA6-4E71-AEFD-2278ED165844}"/>
    <hyperlink ref="G164" r:id="rId129" xr:uid="{C81EF5F8-CBE8-4CE3-8A33-2015B0BCE2E3}"/>
    <hyperlink ref="G165" r:id="rId130" xr:uid="{6447D98C-60F2-4D72-9BE1-AA1410E492EA}"/>
    <hyperlink ref="G166" r:id="rId131" xr:uid="{011C56BF-F220-44C5-A0D7-F3E7FF74C43E}"/>
    <hyperlink ref="G167" r:id="rId132" xr:uid="{A292BDF7-2ADB-4A4D-940C-6E52EA3B272F}"/>
    <hyperlink ref="G168" r:id="rId133" xr:uid="{BAA2F182-F64A-40C5-B40A-CB06D372A63C}"/>
    <hyperlink ref="G169" r:id="rId134" xr:uid="{29ADAA02-EC38-4BA3-B38D-1EE67F82BB93}"/>
    <hyperlink ref="G170" r:id="rId135" xr:uid="{059B28E2-253F-4A6D-91BE-08ADE17A089C}"/>
    <hyperlink ref="G171" r:id="rId136" xr:uid="{4331CA24-C50A-4C53-A693-DE40CBFA82D8}"/>
    <hyperlink ref="G172" r:id="rId137" xr:uid="{CA4DC89A-9EA8-46C1-A4BF-28D8FE983AB4}"/>
    <hyperlink ref="G173" r:id="rId138" xr:uid="{55B41A0B-D206-4190-BBC6-1CBB468123B5}"/>
    <hyperlink ref="G174" r:id="rId139" xr:uid="{B075192A-341D-4F40-86D6-9F4B4C94E72A}"/>
    <hyperlink ref="G175" r:id="rId140" xr:uid="{CF00BC9F-7805-40BA-8F11-4950AA0C84B4}"/>
    <hyperlink ref="G176" r:id="rId141" xr:uid="{075DABC5-E5C3-47BF-A7F3-2D48B6715D2B}"/>
    <hyperlink ref="G177" r:id="rId142" xr:uid="{B2B1BA55-412E-4F27-81F3-645792F966D7}"/>
    <hyperlink ref="G178" r:id="rId143" xr:uid="{620FF414-1DEF-4C09-B1DD-9BBCF5DAE443}"/>
    <hyperlink ref="G179" r:id="rId144" xr:uid="{6D2C22A4-A205-479E-8971-5C36828453BB}"/>
    <hyperlink ref="G180" r:id="rId145" xr:uid="{722E1993-928E-46F8-AB16-5C34085BF801}"/>
    <hyperlink ref="G181" r:id="rId146" xr:uid="{7109DAC9-FD9A-4C01-88F4-2A9C0863146B}"/>
    <hyperlink ref="G182" r:id="rId147" xr:uid="{677DF0F6-CE0C-492A-9A1D-8138B0712F32}"/>
    <hyperlink ref="G183" r:id="rId148" xr:uid="{5674AA63-B15C-4ADC-8D2B-45837071064E}"/>
    <hyperlink ref="G184" r:id="rId149" xr:uid="{91663BB5-5470-4CD8-9073-2196F2EA6461}"/>
    <hyperlink ref="G186" r:id="rId150" xr:uid="{3B17E760-A1D6-4D0D-9C11-3D9A25395ACB}"/>
    <hyperlink ref="G187" r:id="rId151" xr:uid="{537BDA13-FD2F-4FE5-9611-8B8C46A5A572}"/>
    <hyperlink ref="G188" r:id="rId152" xr:uid="{4C81C50E-B622-4173-8EFB-B7AD328560C4}"/>
    <hyperlink ref="G189" r:id="rId153" xr:uid="{62B95760-4FC7-4556-851C-EF978A4D7ECA}"/>
    <hyperlink ref="G190" r:id="rId154" xr:uid="{DE963D8D-94E4-4471-8062-68306AA7EB25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25A6-55BD-4623-BBC4-DE48F9099174}">
  <dimension ref="A3:I209"/>
  <sheetViews>
    <sheetView workbookViewId="0">
      <selection activeCell="D18" sqref="D18"/>
    </sheetView>
  </sheetViews>
  <sheetFormatPr defaultRowHeight="14.25"/>
  <cols>
    <col min="3" max="3" width="23.25" bestFit="1" customWidth="1"/>
    <col min="4" max="4" width="11" bestFit="1" customWidth="1"/>
    <col min="6" max="6" width="23.25" bestFit="1" customWidth="1"/>
    <col min="7" max="7" width="12" bestFit="1" customWidth="1"/>
  </cols>
  <sheetData>
    <row r="3" spans="1:9" ht="16.5" thickBot="1">
      <c r="A3" s="125">
        <v>0</v>
      </c>
      <c r="C3" s="148" t="s">
        <v>277</v>
      </c>
      <c r="D3" s="148"/>
    </row>
    <row r="4" spans="1:9" ht="15.75">
      <c r="A4" s="125">
        <v>0</v>
      </c>
      <c r="C4" s="149"/>
      <c r="D4" s="149"/>
      <c r="F4" s="149"/>
      <c r="G4" s="150"/>
      <c r="H4" s="151" t="s">
        <v>278</v>
      </c>
      <c r="I4" s="152" t="s">
        <v>279</v>
      </c>
    </row>
    <row r="5" spans="1:9" ht="15.75">
      <c r="A5" s="125">
        <v>1</v>
      </c>
      <c r="C5" s="149" t="s">
        <v>280</v>
      </c>
      <c r="D5" s="149">
        <v>2108.7198067632849</v>
      </c>
      <c r="F5" s="149" t="s">
        <v>280</v>
      </c>
      <c r="G5" s="153">
        <v>2108.7198067632849</v>
      </c>
      <c r="H5" s="154">
        <f>G5-G6</f>
        <v>1858.8844097480046</v>
      </c>
      <c r="I5" s="155">
        <f>G5+G6</f>
        <v>2358.5552037785651</v>
      </c>
    </row>
    <row r="6" spans="1:9" ht="16.5" thickBot="1">
      <c r="A6" s="125">
        <v>2</v>
      </c>
      <c r="C6" s="149" t="s">
        <v>281</v>
      </c>
      <c r="D6" s="149">
        <v>151.20607305588172</v>
      </c>
      <c r="F6" s="149" t="s">
        <v>282</v>
      </c>
      <c r="G6" s="153">
        <v>249.83539701528025</v>
      </c>
      <c r="H6" s="156"/>
      <c r="I6" s="157"/>
    </row>
    <row r="7" spans="1:9" ht="15.75">
      <c r="A7" s="125">
        <v>3</v>
      </c>
      <c r="C7" s="149" t="s">
        <v>283</v>
      </c>
      <c r="D7" s="149">
        <v>1205</v>
      </c>
    </row>
    <row r="8" spans="1:9" ht="15.75">
      <c r="A8" s="125">
        <v>0</v>
      </c>
      <c r="C8" s="149" t="s">
        <v>284</v>
      </c>
      <c r="D8" s="149">
        <v>0</v>
      </c>
    </row>
    <row r="9" spans="1:9" ht="15.75">
      <c r="A9" s="125">
        <v>0</v>
      </c>
      <c r="C9" s="149" t="s">
        <v>285</v>
      </c>
      <c r="D9" s="149">
        <v>2175.4765550331708</v>
      </c>
    </row>
    <row r="10" spans="1:9" ht="15.75">
      <c r="A10" s="125">
        <v>3</v>
      </c>
      <c r="C10" s="149" t="s">
        <v>286</v>
      </c>
      <c r="D10" s="149">
        <v>4732698.2414989918</v>
      </c>
    </row>
    <row r="11" spans="1:9" ht="15.75">
      <c r="A11" s="125">
        <v>1</v>
      </c>
      <c r="C11" s="149" t="s">
        <v>287</v>
      </c>
      <c r="D11" s="149">
        <v>-0.53057269110481409</v>
      </c>
    </row>
    <row r="12" spans="1:9" ht="15.75">
      <c r="A12" s="125">
        <v>0</v>
      </c>
      <c r="C12" s="149" t="s">
        <v>288</v>
      </c>
      <c r="D12" s="149">
        <v>0.8325748558618048</v>
      </c>
    </row>
    <row r="13" spans="1:9" ht="15.75">
      <c r="A13" s="125">
        <v>2</v>
      </c>
      <c r="C13" s="149" t="s">
        <v>289</v>
      </c>
      <c r="D13" s="149">
        <v>8510</v>
      </c>
    </row>
    <row r="14" spans="1:9" ht="15.75">
      <c r="A14" s="125">
        <v>1</v>
      </c>
      <c r="C14" s="149" t="s">
        <v>290</v>
      </c>
      <c r="D14" s="149">
        <v>0</v>
      </c>
    </row>
    <row r="15" spans="1:9" ht="15.75">
      <c r="A15" s="125">
        <v>0</v>
      </c>
      <c r="C15" s="149" t="s">
        <v>291</v>
      </c>
      <c r="D15" s="149">
        <v>8510</v>
      </c>
    </row>
    <row r="16" spans="1:9" ht="15.75">
      <c r="A16" s="125">
        <v>0</v>
      </c>
      <c r="C16" s="149" t="s">
        <v>292</v>
      </c>
      <c r="D16" s="149">
        <v>436505</v>
      </c>
    </row>
    <row r="17" spans="1:9" ht="15.75">
      <c r="A17" s="125">
        <v>3</v>
      </c>
      <c r="C17" s="149" t="s">
        <v>293</v>
      </c>
      <c r="D17" s="149">
        <v>207</v>
      </c>
    </row>
    <row r="18" spans="1:9" ht="15.75">
      <c r="A18" s="125">
        <v>0</v>
      </c>
      <c r="C18" s="149" t="s">
        <v>282</v>
      </c>
      <c r="D18" s="149">
        <v>249.83539701528025</v>
      </c>
    </row>
    <row r="19" spans="1:9" ht="16.5" thickBot="1">
      <c r="A19" s="125">
        <v>0</v>
      </c>
    </row>
    <row r="20" spans="1:9" ht="15.75">
      <c r="A20" s="125">
        <v>0</v>
      </c>
      <c r="C20" s="158" t="s">
        <v>294</v>
      </c>
      <c r="D20" s="158"/>
      <c r="F20" s="149"/>
      <c r="G20" s="150"/>
      <c r="H20" s="159" t="s">
        <v>278</v>
      </c>
      <c r="I20" s="160" t="s">
        <v>295</v>
      </c>
    </row>
    <row r="21" spans="1:9" ht="15.75">
      <c r="A21" s="125">
        <v>0</v>
      </c>
      <c r="F21" s="149" t="s">
        <v>296</v>
      </c>
      <c r="G21" s="150">
        <v>2108.7198067632849</v>
      </c>
      <c r="H21" s="161">
        <f>G21-G22</f>
        <v>1810.6099770300696</v>
      </c>
      <c r="I21" s="162">
        <f>G21+G22</f>
        <v>2406.8296364964999</v>
      </c>
    </row>
    <row r="22" spans="1:9" ht="16.5" thickBot="1">
      <c r="A22" s="125">
        <v>0</v>
      </c>
      <c r="C22" t="s">
        <v>280</v>
      </c>
      <c r="D22">
        <v>2108.7198067632849</v>
      </c>
      <c r="F22" s="149" t="s">
        <v>297</v>
      </c>
      <c r="G22" s="150">
        <v>298.10982973321524</v>
      </c>
      <c r="H22" s="156"/>
      <c r="I22" s="157"/>
    </row>
    <row r="23" spans="1:9" ht="15.75">
      <c r="A23" s="125">
        <v>2</v>
      </c>
      <c r="C23" t="s">
        <v>281</v>
      </c>
      <c r="D23">
        <v>151.20607305588172</v>
      </c>
    </row>
    <row r="24" spans="1:9" ht="15.75">
      <c r="A24" s="125">
        <v>1</v>
      </c>
      <c r="C24" t="s">
        <v>283</v>
      </c>
      <c r="D24">
        <v>1205</v>
      </c>
    </row>
    <row r="25" spans="1:9" ht="15.75">
      <c r="A25" s="125">
        <v>1</v>
      </c>
      <c r="C25" t="s">
        <v>284</v>
      </c>
      <c r="D25">
        <v>0</v>
      </c>
    </row>
    <row r="26" spans="1:9" ht="15.75">
      <c r="A26" s="125">
        <v>3</v>
      </c>
      <c r="C26" t="s">
        <v>285</v>
      </c>
      <c r="D26">
        <v>2175.4765550331708</v>
      </c>
    </row>
    <row r="27" spans="1:9" ht="15.75">
      <c r="A27" s="125">
        <v>0</v>
      </c>
      <c r="C27" t="s">
        <v>286</v>
      </c>
      <c r="D27">
        <v>4732698.2414989918</v>
      </c>
    </row>
    <row r="28" spans="1:9" ht="15.75">
      <c r="A28" s="125">
        <v>0</v>
      </c>
      <c r="C28" t="s">
        <v>287</v>
      </c>
      <c r="D28">
        <v>-0.53057269110481409</v>
      </c>
    </row>
    <row r="29" spans="1:9" ht="15.75">
      <c r="A29" s="125">
        <v>0</v>
      </c>
      <c r="C29" t="s">
        <v>288</v>
      </c>
      <c r="D29">
        <v>0.8325748558618048</v>
      </c>
    </row>
    <row r="30" spans="1:9" ht="15.75">
      <c r="A30" s="125">
        <v>1</v>
      </c>
      <c r="C30" t="s">
        <v>289</v>
      </c>
      <c r="D30">
        <v>8510</v>
      </c>
    </row>
    <row r="31" spans="1:9" ht="15.75">
      <c r="A31" s="125">
        <v>1</v>
      </c>
      <c r="C31" t="s">
        <v>290</v>
      </c>
      <c r="D31">
        <v>0</v>
      </c>
    </row>
    <row r="32" spans="1:9" ht="15.75">
      <c r="A32" s="125">
        <v>0</v>
      </c>
      <c r="C32" t="s">
        <v>291</v>
      </c>
      <c r="D32">
        <v>8510</v>
      </c>
    </row>
    <row r="33" spans="1:4" ht="15.75">
      <c r="A33" s="125">
        <v>36</v>
      </c>
      <c r="C33" t="s">
        <v>292</v>
      </c>
      <c r="D33">
        <v>436505</v>
      </c>
    </row>
    <row r="34" spans="1:4" ht="15.75">
      <c r="A34" s="125">
        <v>0</v>
      </c>
      <c r="C34" t="s">
        <v>293</v>
      </c>
      <c r="D34">
        <v>207</v>
      </c>
    </row>
    <row r="35" spans="1:4" ht="16.5" thickBot="1">
      <c r="A35" s="125">
        <v>0</v>
      </c>
      <c r="C35" s="28" t="s">
        <v>298</v>
      </c>
      <c r="D35" s="28">
        <v>298.10982973321524</v>
      </c>
    </row>
    <row r="36" spans="1:4" ht="15.75">
      <c r="A36" s="125">
        <v>51</v>
      </c>
    </row>
    <row r="37" spans="1:4" ht="15.75">
      <c r="A37" s="125">
        <v>0</v>
      </c>
    </row>
    <row r="38" spans="1:4" ht="15.75">
      <c r="A38" s="125">
        <v>0</v>
      </c>
    </row>
    <row r="39" spans="1:4" ht="15.75">
      <c r="A39" s="125">
        <v>33</v>
      </c>
    </row>
    <row r="40" spans="1:4" ht="15.75">
      <c r="A40" s="125">
        <v>0</v>
      </c>
    </row>
    <row r="41" spans="1:4" ht="15.75">
      <c r="A41" s="125">
        <v>36</v>
      </c>
    </row>
    <row r="42" spans="1:4" ht="15.75">
      <c r="A42" s="125">
        <v>31</v>
      </c>
    </row>
    <row r="43" spans="1:4" ht="15.75">
      <c r="A43" s="125">
        <v>33</v>
      </c>
    </row>
    <row r="44" spans="1:4" ht="15.75">
      <c r="A44" s="125">
        <v>69</v>
      </c>
    </row>
    <row r="45" spans="1:4" ht="15.75">
      <c r="A45" s="125">
        <v>39</v>
      </c>
    </row>
    <row r="46" spans="1:4" ht="15.75">
      <c r="A46" s="125">
        <v>66</v>
      </c>
    </row>
    <row r="47" spans="1:4" ht="15.75">
      <c r="A47" s="125">
        <v>45</v>
      </c>
    </row>
    <row r="48" spans="1:4" ht="15.75">
      <c r="A48" s="125">
        <v>58</v>
      </c>
    </row>
    <row r="49" spans="1:1" ht="15.75">
      <c r="A49" s="125">
        <v>84</v>
      </c>
    </row>
    <row r="50" spans="1:1" ht="15.75">
      <c r="A50" s="125">
        <v>95</v>
      </c>
    </row>
    <row r="51" spans="1:1" ht="15.75">
      <c r="A51" s="125">
        <v>86</v>
      </c>
    </row>
    <row r="52" spans="1:1" ht="15.75">
      <c r="A52" s="125">
        <v>90</v>
      </c>
    </row>
    <row r="53" spans="1:1" ht="15.75">
      <c r="A53" s="125">
        <v>100</v>
      </c>
    </row>
    <row r="54" spans="1:1" ht="15.75">
      <c r="A54" s="125">
        <v>137</v>
      </c>
    </row>
    <row r="55" spans="1:1" ht="15.75">
      <c r="A55" s="125">
        <v>149</v>
      </c>
    </row>
    <row r="56" spans="1:1" ht="15.75">
      <c r="A56" s="125">
        <v>135</v>
      </c>
    </row>
    <row r="57" spans="1:1" ht="15.75">
      <c r="A57" s="125">
        <v>137</v>
      </c>
    </row>
    <row r="58" spans="1:1" ht="15.75">
      <c r="A58" s="125">
        <v>166</v>
      </c>
    </row>
    <row r="59" spans="1:1" ht="15.75">
      <c r="A59" s="125">
        <v>136</v>
      </c>
    </row>
    <row r="60" spans="1:1" ht="15.75">
      <c r="A60" s="125">
        <v>152</v>
      </c>
    </row>
    <row r="61" spans="1:1" ht="15.75">
      <c r="A61" s="125">
        <v>207</v>
      </c>
    </row>
    <row r="62" spans="1:1" ht="15.75">
      <c r="A62" s="125">
        <v>165</v>
      </c>
    </row>
    <row r="63" spans="1:1" ht="15.75">
      <c r="A63" s="125">
        <v>621</v>
      </c>
    </row>
    <row r="64" spans="1:1" ht="15.75">
      <c r="A64" s="125">
        <v>230</v>
      </c>
    </row>
    <row r="65" spans="1:1" ht="15.75">
      <c r="A65" s="125">
        <v>218</v>
      </c>
    </row>
    <row r="66" spans="1:1" ht="15.75">
      <c r="A66" s="125">
        <v>155</v>
      </c>
    </row>
    <row r="67" spans="1:1" ht="15.75">
      <c r="A67" s="125">
        <v>249</v>
      </c>
    </row>
    <row r="68" spans="1:1" ht="15.75">
      <c r="A68" s="125">
        <v>464</v>
      </c>
    </row>
    <row r="69" spans="1:1" ht="15.75">
      <c r="A69" s="125">
        <v>419</v>
      </c>
    </row>
    <row r="70" spans="1:1" ht="15.75">
      <c r="A70" s="125">
        <v>714</v>
      </c>
    </row>
    <row r="71" spans="1:1" ht="15.75">
      <c r="A71" s="125">
        <v>599</v>
      </c>
    </row>
    <row r="72" spans="1:1" ht="15.75">
      <c r="A72" s="125">
        <v>641</v>
      </c>
    </row>
    <row r="73" spans="1:1" ht="15.75">
      <c r="A73" s="125">
        <v>710</v>
      </c>
    </row>
    <row r="74" spans="1:1" ht="15.75">
      <c r="A74" s="125">
        <v>766</v>
      </c>
    </row>
    <row r="75" spans="1:1" ht="15.75">
      <c r="A75" s="125">
        <v>915</v>
      </c>
    </row>
    <row r="76" spans="1:1" ht="15.75">
      <c r="A76" s="125">
        <v>1229</v>
      </c>
    </row>
    <row r="77" spans="1:1" ht="15.75">
      <c r="A77" s="125">
        <v>1320</v>
      </c>
    </row>
    <row r="78" spans="1:1" ht="15.75">
      <c r="A78" s="125">
        <v>1397</v>
      </c>
    </row>
    <row r="79" spans="1:1" ht="15.75">
      <c r="A79" s="125">
        <v>1764</v>
      </c>
    </row>
    <row r="80" spans="1:1" ht="15.75">
      <c r="A80" s="125">
        <v>1802</v>
      </c>
    </row>
    <row r="81" spans="1:1" ht="15.75">
      <c r="A81" s="125">
        <v>2229</v>
      </c>
    </row>
    <row r="82" spans="1:1" ht="15.75">
      <c r="A82" s="125">
        <v>2691</v>
      </c>
    </row>
    <row r="83" spans="1:1" ht="15.75">
      <c r="A83" s="125">
        <v>2436</v>
      </c>
    </row>
    <row r="84" spans="1:1" ht="15.75">
      <c r="A84" s="125">
        <v>3420</v>
      </c>
    </row>
    <row r="85" spans="1:1" ht="15.75">
      <c r="A85" s="125">
        <v>4083</v>
      </c>
    </row>
    <row r="86" spans="1:1" ht="15.75">
      <c r="A86" s="125">
        <v>3074</v>
      </c>
    </row>
    <row r="87" spans="1:1" ht="15.75">
      <c r="A87" s="125">
        <v>3322</v>
      </c>
    </row>
    <row r="88" spans="1:1" ht="15.75">
      <c r="A88" s="125">
        <v>3558</v>
      </c>
    </row>
    <row r="89" spans="1:1" ht="15.75">
      <c r="A89" s="125">
        <v>4473</v>
      </c>
    </row>
    <row r="90" spans="1:1" ht="15.75">
      <c r="A90" s="125">
        <v>4913</v>
      </c>
    </row>
    <row r="91" spans="1:1" ht="15.75">
      <c r="A91" s="125">
        <v>5546</v>
      </c>
    </row>
    <row r="92" spans="1:1" ht="15.75">
      <c r="A92" s="125">
        <v>4555</v>
      </c>
    </row>
    <row r="93" spans="1:1" ht="15.75">
      <c r="A93" s="125">
        <v>6097</v>
      </c>
    </row>
    <row r="94" spans="1:1" ht="15.75">
      <c r="A94" s="125">
        <v>6622</v>
      </c>
    </row>
    <row r="95" spans="1:1" ht="15.75">
      <c r="A95" s="125">
        <v>4045</v>
      </c>
    </row>
    <row r="96" spans="1:1" ht="15.75">
      <c r="A96" s="125">
        <v>2877</v>
      </c>
    </row>
    <row r="97" spans="1:1" ht="15.75">
      <c r="A97" s="125">
        <v>1541</v>
      </c>
    </row>
    <row r="98" spans="1:1" ht="15.75">
      <c r="A98" s="125">
        <v>4180</v>
      </c>
    </row>
    <row r="99" spans="1:1" ht="15.75">
      <c r="A99" s="125">
        <v>2025</v>
      </c>
    </row>
    <row r="100" spans="1:1" ht="15.75">
      <c r="A100" s="125">
        <v>2267</v>
      </c>
    </row>
    <row r="101" spans="1:1" ht="15.75">
      <c r="A101" s="125">
        <v>4171</v>
      </c>
    </row>
    <row r="102" spans="1:1" ht="15.75">
      <c r="A102" s="125">
        <v>936</v>
      </c>
    </row>
    <row r="103" spans="1:1" ht="15.75">
      <c r="A103" s="125">
        <v>3886</v>
      </c>
    </row>
    <row r="104" spans="1:1" ht="15.75">
      <c r="A104" s="125">
        <v>1497</v>
      </c>
    </row>
    <row r="105" spans="1:1" ht="15.75">
      <c r="A105" s="125">
        <v>5827</v>
      </c>
    </row>
    <row r="106" spans="1:1" ht="15.75">
      <c r="A106" s="125">
        <v>2002</v>
      </c>
    </row>
    <row r="107" spans="1:1" ht="15.75">
      <c r="A107" s="125">
        <v>4132</v>
      </c>
    </row>
    <row r="108" spans="1:1" ht="15.75">
      <c r="A108" s="125">
        <v>1466</v>
      </c>
    </row>
    <row r="109" spans="1:1" ht="15.75">
      <c r="A109" s="125">
        <v>3609</v>
      </c>
    </row>
    <row r="110" spans="1:1" ht="15.75">
      <c r="A110" s="125">
        <v>1521</v>
      </c>
    </row>
    <row r="111" spans="1:1" ht="15.75">
      <c r="A111" s="125">
        <v>3399</v>
      </c>
    </row>
    <row r="112" spans="1:1" ht="15.75">
      <c r="A112" s="125">
        <v>4915</v>
      </c>
    </row>
    <row r="113" spans="1:1" ht="15.75">
      <c r="A113" s="125">
        <v>3975</v>
      </c>
    </row>
    <row r="114" spans="1:1" ht="15.75">
      <c r="A114" s="125">
        <v>2855</v>
      </c>
    </row>
    <row r="115" spans="1:1" ht="15.75">
      <c r="A115" s="125">
        <v>3740</v>
      </c>
    </row>
    <row r="116" spans="1:1" ht="15.75">
      <c r="A116" s="125">
        <v>3873</v>
      </c>
    </row>
    <row r="117" spans="1:1" ht="15.75">
      <c r="A117" s="125">
        <v>4307</v>
      </c>
    </row>
    <row r="118" spans="1:1" ht="15.75">
      <c r="A118" s="125">
        <v>3504</v>
      </c>
    </row>
    <row r="119" spans="1:1" ht="15.75">
      <c r="A119" s="125">
        <v>4084</v>
      </c>
    </row>
    <row r="120" spans="1:1" ht="15.75">
      <c r="A120" s="125">
        <v>4193</v>
      </c>
    </row>
    <row r="121" spans="1:1" ht="15.75">
      <c r="A121" s="125">
        <v>4251</v>
      </c>
    </row>
    <row r="122" spans="1:1" ht="15.75">
      <c r="A122" s="125">
        <v>4634</v>
      </c>
    </row>
    <row r="123" spans="1:1" ht="15.75">
      <c r="A123" s="125">
        <v>5294</v>
      </c>
    </row>
    <row r="124" spans="1:1" ht="15.75">
      <c r="A124" s="125">
        <v>3934</v>
      </c>
    </row>
    <row r="125" spans="1:1" ht="15.75">
      <c r="A125" s="125">
        <v>5383</v>
      </c>
    </row>
    <row r="126" spans="1:1" ht="15.75">
      <c r="A126" s="125">
        <v>5481</v>
      </c>
    </row>
    <row r="127" spans="1:1" ht="15.75">
      <c r="A127" s="125">
        <v>4957</v>
      </c>
    </row>
    <row r="128" spans="1:1" ht="15.75">
      <c r="A128" s="125">
        <v>5889</v>
      </c>
    </row>
    <row r="129" spans="1:1" ht="15.75">
      <c r="A129" s="125">
        <v>5444</v>
      </c>
    </row>
    <row r="130" spans="1:1" ht="15.75">
      <c r="A130" s="125">
        <v>5368</v>
      </c>
    </row>
    <row r="131" spans="1:1" ht="15.75">
      <c r="A131" s="125">
        <v>5964</v>
      </c>
    </row>
    <row r="132" spans="1:1" ht="15.75">
      <c r="A132" s="125">
        <v>8510</v>
      </c>
    </row>
    <row r="133" spans="1:1" ht="15.75">
      <c r="A133" s="125">
        <v>4104</v>
      </c>
    </row>
    <row r="134" spans="1:1" ht="15.75">
      <c r="A134" s="125">
        <v>6226</v>
      </c>
    </row>
    <row r="135" spans="1:1" ht="15.75">
      <c r="A135" s="125">
        <v>7122</v>
      </c>
    </row>
    <row r="136" spans="1:1" ht="15.75">
      <c r="A136" s="125">
        <v>7310</v>
      </c>
    </row>
    <row r="137" spans="1:1" ht="15.75">
      <c r="A137" s="125">
        <v>7308</v>
      </c>
    </row>
    <row r="138" spans="1:1" ht="15.75">
      <c r="A138" s="125">
        <v>5549</v>
      </c>
    </row>
    <row r="139" spans="1:1" ht="15.75">
      <c r="A139" s="125">
        <v>7539</v>
      </c>
    </row>
    <row r="140" spans="1:1" ht="15.75">
      <c r="A140" s="125">
        <v>5629</v>
      </c>
    </row>
    <row r="141" spans="1:1" ht="15.75">
      <c r="A141" s="125">
        <v>6158</v>
      </c>
    </row>
    <row r="142" spans="1:1" ht="15.75">
      <c r="A142" s="125">
        <v>5446</v>
      </c>
    </row>
    <row r="143" spans="1:1" ht="15.75">
      <c r="A143" s="125">
        <v>6315</v>
      </c>
    </row>
    <row r="144" spans="1:1" ht="15.75">
      <c r="A144" s="125">
        <v>5301</v>
      </c>
    </row>
    <row r="145" spans="1:1" ht="15.75">
      <c r="A145" s="125">
        <v>5735</v>
      </c>
    </row>
    <row r="146" spans="1:1" ht="15.75">
      <c r="A146" s="125">
        <v>5972</v>
      </c>
    </row>
    <row r="147" spans="1:1" ht="15.75">
      <c r="A147" s="125">
        <v>4273</v>
      </c>
    </row>
    <row r="148" spans="1:1" ht="15.75">
      <c r="A148" s="125">
        <v>5496</v>
      </c>
    </row>
    <row r="149" spans="1:1" ht="15.75">
      <c r="A149" s="125">
        <v>5172</v>
      </c>
    </row>
    <row r="150" spans="1:1" ht="15.75">
      <c r="A150" s="125">
        <v>6521</v>
      </c>
    </row>
    <row r="151" spans="1:1" ht="15.75">
      <c r="A151" s="125">
        <v>5435</v>
      </c>
    </row>
    <row r="152" spans="1:1" ht="15.75">
      <c r="A152" s="125">
        <v>5052</v>
      </c>
    </row>
    <row r="153" spans="1:1" ht="15.75">
      <c r="A153" s="125">
        <v>3786</v>
      </c>
    </row>
    <row r="154" spans="1:1" ht="15.75">
      <c r="A154" s="125">
        <v>4050</v>
      </c>
    </row>
    <row r="155" spans="1:1" ht="15.75">
      <c r="A155" s="125">
        <v>5121</v>
      </c>
    </row>
    <row r="156" spans="1:1" ht="15">
      <c r="A156" s="138">
        <v>4134</v>
      </c>
    </row>
    <row r="157" spans="1:1" ht="15">
      <c r="A157" s="140">
        <v>3749</v>
      </c>
    </row>
    <row r="158" spans="1:1" ht="15">
      <c r="A158" s="137">
        <v>4699</v>
      </c>
    </row>
    <row r="159" spans="1:1" ht="15">
      <c r="A159" s="137">
        <v>4372</v>
      </c>
    </row>
    <row r="160" spans="1:1" ht="15">
      <c r="A160" s="137">
        <v>3670</v>
      </c>
    </row>
    <row r="161" spans="1:1" ht="15">
      <c r="A161" s="137">
        <v>2723</v>
      </c>
    </row>
    <row r="162" spans="1:1" ht="15">
      <c r="A162" s="137">
        <v>2461</v>
      </c>
    </row>
    <row r="163" spans="1:1" ht="15">
      <c r="A163" s="137">
        <v>2490</v>
      </c>
    </row>
    <row r="164" spans="1:1" ht="15">
      <c r="A164" s="137">
        <v>1491</v>
      </c>
    </row>
    <row r="165" spans="1:1" ht="15">
      <c r="A165" s="137">
        <v>1960</v>
      </c>
    </row>
    <row r="166" spans="1:1" ht="15">
      <c r="A166" s="137">
        <v>1730</v>
      </c>
    </row>
    <row r="167" spans="1:1" ht="15">
      <c r="A167" s="141">
        <v>2215</v>
      </c>
    </row>
    <row r="168" spans="1:1" ht="15">
      <c r="A168" s="137">
        <v>1662</v>
      </c>
    </row>
    <row r="169" spans="1:1" ht="15">
      <c r="A169" s="143">
        <v>1067</v>
      </c>
    </row>
    <row r="170" spans="1:1" ht="15">
      <c r="A170" s="138">
        <v>1527</v>
      </c>
    </row>
    <row r="171" spans="1:1" ht="15">
      <c r="A171" s="141">
        <v>1018</v>
      </c>
    </row>
    <row r="172" spans="1:1" ht="15">
      <c r="A172" s="138">
        <v>1162</v>
      </c>
    </row>
    <row r="173" spans="1:1" ht="15">
      <c r="A173" s="141">
        <v>909</v>
      </c>
    </row>
    <row r="174" spans="1:1" ht="15">
      <c r="A174" s="138">
        <v>1131</v>
      </c>
    </row>
    <row r="175" spans="1:1" ht="15">
      <c r="A175" s="141">
        <v>790</v>
      </c>
    </row>
    <row r="176" spans="1:1" ht="15">
      <c r="A176" s="138">
        <v>1059</v>
      </c>
    </row>
    <row r="177" spans="1:1" ht="15">
      <c r="A177" s="140">
        <v>968</v>
      </c>
    </row>
    <row r="178" spans="1:1" ht="15">
      <c r="A178" s="137">
        <v>907</v>
      </c>
    </row>
    <row r="179" spans="1:1" ht="15">
      <c r="A179" s="137">
        <v>1347</v>
      </c>
    </row>
    <row r="180" spans="1:1" ht="15">
      <c r="A180" s="137">
        <v>1255</v>
      </c>
    </row>
    <row r="181" spans="1:1" ht="15">
      <c r="A181" s="137">
        <v>1205</v>
      </c>
    </row>
    <row r="182" spans="1:1" ht="15">
      <c r="A182" s="137">
        <v>749</v>
      </c>
    </row>
    <row r="183" spans="1:1" ht="15">
      <c r="A183" s="137">
        <v>966</v>
      </c>
    </row>
    <row r="184" spans="1:1" ht="15">
      <c r="A184" s="137">
        <v>969</v>
      </c>
    </row>
    <row r="185" spans="1:1" ht="15">
      <c r="A185" s="137">
        <v>783</v>
      </c>
    </row>
    <row r="186" spans="1:1" ht="15">
      <c r="A186" s="137">
        <v>1140</v>
      </c>
    </row>
    <row r="187" spans="1:1" ht="15">
      <c r="A187" s="137">
        <v>1069</v>
      </c>
    </row>
    <row r="188" spans="1:1" ht="15">
      <c r="A188" s="137">
        <v>977</v>
      </c>
    </row>
    <row r="189" spans="1:1" ht="15">
      <c r="A189" s="137">
        <v>1042</v>
      </c>
    </row>
    <row r="190" spans="1:1" ht="15">
      <c r="A190" s="137">
        <v>1041</v>
      </c>
    </row>
    <row r="191" spans="1:1" ht="15">
      <c r="A191" s="137">
        <v>927</v>
      </c>
    </row>
    <row r="192" spans="1:1" ht="15">
      <c r="A192" s="137">
        <v>682</v>
      </c>
    </row>
    <row r="193" spans="1:1" ht="15">
      <c r="A193" s="137">
        <v>985</v>
      </c>
    </row>
    <row r="194" spans="1:1" ht="15">
      <c r="A194" s="137">
        <v>981</v>
      </c>
    </row>
    <row r="195" spans="1:1" ht="15">
      <c r="A195" s="137">
        <v>912</v>
      </c>
    </row>
    <row r="196" spans="1:1" ht="15">
      <c r="A196" s="137">
        <v>986</v>
      </c>
    </row>
    <row r="197" spans="1:1" ht="15">
      <c r="A197" s="137">
        <v>1009</v>
      </c>
    </row>
    <row r="198" spans="1:1" ht="15">
      <c r="A198" s="137">
        <v>1316</v>
      </c>
    </row>
    <row r="199" spans="1:1" ht="15">
      <c r="A199" s="137">
        <v>1276</v>
      </c>
    </row>
    <row r="200" spans="1:1" ht="15">
      <c r="A200" s="137">
        <v>1414</v>
      </c>
    </row>
    <row r="201" spans="1:1" ht="15">
      <c r="A201" s="137">
        <v>1185</v>
      </c>
    </row>
    <row r="202" spans="1:1" ht="15">
      <c r="A202" s="137">
        <v>1388</v>
      </c>
    </row>
    <row r="203" spans="1:1" ht="15">
      <c r="A203" s="137">
        <v>1240</v>
      </c>
    </row>
    <row r="204" spans="1:1" ht="15">
      <c r="A204" s="137">
        <v>985</v>
      </c>
    </row>
    <row r="205" spans="1:1" ht="15">
      <c r="A205" s="137">
        <v>1165</v>
      </c>
    </row>
    <row r="206" spans="1:1" ht="15">
      <c r="A206" s="137">
        <v>1183</v>
      </c>
    </row>
    <row r="207" spans="1:1" ht="15">
      <c r="A207" s="137">
        <v>1337</v>
      </c>
    </row>
    <row r="208" spans="1:1" ht="15">
      <c r="A208" s="137">
        <v>1609</v>
      </c>
    </row>
    <row r="209" spans="1:1" ht="15">
      <c r="A209" s="137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 ca thuc te</vt:lpstr>
      <vt:lpstr>ARIMA develop</vt:lpstr>
      <vt:lpstr>pearson</vt:lpstr>
      <vt:lpstr>forecast</vt:lpstr>
      <vt:lpstr>pearson (2)</vt:lpstr>
      <vt:lpstr>forecast (2)</vt:lpstr>
      <vt:lpstr>Sheet1</vt:lpstr>
      <vt:lpstr>DATA ĐỢT 4</vt:lpstr>
      <vt:lpstr>90% &amp; 95% CI</vt:lpstr>
      <vt:lpstr>Benford fit 95%</vt:lpstr>
      <vt:lpstr>Chi-square, d factor, MAD, SSD</vt:lpstr>
      <vt:lpstr>SUMMARY</vt:lpstr>
      <vt:lpstr>Benford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2021-11-17T13:22:48Z</dcterms:created>
  <dcterms:modified xsi:type="dcterms:W3CDTF">2022-01-20T13:57:04Z</dcterms:modified>
</cp:coreProperties>
</file>