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rceloalanis/Desktop/"/>
    </mc:Choice>
  </mc:AlternateContent>
  <xr:revisionPtr revIDLastSave="0" documentId="13_ncr:1_{90645C95-FC18-8E45-80E0-1A0D050A2E66}" xr6:coauthVersionLast="47" xr6:coauthVersionMax="47" xr10:uidLastSave="{00000000-0000-0000-0000-000000000000}"/>
  <bookViews>
    <workbookView xWindow="1900" yWindow="2160" windowWidth="24100" windowHeight="13940" activeTab="1" xr2:uid="{00000000-000D-0000-FFFF-FFFF00000000}"/>
  </bookViews>
  <sheets>
    <sheet name="Análisis de cartera" sheetId="1" r:id="rId1"/>
    <sheet name="ANALISIS EMPRESA" sheetId="2" r:id="rId2"/>
  </sheets>
  <definedNames>
    <definedName name="_xlnm.Print_Area" localSheetId="0">'Análisis de cartera'!$L$1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2" l="1"/>
  <c r="F75" i="2"/>
  <c r="F74" i="2"/>
  <c r="E66" i="2"/>
  <c r="B50" i="2"/>
  <c r="L45" i="2" s="1"/>
  <c r="L48" i="2" s="1"/>
  <c r="L49" i="2" s="1"/>
  <c r="L28" i="2"/>
  <c r="B39" i="2"/>
  <c r="C38" i="2"/>
  <c r="E11" i="2"/>
  <c r="E9" i="2"/>
  <c r="E13" i="2"/>
  <c r="B14" i="2"/>
  <c r="B68" i="2"/>
  <c r="B65" i="2"/>
  <c r="B64" i="2"/>
  <c r="B26" i="2"/>
  <c r="B25" i="2"/>
  <c r="B23" i="2"/>
  <c r="J14" i="1"/>
  <c r="K14" i="1" s="1"/>
  <c r="I13" i="1"/>
  <c r="F38" i="2"/>
  <c r="L38" i="2"/>
  <c r="D38" i="2"/>
  <c r="E38" i="2"/>
  <c r="G38" i="2"/>
  <c r="H38" i="2"/>
  <c r="I38" i="2"/>
  <c r="J38" i="2"/>
  <c r="K38" i="2"/>
  <c r="L27" i="2"/>
  <c r="L24" i="2"/>
  <c r="E10" i="2"/>
  <c r="E12" i="2"/>
  <c r="E14" i="2"/>
  <c r="F10" i="2"/>
  <c r="F11" i="2"/>
  <c r="F12" i="2"/>
  <c r="F13" i="2"/>
  <c r="F14" i="2"/>
  <c r="F9" i="2"/>
  <c r="G13" i="1"/>
  <c r="J12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I12" i="1"/>
  <c r="C4" i="1" s="1"/>
  <c r="G12" i="1"/>
  <c r="I11" i="1"/>
  <c r="G11" i="1"/>
  <c r="I10" i="1"/>
  <c r="G10" i="1"/>
  <c r="F76" i="2" l="1"/>
  <c r="E64" i="2"/>
  <c r="L50" i="2"/>
  <c r="L51" i="2" s="1"/>
  <c r="B66" i="2"/>
  <c r="E65" i="2"/>
  <c r="G11" i="2"/>
  <c r="G12" i="2"/>
  <c r="G13" i="2"/>
  <c r="G10" i="2"/>
  <c r="G9" i="2"/>
  <c r="G14" i="2"/>
  <c r="J13" i="1"/>
  <c r="K13" i="1" s="1"/>
  <c r="B4" i="1"/>
  <c r="J11" i="1"/>
  <c r="K11" i="1" s="1"/>
  <c r="J10" i="1"/>
  <c r="E68" i="2" l="1"/>
  <c r="L52" i="2"/>
  <c r="I64" i="2"/>
  <c r="L29" i="2"/>
  <c r="L30" i="2" s="1"/>
  <c r="L25" i="2"/>
  <c r="K12" i="1"/>
  <c r="D4" i="1"/>
  <c r="K10" i="1"/>
  <c r="L64" i="2" l="1"/>
  <c r="L53" i="2"/>
  <c r="L31" i="2"/>
  <c r="L32" i="2" s="1"/>
  <c r="L65" i="2" s="1"/>
  <c r="I65" i="2"/>
  <c r="I66" i="2" s="1"/>
  <c r="I68" i="2" s="1"/>
  <c r="E4" i="1"/>
  <c r="L66" i="2" l="1"/>
  <c r="L68" i="2" s="1"/>
</calcChain>
</file>

<file path=xl/sharedStrings.xml><?xml version="1.0" encoding="utf-8"?>
<sst xmlns="http://schemas.openxmlformats.org/spreadsheetml/2006/main" count="100" uniqueCount="72">
  <si>
    <t>Costo total de cuentas</t>
  </si>
  <si>
    <t>Valor de cuentas</t>
  </si>
  <si>
    <t>Ganancias/pérdidas no realizadas $</t>
  </si>
  <si>
    <t>Ganancias/pérdidas no realizadas %</t>
  </si>
  <si>
    <t>Símbolo</t>
  </si>
  <si>
    <t>Cantidad</t>
  </si>
  <si>
    <t>Comisiones</t>
  </si>
  <si>
    <t>Valor de mercado</t>
  </si>
  <si>
    <t>Ganancias/Pérdidas ($)</t>
  </si>
  <si>
    <t>Ganancias/Pérdidas (%)</t>
  </si>
  <si>
    <t>AAPL</t>
  </si>
  <si>
    <t>Costo total</t>
  </si>
  <si>
    <t>Acción/Bono</t>
  </si>
  <si>
    <t>Uber</t>
  </si>
  <si>
    <t>Apple</t>
  </si>
  <si>
    <t>Precio de compra</t>
  </si>
  <si>
    <t>Cotización actual</t>
  </si>
  <si>
    <t>Mercado Libre</t>
  </si>
  <si>
    <t>MELI</t>
  </si>
  <si>
    <t>BIMBO</t>
  </si>
  <si>
    <t>BIMBOA.MX</t>
  </si>
  <si>
    <t>PRICE TO EARNINGS RATIO</t>
  </si>
  <si>
    <t>PRECIO</t>
  </si>
  <si>
    <t>EPS</t>
  </si>
  <si>
    <t>PE RATIO</t>
  </si>
  <si>
    <t>BIMBO.MX</t>
  </si>
  <si>
    <t>PRECIO ENTRY</t>
  </si>
  <si>
    <t>VALOR MERCADO</t>
  </si>
  <si>
    <t xml:space="preserve"> </t>
  </si>
  <si>
    <t>Eps</t>
  </si>
  <si>
    <t>Earnings Per Share</t>
  </si>
  <si>
    <t xml:space="preserve">PE Ratio </t>
  </si>
  <si>
    <t>PRICE/EARNINGS RATIO</t>
  </si>
  <si>
    <t>PE Ratio CALC</t>
  </si>
  <si>
    <t>*Al valor actual siempre constante, empresa CONSTANTE tambien VTAS</t>
  </si>
  <si>
    <t>PRICE TO EARNINGS GROWTH</t>
  </si>
  <si>
    <t>GROWTH</t>
  </si>
  <si>
    <t>Promedio</t>
  </si>
  <si>
    <t>YEAR</t>
  </si>
  <si>
    <t>PE RATIO PROM</t>
  </si>
  <si>
    <t>PROMEDIO</t>
  </si>
  <si>
    <t>Precio</t>
  </si>
  <si>
    <t>%</t>
  </si>
  <si>
    <t>VALUACION A 5 AÑOS HISTORICO</t>
  </si>
  <si>
    <t>SFI - SOLUCIONES FINANCIERAS INTELIGENTES</t>
  </si>
  <si>
    <t>Valor Intrinseco</t>
  </si>
  <si>
    <t>Accion</t>
  </si>
  <si>
    <t>MARGEN</t>
  </si>
  <si>
    <t>$$$$</t>
  </si>
  <si>
    <t xml:space="preserve">   GROWTH</t>
  </si>
  <si>
    <t xml:space="preserve">  NET INCOME</t>
  </si>
  <si>
    <t xml:space="preserve">    AÑO</t>
  </si>
  <si>
    <t>-</t>
  </si>
  <si>
    <t>1) Volteamos al pasado…..</t>
  </si>
  <si>
    <t>2) Volteamos al futuro…</t>
  </si>
  <si>
    <t>3) De vuelta al pasado….</t>
  </si>
  <si>
    <t>PE</t>
  </si>
  <si>
    <t>PESIMISTA</t>
  </si>
  <si>
    <t>MODERADO</t>
  </si>
  <si>
    <t>OPTIMISTA</t>
  </si>
  <si>
    <t>Hoy</t>
  </si>
  <si>
    <t>UBER</t>
  </si>
  <si>
    <t>TSLA</t>
  </si>
  <si>
    <t>NIO</t>
  </si>
  <si>
    <t xml:space="preserve">CCL </t>
  </si>
  <si>
    <t>DAL</t>
  </si>
  <si>
    <t>BABA</t>
  </si>
  <si>
    <t>VOO</t>
  </si>
  <si>
    <t>FUNO</t>
  </si>
  <si>
    <t>4) Volteamos al futuro…</t>
  </si>
  <si>
    <t>YO USARIA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</si>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</sst>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"/>
    <numFmt numFmtId="165" formatCode="_(&quot;$&quot;* #,##0.00_);_(&quot;$&quot;* \(#,##0.00\);_(&quot;$&quot;* &quot;-&quot;??_);_(@_)"/>
    <numFmt numFmtId="166" formatCode="&quot;$&quot;\ #,##0.00"/>
    <numFmt numFmtId="167" formatCode="0.000"/>
  </numFmts>
  <fonts count="30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1"/>
      <scheme val="minor"/>
    </font>
    <font>
      <b/>
      <sz val="12"/>
      <color theme="1"/>
      <name val="Calibri"/>
      <family val="2"/>
    </font>
    <font>
      <sz val="8"/>
      <color theme="1"/>
      <name val="Calibri"/>
      <family val="1"/>
      <scheme val="minor"/>
    </font>
    <font>
      <b/>
      <sz val="12"/>
      <color theme="1" tint="0.34998626667073579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rgb="FF1E1E1E"/>
      <name val="Arial Hebrew"/>
      <charset val="177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22"/>
      <color theme="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i/>
      <u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b/>
      <i/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14BD8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14BD88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14BD88"/>
      </left>
      <right style="medium">
        <color rgb="FF14BD88"/>
      </right>
      <top/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14BD88"/>
      </left>
      <right style="medium">
        <color rgb="FF14BD88"/>
      </right>
      <top/>
      <bottom style="medium">
        <color theme="0" tint="-4.9989318521683403E-2"/>
      </bottom>
      <diagonal/>
    </border>
    <border>
      <left style="medium">
        <color rgb="FF14BD88"/>
      </left>
      <right style="medium">
        <color rgb="FF14BD88"/>
      </right>
      <top style="medium">
        <color rgb="FF14BD88"/>
      </top>
      <bottom/>
      <diagonal/>
    </border>
    <border>
      <left style="medium">
        <color rgb="FF14BD88"/>
      </left>
      <right style="medium">
        <color rgb="FF14BD88"/>
      </right>
      <top/>
      <bottom style="medium">
        <color rgb="FF14BD88"/>
      </bottom>
      <diagonal/>
    </border>
    <border>
      <left/>
      <right style="medium">
        <color rgb="FF14BD88"/>
      </right>
      <top/>
      <bottom style="medium">
        <color rgb="FF14BD8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/>
    <xf numFmtId="10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/>
    <xf numFmtId="0" fontId="10" fillId="0" borderId="0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indent="1"/>
    </xf>
    <xf numFmtId="166" fontId="11" fillId="0" borderId="2" xfId="0" applyNumberFormat="1" applyFont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166" fontId="9" fillId="0" borderId="2" xfId="0" applyNumberFormat="1" applyFont="1" applyBorder="1" applyAlignment="1">
      <alignment horizontal="left" vertical="center" indent="1"/>
    </xf>
    <xf numFmtId="165" fontId="9" fillId="0" borderId="2" xfId="1" applyFont="1" applyBorder="1" applyAlignment="1">
      <alignment horizontal="left" vertical="center" indent="1"/>
    </xf>
    <xf numFmtId="0" fontId="12" fillId="0" borderId="0" xfId="0" applyFont="1" applyBorder="1"/>
    <xf numFmtId="0" fontId="12" fillId="0" borderId="0" xfId="0" applyFont="1"/>
    <xf numFmtId="9" fontId="4" fillId="0" borderId="0" xfId="2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3" fillId="0" borderId="0" xfId="0" applyFont="1" applyBorder="1"/>
    <xf numFmtId="166" fontId="13" fillId="0" borderId="3" xfId="0" applyNumberFormat="1" applyFont="1" applyBorder="1" applyAlignment="1">
      <alignment horizontal="center" vertical="center"/>
    </xf>
    <xf numFmtId="9" fontId="13" fillId="0" borderId="3" xfId="2" applyFont="1" applyBorder="1" applyAlignment="1">
      <alignment horizontal="center" vertical="center"/>
    </xf>
    <xf numFmtId="9" fontId="13" fillId="0" borderId="0" xfId="2" applyFont="1" applyBorder="1"/>
    <xf numFmtId="0" fontId="13" fillId="0" borderId="0" xfId="0" applyFont="1"/>
    <xf numFmtId="166" fontId="12" fillId="0" borderId="2" xfId="0" applyNumberFormat="1" applyFont="1" applyBorder="1" applyAlignment="1">
      <alignment horizontal="left" vertical="center" indent="1"/>
    </xf>
    <xf numFmtId="166" fontId="12" fillId="0" borderId="2" xfId="1" applyNumberFormat="1" applyFont="1" applyBorder="1" applyAlignment="1">
      <alignment horizontal="left" vertical="center" indent="1"/>
    </xf>
    <xf numFmtId="0" fontId="0" fillId="2" borderId="0" xfId="0" applyFill="1"/>
    <xf numFmtId="0" fontId="14" fillId="3" borderId="0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left" vertical="center" indent="1"/>
    </xf>
    <xf numFmtId="9" fontId="14" fillId="3" borderId="4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44" fontId="0" fillId="0" borderId="0" xfId="0" applyNumberFormat="1"/>
    <xf numFmtId="44" fontId="16" fillId="0" borderId="0" xfId="0" applyNumberFormat="1" applyFont="1"/>
    <xf numFmtId="10" fontId="15" fillId="0" borderId="0" xfId="2" applyNumberFormat="1" applyFont="1"/>
    <xf numFmtId="166" fontId="1" fillId="0" borderId="3" xfId="0" applyNumberFormat="1" applyFont="1" applyBorder="1" applyAlignment="1">
      <alignment horizontal="center" vertical="center"/>
    </xf>
    <xf numFmtId="9" fontId="1" fillId="0" borderId="3" xfId="2" applyFont="1" applyBorder="1" applyAlignment="1">
      <alignment horizontal="center" vertical="center"/>
    </xf>
    <xf numFmtId="165" fontId="12" fillId="0" borderId="2" xfId="1" applyFont="1" applyBorder="1" applyAlignment="1">
      <alignment horizontal="left" vertical="top" indent="1"/>
    </xf>
    <xf numFmtId="0" fontId="19" fillId="0" borderId="0" xfId="0" applyFont="1"/>
    <xf numFmtId="0" fontId="15" fillId="2" borderId="0" xfId="0" applyFont="1" applyFill="1"/>
    <xf numFmtId="0" fontId="21" fillId="2" borderId="0" xfId="0" applyFont="1" applyFill="1"/>
    <xf numFmtId="0" fontId="0" fillId="0" borderId="0" xfId="0" applyBorder="1"/>
    <xf numFmtId="0" fontId="15" fillId="4" borderId="0" xfId="0" applyFont="1" applyFill="1"/>
    <xf numFmtId="9" fontId="0" fillId="0" borderId="17" xfId="0" applyNumberFormat="1" applyBorder="1"/>
    <xf numFmtId="165" fontId="0" fillId="0" borderId="17" xfId="1" applyFont="1" applyBorder="1"/>
    <xf numFmtId="165" fontId="0" fillId="0" borderId="17" xfId="0" applyNumberFormat="1" applyBorder="1"/>
    <xf numFmtId="44" fontId="0" fillId="0" borderId="17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8" xfId="0" applyFill="1" applyBorder="1"/>
    <xf numFmtId="0" fontId="0" fillId="0" borderId="19" xfId="0" applyFill="1" applyBorder="1"/>
    <xf numFmtId="0" fontId="15" fillId="0" borderId="18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23" fillId="0" borderId="0" xfId="0" applyFont="1"/>
    <xf numFmtId="0" fontId="0" fillId="6" borderId="0" xfId="0" applyFill="1"/>
    <xf numFmtId="3" fontId="18" fillId="5" borderId="21" xfId="0" applyNumberFormat="1" applyFont="1" applyFill="1" applyBorder="1"/>
    <xf numFmtId="0" fontId="15" fillId="8" borderId="11" xfId="0" applyFont="1" applyFill="1" applyBorder="1"/>
    <xf numFmtId="10" fontId="15" fillId="8" borderId="13" xfId="2" applyNumberFormat="1" applyFont="1" applyFill="1" applyBorder="1"/>
    <xf numFmtId="0" fontId="15" fillId="7" borderId="20" xfId="0" applyFont="1" applyFill="1" applyBorder="1"/>
    <xf numFmtId="10" fontId="15" fillId="7" borderId="20" xfId="2" applyNumberFormat="1" applyFont="1" applyFill="1" applyBorder="1"/>
    <xf numFmtId="0" fontId="16" fillId="6" borderId="22" xfId="0" applyFont="1" applyFill="1" applyBorder="1"/>
    <xf numFmtId="44" fontId="16" fillId="5" borderId="23" xfId="0" applyNumberFormat="1" applyFont="1" applyFill="1" applyBorder="1"/>
    <xf numFmtId="0" fontId="15" fillId="7" borderId="24" xfId="0" applyFont="1" applyFill="1" applyBorder="1"/>
    <xf numFmtId="0" fontId="0" fillId="6" borderId="8" xfId="0" applyFill="1" applyBorder="1"/>
    <xf numFmtId="0" fontId="0" fillId="6" borderId="10" xfId="0" applyFill="1" applyBorder="1"/>
    <xf numFmtId="0" fontId="0" fillId="0" borderId="18" xfId="0" applyBorder="1"/>
    <xf numFmtId="167" fontId="0" fillId="0" borderId="19" xfId="0" applyNumberFormat="1" applyBorder="1"/>
    <xf numFmtId="0" fontId="0" fillId="0" borderId="18" xfId="1" applyNumberFormat="1" applyFont="1" applyBorder="1"/>
    <xf numFmtId="0" fontId="0" fillId="8" borderId="11" xfId="0" applyFill="1" applyBorder="1"/>
    <xf numFmtId="10" fontId="0" fillId="8" borderId="13" xfId="0" applyNumberFormat="1" applyFill="1" applyBorder="1"/>
    <xf numFmtId="0" fontId="15" fillId="6" borderId="8" xfId="0" applyFont="1" applyFill="1" applyBorder="1"/>
    <xf numFmtId="0" fontId="15" fillId="6" borderId="10" xfId="0" applyFont="1" applyFill="1" applyBorder="1"/>
    <xf numFmtId="0" fontId="25" fillId="0" borderId="0" xfId="0" applyFont="1"/>
    <xf numFmtId="0" fontId="0" fillId="9" borderId="15" xfId="0" applyFill="1" applyBorder="1"/>
    <xf numFmtId="0" fontId="15" fillId="9" borderId="7" xfId="0" applyFont="1" applyFill="1" applyBorder="1"/>
    <xf numFmtId="0" fontId="15" fillId="9" borderId="14" xfId="0" applyFont="1" applyFill="1" applyBorder="1"/>
    <xf numFmtId="0" fontId="20" fillId="10" borderId="0" xfId="0" applyFont="1" applyFill="1" applyBorder="1"/>
    <xf numFmtId="165" fontId="20" fillId="10" borderId="0" xfId="1" applyFont="1" applyFill="1" applyBorder="1"/>
    <xf numFmtId="0" fontId="20" fillId="10" borderId="0" xfId="0" applyFont="1" applyFill="1"/>
    <xf numFmtId="165" fontId="20" fillId="10" borderId="0" xfId="1" applyFont="1" applyFill="1"/>
    <xf numFmtId="0" fontId="0" fillId="6" borderId="0" xfId="0" applyFill="1" applyBorder="1"/>
    <xf numFmtId="0" fontId="16" fillId="12" borderId="0" xfId="0" applyFont="1" applyFill="1" applyBorder="1"/>
    <xf numFmtId="0" fontId="0" fillId="12" borderId="0" xfId="0" applyFill="1" applyBorder="1"/>
    <xf numFmtId="0" fontId="25" fillId="13" borderId="0" xfId="0" applyFont="1" applyFill="1"/>
    <xf numFmtId="0" fontId="15" fillId="13" borderId="11" xfId="0" applyFont="1" applyFill="1" applyBorder="1"/>
    <xf numFmtId="167" fontId="15" fillId="13" borderId="13" xfId="0" applyNumberFormat="1" applyFont="1" applyFill="1" applyBorder="1"/>
    <xf numFmtId="0" fontId="0" fillId="14" borderId="0" xfId="0" applyFill="1" applyBorder="1"/>
    <xf numFmtId="0" fontId="15" fillId="14" borderId="14" xfId="0" applyFont="1" applyFill="1" applyBorder="1"/>
    <xf numFmtId="2" fontId="22" fillId="14" borderId="15" xfId="0" applyNumberFormat="1" applyFont="1" applyFill="1" applyBorder="1"/>
    <xf numFmtId="0" fontId="15" fillId="14" borderId="15" xfId="0" applyFont="1" applyFill="1" applyBorder="1"/>
    <xf numFmtId="0" fontId="0" fillId="15" borderId="0" xfId="0" applyFill="1"/>
    <xf numFmtId="0" fontId="17" fillId="3" borderId="0" xfId="0" applyFont="1" applyFill="1"/>
    <xf numFmtId="0" fontId="17" fillId="3" borderId="0" xfId="0" applyNumberFormat="1" applyFont="1" applyFill="1"/>
    <xf numFmtId="0" fontId="0" fillId="3" borderId="14" xfId="0" applyFill="1" applyBorder="1"/>
    <xf numFmtId="0" fontId="0" fillId="3" borderId="16" xfId="0" applyFill="1" applyBorder="1"/>
    <xf numFmtId="0" fontId="0" fillId="3" borderId="15" xfId="0" applyFill="1" applyBorder="1"/>
    <xf numFmtId="0" fontId="16" fillId="3" borderId="22" xfId="0" applyFont="1" applyFill="1" applyBorder="1"/>
    <xf numFmtId="0" fontId="17" fillId="3" borderId="12" xfId="0" applyFont="1" applyFill="1" applyBorder="1"/>
    <xf numFmtId="0" fontId="0" fillId="3" borderId="7" xfId="0" applyFill="1" applyBorder="1"/>
    <xf numFmtId="0" fontId="19" fillId="17" borderId="8" xfId="0" applyFont="1" applyFill="1" applyBorder="1"/>
    <xf numFmtId="0" fontId="19" fillId="17" borderId="10" xfId="0" applyFont="1" applyFill="1" applyBorder="1"/>
    <xf numFmtId="0" fontId="19" fillId="18" borderId="11" xfId="0" applyFont="1" applyFill="1" applyBorder="1"/>
    <xf numFmtId="10" fontId="19" fillId="18" borderId="13" xfId="0" applyNumberFormat="1" applyFont="1" applyFill="1" applyBorder="1"/>
    <xf numFmtId="0" fontId="27" fillId="17" borderId="18" xfId="0" applyFont="1" applyFill="1" applyBorder="1"/>
    <xf numFmtId="0" fontId="27" fillId="17" borderId="19" xfId="0" applyFont="1" applyFill="1" applyBorder="1"/>
    <xf numFmtId="0" fontId="28" fillId="0" borderId="0" xfId="0" applyFont="1"/>
    <xf numFmtId="0" fontId="19" fillId="0" borderId="18" xfId="0" applyFont="1" applyBorder="1"/>
    <xf numFmtId="167" fontId="19" fillId="0" borderId="19" xfId="0" applyNumberFormat="1" applyFont="1" applyBorder="1"/>
    <xf numFmtId="0" fontId="28" fillId="19" borderId="0" xfId="0" applyFont="1" applyFill="1"/>
    <xf numFmtId="0" fontId="27" fillId="19" borderId="11" xfId="0" applyFont="1" applyFill="1" applyBorder="1"/>
    <xf numFmtId="0" fontId="15" fillId="16" borderId="14" xfId="0" applyFont="1" applyFill="1" applyBorder="1"/>
    <xf numFmtId="0" fontId="15" fillId="16" borderId="15" xfId="0" applyFont="1" applyFill="1" applyBorder="1"/>
    <xf numFmtId="167" fontId="19" fillId="13" borderId="19" xfId="0" applyNumberFormat="1" applyFont="1" applyFill="1" applyBorder="1"/>
    <xf numFmtId="0" fontId="24" fillId="11" borderId="0" xfId="0" applyFont="1" applyFill="1"/>
    <xf numFmtId="0" fontId="20" fillId="20" borderId="0" xfId="0" applyFont="1" applyFill="1"/>
    <xf numFmtId="0" fontId="20" fillId="21" borderId="0" xfId="0" applyFont="1" applyFill="1"/>
    <xf numFmtId="0" fontId="20" fillId="22" borderId="0" xfId="0" applyFont="1" applyFill="1"/>
    <xf numFmtId="167" fontId="0" fillId="0" borderId="10" xfId="0" applyNumberFormat="1" applyBorder="1"/>
    <xf numFmtId="2" fontId="0" fillId="0" borderId="19" xfId="0" applyNumberFormat="1" applyBorder="1"/>
    <xf numFmtId="0" fontId="0" fillId="0" borderId="19" xfId="0" applyBorder="1"/>
    <xf numFmtId="0" fontId="0" fillId="0" borderId="11" xfId="0" applyBorder="1"/>
    <xf numFmtId="9" fontId="0" fillId="23" borderId="13" xfId="2" applyFont="1" applyFill="1" applyBorder="1"/>
    <xf numFmtId="0" fontId="15" fillId="23" borderId="18" xfId="0" applyFont="1" applyFill="1" applyBorder="1"/>
    <xf numFmtId="0" fontId="29" fillId="23" borderId="0" xfId="0" applyFont="1" applyFill="1"/>
    <xf numFmtId="0" fontId="23" fillId="23" borderId="0" xfId="0" applyFont="1" applyFill="1"/>
    <xf numFmtId="0" fontId="0" fillId="23" borderId="0" xfId="0" applyFill="1"/>
    <xf numFmtId="10" fontId="0" fillId="23" borderId="13" xfId="2" applyNumberFormat="1" applyFont="1" applyFill="1" applyBorder="1"/>
    <xf numFmtId="0" fontId="0" fillId="23" borderId="0" xfId="0" applyFill="1" applyBorder="1"/>
    <xf numFmtId="0" fontId="0" fillId="0" borderId="12" xfId="0" applyBorder="1"/>
    <xf numFmtId="0" fontId="0" fillId="0" borderId="13" xfId="0" applyBorder="1"/>
    <xf numFmtId="0" fontId="15" fillId="9" borderId="0" xfId="0" applyFont="1" applyFill="1" applyBorder="1"/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/>
    <xf numFmtId="166" fontId="26" fillId="0" borderId="4" xfId="0" applyNumberFormat="1" applyFont="1" applyBorder="1" applyAlignment="1">
      <alignment horizontal="center" vertical="center" wrapText="1"/>
    </xf>
    <xf numFmtId="166" fontId="26" fillId="0" borderId="1" xfId="0" applyNumberFormat="1" applyFont="1" applyBorder="1" applyAlignment="1">
      <alignment horizontal="center" vertical="center" wrapText="1"/>
    </xf>
    <xf numFmtId="9" fontId="26" fillId="0" borderId="4" xfId="2" applyFont="1" applyBorder="1" applyAlignment="1">
      <alignment horizontal="center" vertical="center" wrapText="1"/>
    </xf>
    <xf numFmtId="9" fontId="26" fillId="0" borderId="1" xfId="2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vertical="center"/>
    </xf>
  </cellXfs>
  <cellStyles count="3">
    <cellStyle name="Moneda" xfId="1" builtinId="4"/>
    <cellStyle name="Normal" xfId="0" builtinId="0"/>
    <cellStyle name="Porcentaje" xfId="2" builtinId="5"/>
  </cellStyles>
  <dxfs count="1">
    <dxf>
      <font>
        <color indexed="10"/>
      </font>
    </dxf>
  </dxfs>
  <tableStyles count="0" defaultTableStyle="TableStyleMedium2" defaultPivotStyle="PivotStyleLight16"/>
  <colors>
    <mruColors>
      <color rgb="FF14BD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154781</xdr:colOff>
      <xdr:row>0</xdr:row>
      <xdr:rowOff>0</xdr:rowOff>
    </xdr:from>
    <xdr:to>
      <xdr:col>4</xdr:col>
      <xdr:colOff>1099344</xdr:colOff>
      <xdr:row>1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6B795F-FFBA-7D41-AA5F-DD7057F88673}"/>
            </a:ext>
          </a:extLst>
        </xdr:cNvPr>
        <xdr:cNvSpPr txBox="1"/>
      </xdr:nvSpPr>
      <xdr:spPr>
        <a:xfrm>
          <a:off x="333375" y="0"/>
          <a:ext cx="5326063" cy="741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Análisis de Cartera</a:t>
          </a:r>
        </a:p>
      </xdr:txBody>
    </xdr:sp>
    <xdr:clientData/>
  </xdr:twoCellAnchor>
  <xdr:twoCellAnchor editAs="absolute">
    <xdr:from>
      <xdr:col>6</xdr:col>
      <xdr:colOff>29104</xdr:colOff>
      <xdr:row>0</xdr:row>
      <xdr:rowOff>0</xdr:rowOff>
    </xdr:from>
    <xdr:to>
      <xdr:col>9</xdr:col>
      <xdr:colOff>1067329</xdr:colOff>
      <xdr:row>1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F63045-E4C8-7640-BE33-72C7688DFB27}"/>
            </a:ext>
          </a:extLst>
        </xdr:cNvPr>
        <xdr:cNvSpPr txBox="1"/>
      </xdr:nvSpPr>
      <xdr:spPr>
        <a:xfrm>
          <a:off x="7387167" y="0"/>
          <a:ext cx="5181600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SFI &amp; PlanillaExcel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</xdr:colOff>
      <xdr:row>11</xdr:row>
      <xdr:rowOff>25400</xdr:rowOff>
    </xdr:from>
    <xdr:to>
      <xdr:col>13</xdr:col>
      <xdr:colOff>838200</xdr:colOff>
      <xdr:row>13</xdr:row>
      <xdr:rowOff>143877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8B4996-D48A-6441-8FD2-C3355A99C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1400" y="1384300"/>
          <a:ext cx="1714500" cy="461377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8</xdr:row>
      <xdr:rowOff>25400</xdr:rowOff>
    </xdr:from>
    <xdr:to>
      <xdr:col>13</xdr:col>
      <xdr:colOff>738414</xdr:colOff>
      <xdr:row>10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FAE25C-8C0A-624F-BC53-63ECBB8C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1400" y="876300"/>
          <a:ext cx="1614714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opLeftCell="B1" zoomScale="80" zoomScaleNormal="80" workbookViewId="0">
      <pane ySplit="9" topLeftCell="A10" activePane="bottomLeft" state="frozen"/>
      <selection pane="bottomLeft" activeCell="D16" sqref="D16"/>
    </sheetView>
  </sheetViews>
  <sheetFormatPr baseColWidth="10" defaultColWidth="9.1640625" defaultRowHeight="14" x14ac:dyDescent="0.2"/>
  <cols>
    <col min="1" max="1" width="2.6640625" style="2" customWidth="1"/>
    <col min="2" max="2" width="22" style="1" customWidth="1"/>
    <col min="3" max="3" width="21.6640625" style="1" customWidth="1"/>
    <col min="4" max="4" width="22" style="1" customWidth="1"/>
    <col min="5" max="5" width="24.1640625" style="1" customWidth="1"/>
    <col min="6" max="6" width="17.83203125" style="1" customWidth="1"/>
    <col min="7" max="7" width="16" style="1" customWidth="1"/>
    <col min="8" max="8" width="22.5" style="1" customWidth="1"/>
    <col min="9" max="9" width="23.5" style="1" customWidth="1"/>
    <col min="10" max="10" width="30.5" style="1" customWidth="1"/>
    <col min="11" max="11" width="29.5" style="1" customWidth="1"/>
    <col min="12" max="12" width="22.33203125" style="1" customWidth="1"/>
    <col min="13" max="13" width="9.1640625" style="1"/>
    <col min="14" max="16384" width="9.1640625" style="2"/>
  </cols>
  <sheetData>
    <row r="1" spans="1:14" s="4" customFormat="1" ht="55" customHeight="1" x14ac:dyDescent="0.15">
      <c r="A1" s="20"/>
      <c r="B1" s="30"/>
      <c r="C1" s="30"/>
      <c r="D1" s="30"/>
      <c r="E1" s="30"/>
      <c r="F1" s="30"/>
      <c r="G1" s="30"/>
      <c r="H1" s="30"/>
      <c r="I1" s="30"/>
      <c r="J1" s="30"/>
      <c r="K1" s="30"/>
    </row>
    <row r="3" spans="1:14" ht="15" thickBot="1" x14ac:dyDescent="0.25">
      <c r="B3" s="2"/>
      <c r="C3" s="2"/>
      <c r="D3" s="2"/>
      <c r="E3" s="2"/>
      <c r="F3" s="2"/>
      <c r="G3" s="2"/>
    </row>
    <row r="4" spans="1:14" ht="18.75" customHeight="1" x14ac:dyDescent="0.2">
      <c r="B4" s="145">
        <f ca="1">SUM(OFFSET(G9,1,,COUNTA(G9:G2000)))</f>
        <v>9409.0499999999993</v>
      </c>
      <c r="C4" s="145">
        <f ca="1">SUM(OFFSET(I9,1,,COUNTA(I9:I2000)))</f>
        <v>10433.4</v>
      </c>
      <c r="D4" s="145">
        <f ca="1">SUM(OFFSET(J9,1,,COUNTA(J9:J2000)))</f>
        <v>1024.3499999999999</v>
      </c>
      <c r="E4" s="147">
        <f ca="1">SUM(OFFSET(K9,1,,COUNTA(K9:K2000)))</f>
        <v>0.16961765055276007</v>
      </c>
      <c r="H4" s="18"/>
      <c r="I4" s="2"/>
      <c r="J4" s="2"/>
      <c r="K4" s="149"/>
      <c r="L4" s="142"/>
    </row>
    <row r="5" spans="1:14" ht="18.75" customHeight="1" x14ac:dyDescent="0.2">
      <c r="B5" s="146"/>
      <c r="C5" s="146"/>
      <c r="D5" s="146"/>
      <c r="E5" s="148"/>
      <c r="H5" s="18"/>
      <c r="I5" s="2"/>
      <c r="J5" s="2"/>
      <c r="K5" s="149"/>
      <c r="L5" s="142"/>
    </row>
    <row r="6" spans="1:14" ht="30" customHeight="1" thickBot="1" x14ac:dyDescent="0.25">
      <c r="B6" s="19" t="s">
        <v>0</v>
      </c>
      <c r="C6" s="22" t="s">
        <v>1</v>
      </c>
      <c r="D6" s="22" t="s">
        <v>2</v>
      </c>
      <c r="E6" s="21" t="s">
        <v>3</v>
      </c>
      <c r="H6" s="10"/>
      <c r="I6" s="10"/>
      <c r="J6" s="2"/>
      <c r="K6" s="141"/>
      <c r="L6" s="142"/>
    </row>
    <row r="7" spans="1:14" ht="19.5" customHeight="1" x14ac:dyDescent="0.2">
      <c r="B7" s="10"/>
      <c r="C7" s="10"/>
      <c r="D7" s="10"/>
      <c r="E7" s="10"/>
      <c r="F7" s="10"/>
      <c r="G7" s="10"/>
      <c r="H7" s="10"/>
      <c r="I7" s="10"/>
      <c r="J7" s="2"/>
      <c r="K7" s="143"/>
      <c r="L7" s="144"/>
    </row>
    <row r="8" spans="1:14" ht="19.5" customHeight="1" thickBot="1" x14ac:dyDescent="0.25">
      <c r="B8" s="5"/>
      <c r="C8" s="5"/>
      <c r="D8" s="5"/>
      <c r="E8" s="5"/>
      <c r="F8" s="5"/>
      <c r="G8" s="5"/>
      <c r="H8" s="6"/>
      <c r="I8" s="7"/>
      <c r="J8" s="7"/>
      <c r="K8" s="8"/>
      <c r="L8" s="9"/>
    </row>
    <row r="9" spans="1:14" s="3" customFormat="1" ht="21" thickBot="1" x14ac:dyDescent="0.25">
      <c r="B9" s="31" t="s">
        <v>12</v>
      </c>
      <c r="C9" s="31" t="s">
        <v>4</v>
      </c>
      <c r="D9" s="31" t="s">
        <v>5</v>
      </c>
      <c r="E9" s="31" t="s">
        <v>15</v>
      </c>
      <c r="F9" s="31" t="s">
        <v>6</v>
      </c>
      <c r="G9" s="31" t="s">
        <v>11</v>
      </c>
      <c r="H9" s="31" t="s">
        <v>16</v>
      </c>
      <c r="I9" s="31" t="s">
        <v>7</v>
      </c>
      <c r="J9" s="32" t="s">
        <v>8</v>
      </c>
      <c r="K9" s="33" t="s">
        <v>9</v>
      </c>
      <c r="M9" s="1"/>
      <c r="N9" s="2"/>
    </row>
    <row r="10" spans="1:14" s="23" customFormat="1" ht="16" customHeight="1" thickBot="1" x14ac:dyDescent="0.25">
      <c r="B10" s="11" t="s">
        <v>13</v>
      </c>
      <c r="C10" s="11" t="s">
        <v>61</v>
      </c>
      <c r="D10" s="11">
        <v>90</v>
      </c>
      <c r="E10" s="12">
        <v>49</v>
      </c>
      <c r="F10" s="12">
        <v>29</v>
      </c>
      <c r="G10" s="28">
        <f>('Análisis de cartera'!$D$10:$D$21*'Análisis de cartera'!$E$10:$E$21)+'Análisis de cartera'!$F$10:$F$21</f>
        <v>4439</v>
      </c>
      <c r="H10" s="12">
        <v>56.99</v>
      </c>
      <c r="I10" s="29">
        <f>'Análisis de cartera'!$D$10:$D$21*'Análisis de cartera'!$H$10:$H$21</f>
        <v>5129.1000000000004</v>
      </c>
      <c r="J10" s="24">
        <f>IF(OR(G10="",I10=""),"",'Análisis de cartera'!$I$10:$I$21-'Análisis de cartera'!$G$10:$G$21)</f>
        <v>690.10000000000036</v>
      </c>
      <c r="K10" s="25">
        <f>IF(J10="","",J10/G10)</f>
        <v>0.15546294210407757</v>
      </c>
      <c r="L10" s="26"/>
      <c r="M10" s="27"/>
    </row>
    <row r="11" spans="1:14" s="23" customFormat="1" ht="16" customHeight="1" thickBot="1" x14ac:dyDescent="0.25">
      <c r="B11" s="11" t="s">
        <v>17</v>
      </c>
      <c r="C11" s="11" t="s">
        <v>18</v>
      </c>
      <c r="D11" s="11">
        <v>30</v>
      </c>
      <c r="E11" s="12">
        <v>21.56</v>
      </c>
      <c r="F11" s="12">
        <v>13</v>
      </c>
      <c r="G11" s="28">
        <f>('Análisis de cartera'!$D$10:$D$21*'Análisis de cartera'!$E$10:$E$21)+'Análisis de cartera'!$F$10:$F$21</f>
        <v>659.8</v>
      </c>
      <c r="H11" s="12">
        <v>19.13</v>
      </c>
      <c r="I11" s="29">
        <f>'Análisis de cartera'!$D$10:$D$21*'Análisis de cartera'!$H$10:$H$21</f>
        <v>573.9</v>
      </c>
      <c r="J11" s="24">
        <f>IF(OR(G11="",I11=""),"",'Análisis de cartera'!$I$10:$I$21-'Análisis de cartera'!$G$10:$G$21)</f>
        <v>-85.899999999999977</v>
      </c>
      <c r="K11" s="25">
        <f t="shared" ref="K11:K20" si="0">IF(J11="","",J11/G11)</f>
        <v>-0.13019096695968474</v>
      </c>
      <c r="M11" s="27"/>
    </row>
    <row r="12" spans="1:14" s="23" customFormat="1" ht="16" customHeight="1" thickBot="1" x14ac:dyDescent="0.25">
      <c r="B12" s="11" t="s">
        <v>14</v>
      </c>
      <c r="C12" s="11" t="s">
        <v>10</v>
      </c>
      <c r="D12" s="11">
        <v>90</v>
      </c>
      <c r="E12" s="12">
        <v>7.01</v>
      </c>
      <c r="F12" s="12">
        <v>26</v>
      </c>
      <c r="G12" s="28">
        <f>('Análisis de cartera'!$D$10:$D$21*'Análisis de cartera'!$E$10:$E$21)+'Análisis de cartera'!$F$10:$F$21</f>
        <v>656.9</v>
      </c>
      <c r="H12" s="12">
        <v>7.56</v>
      </c>
      <c r="I12" s="29">
        <f>'Análisis de cartera'!$D$10:$D$21*'Análisis de cartera'!$H$10:$H$21</f>
        <v>680.4</v>
      </c>
      <c r="J12" s="24">
        <f>IF(OR(G12="",I12=""),"",'Análisis de cartera'!$I$10:$I$21-'Análisis de cartera'!$G$10:$G$21)</f>
        <v>23.5</v>
      </c>
      <c r="K12" s="25">
        <f t="shared" si="0"/>
        <v>3.5774090424722182E-2</v>
      </c>
      <c r="M12" s="27"/>
    </row>
    <row r="13" spans="1:14" s="16" customFormat="1" ht="16" customHeight="1" thickBot="1" x14ac:dyDescent="0.25">
      <c r="B13" s="11" t="s">
        <v>19</v>
      </c>
      <c r="C13" s="11" t="s">
        <v>20</v>
      </c>
      <c r="D13" s="11">
        <v>90</v>
      </c>
      <c r="E13" s="12">
        <v>40.590000000000003</v>
      </c>
      <c r="F13" s="12">
        <v>0.25</v>
      </c>
      <c r="G13" s="28">
        <f>D13*E13+F13</f>
        <v>3653.3500000000004</v>
      </c>
      <c r="H13" s="12">
        <v>45</v>
      </c>
      <c r="I13" s="44">
        <f>D13*H13</f>
        <v>4050</v>
      </c>
      <c r="J13" s="42">
        <f>IF(OR(G13="",I13=""),"",'Análisis de cartera'!$I$10:$I$21-'Análisis de cartera'!$G$10:$G$21)</f>
        <v>396.64999999999964</v>
      </c>
      <c r="K13" s="43">
        <f t="shared" si="0"/>
        <v>0.10857158498364504</v>
      </c>
      <c r="M13" s="17"/>
      <c r="N13" s="17"/>
    </row>
    <row r="14" spans="1:14" s="23" customFormat="1" ht="16" customHeight="1" thickBot="1" x14ac:dyDescent="0.25">
      <c r="B14" s="13" t="s">
        <v>62</v>
      </c>
      <c r="C14" s="13"/>
      <c r="D14" s="13"/>
      <c r="E14" s="14"/>
      <c r="F14" s="14"/>
      <c r="G14" s="14"/>
      <c r="H14" s="14"/>
      <c r="I14" s="15"/>
      <c r="J14" s="24" t="str">
        <f>IF(OR(G14="",I14=""),"",'Análisis de cartera'!$I$10:$I$21-'Análisis de cartera'!$G$10:$G$21)</f>
        <v/>
      </c>
      <c r="K14" s="25" t="str">
        <f t="shared" si="0"/>
        <v/>
      </c>
      <c r="L14" s="27"/>
      <c r="M14" s="27"/>
    </row>
    <row r="15" spans="1:14" s="23" customFormat="1" ht="16" customHeight="1" thickBot="1" x14ac:dyDescent="0.25">
      <c r="B15" s="13" t="s">
        <v>63</v>
      </c>
      <c r="C15" s="13"/>
      <c r="D15" s="13"/>
      <c r="E15" s="14"/>
      <c r="F15" s="14"/>
      <c r="G15" s="14"/>
      <c r="H15" s="14"/>
      <c r="I15" s="15"/>
      <c r="J15" s="24" t="str">
        <f>IF(OR(G15="",I15=""),"",'Análisis de cartera'!$I$10:$I$21-'Análisis de cartera'!$G$10:$G$21)</f>
        <v/>
      </c>
      <c r="K15" s="25" t="str">
        <f t="shared" si="0"/>
        <v/>
      </c>
      <c r="L15" s="27"/>
      <c r="M15" s="27"/>
    </row>
    <row r="16" spans="1:14" s="23" customFormat="1" ht="16" customHeight="1" thickBot="1" x14ac:dyDescent="0.25">
      <c r="B16" s="13" t="s">
        <v>64</v>
      </c>
      <c r="C16" s="13"/>
      <c r="D16" s="13"/>
      <c r="E16" s="14"/>
      <c r="F16" s="14"/>
      <c r="G16" s="14"/>
      <c r="H16" s="14"/>
      <c r="I16" s="15"/>
      <c r="J16" s="24" t="str">
        <f>IF(OR(G16="",I16=""),"",'Análisis de cartera'!$I$10:$I$21-'Análisis de cartera'!$G$10:$G$21)</f>
        <v/>
      </c>
      <c r="K16" s="25" t="str">
        <f t="shared" si="0"/>
        <v/>
      </c>
      <c r="M16" s="27"/>
    </row>
    <row r="17" spans="2:13" s="23" customFormat="1" ht="16" customHeight="1" thickBot="1" x14ac:dyDescent="0.25">
      <c r="B17" s="13" t="s">
        <v>65</v>
      </c>
      <c r="C17" s="13"/>
      <c r="D17" s="13"/>
      <c r="E17" s="14"/>
      <c r="F17" s="14"/>
      <c r="G17" s="14"/>
      <c r="H17" s="14"/>
      <c r="I17" s="15"/>
      <c r="J17" s="24" t="str">
        <f>IF(OR(G17="",I17=""),"",'Análisis de cartera'!$I$10:$I$21-'Análisis de cartera'!$G$10:$G$21)</f>
        <v/>
      </c>
      <c r="K17" s="25" t="str">
        <f t="shared" si="0"/>
        <v/>
      </c>
    </row>
    <row r="18" spans="2:13" s="23" customFormat="1" ht="16" customHeight="1" thickBot="1" x14ac:dyDescent="0.25">
      <c r="B18" s="13" t="s">
        <v>66</v>
      </c>
      <c r="C18" s="13"/>
      <c r="D18" s="13"/>
      <c r="E18" s="14"/>
      <c r="F18" s="14"/>
      <c r="G18" s="14"/>
      <c r="H18" s="14"/>
      <c r="I18" s="15"/>
      <c r="J18" s="24" t="str">
        <f>IF(OR(G18="",I18=""),"",'Análisis de cartera'!$I$10:$I$21-'Análisis de cartera'!$G$10:$G$21)</f>
        <v/>
      </c>
      <c r="K18" s="25" t="str">
        <f t="shared" si="0"/>
        <v/>
      </c>
    </row>
    <row r="19" spans="2:13" s="23" customFormat="1" ht="16" customHeight="1" thickBot="1" x14ac:dyDescent="0.25">
      <c r="B19" s="13" t="s">
        <v>67</v>
      </c>
      <c r="C19" s="13"/>
      <c r="D19" s="13"/>
      <c r="E19" s="14"/>
      <c r="F19" s="14"/>
      <c r="G19" s="14"/>
      <c r="H19" s="14"/>
      <c r="I19" s="15"/>
      <c r="J19" s="24" t="str">
        <f>IF(OR(G19="",I19=""),"",'Análisis de cartera'!$I$10:$I$21-'Análisis de cartera'!$G$10:$G$21)</f>
        <v/>
      </c>
      <c r="K19" s="25" t="str">
        <f t="shared" si="0"/>
        <v/>
      </c>
    </row>
    <row r="20" spans="2:13" s="23" customFormat="1" ht="17" thickBot="1" x14ac:dyDescent="0.25">
      <c r="B20" s="13" t="s">
        <v>68</v>
      </c>
      <c r="C20" s="13"/>
      <c r="D20" s="13"/>
      <c r="E20" s="13"/>
      <c r="F20" s="13"/>
      <c r="G20" s="14"/>
      <c r="H20" s="13"/>
      <c r="I20" s="15"/>
      <c r="J20" s="24" t="str">
        <f>IF(OR(G20="",I20=""),"",'Análisis de cartera'!$I$10:$I$21-'Análisis de cartera'!$G$10:$G$21)</f>
        <v/>
      </c>
      <c r="K20" s="25" t="str">
        <f t="shared" si="0"/>
        <v/>
      </c>
    </row>
    <row r="21" spans="2:13" s="23" customFormat="1" ht="17" thickBot="1" x14ac:dyDescent="0.25">
      <c r="B21" s="13"/>
      <c r="C21" s="13"/>
      <c r="D21" s="13"/>
      <c r="E21" s="13"/>
      <c r="F21" s="13"/>
      <c r="G21" s="14"/>
      <c r="H21" s="13"/>
      <c r="I21" s="15"/>
      <c r="J21" s="24"/>
      <c r="K21" s="25"/>
    </row>
    <row r="22" spans="2:13" ht="16" customHeight="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6" customHeight="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6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6" customHeight="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6" customHeight="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6" customHeight="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6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ht="16" customHeight="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6" customHeight="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6" customHeight="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6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6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6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6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6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6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6" customHeight="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6" customHeight="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6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6" customHeight="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6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6" customHeight="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6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6" customHeight="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6" customHeight="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6" customHeight="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6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6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6" customHeight="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16" customHeigh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6" customHeigh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16" customHeigh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16" customHeigh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16" customHeigh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16" customHeigh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16" customHeigh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16" customHeigh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16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16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ht="16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16" customHeigh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26" customHeight="1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M63" s="2"/>
    </row>
  </sheetData>
  <mergeCells count="8">
    <mergeCell ref="K6:L6"/>
    <mergeCell ref="K7:L7"/>
    <mergeCell ref="B4:B5"/>
    <mergeCell ref="C4:C5"/>
    <mergeCell ref="D4:D5"/>
    <mergeCell ref="E4:E5"/>
    <mergeCell ref="K4:L4"/>
    <mergeCell ref="K5:L5"/>
  </mergeCells>
  <conditionalFormatting sqref="K6:L8">
    <cfRule type="cellIs" dxfId="0" priority="20" operator="lessThan">
      <formula>0</formula>
    </cfRule>
  </conditionalFormatting>
  <conditionalFormatting sqref="J21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J10:J20">
    <cfRule type="iconSet" priority="24">
      <iconSet iconSet="3Arrows">
        <cfvo type="percent" val="0"/>
        <cfvo type="percent" val="33"/>
        <cfvo type="percent" val="67"/>
      </iconSet>
    </cfRule>
  </conditionalFormatting>
  <pageMargins left="0.5" right="0.5" top="0.75" bottom="0.5" header="0.5" footer="0.5"/>
  <pageSetup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5DEF-7CC0-CE4D-A4EB-A974A575A68D}">
  <dimension ref="A1:Q79"/>
  <sheetViews>
    <sheetView tabSelected="1" workbookViewId="0">
      <selection activeCell="F25" sqref="F25"/>
    </sheetView>
  </sheetViews>
  <sheetFormatPr baseColWidth="10" defaultRowHeight="13" x14ac:dyDescent="0.15"/>
  <cols>
    <col min="1" max="1" width="23.6640625" customWidth="1"/>
    <col min="2" max="2" width="12.33203125" customWidth="1"/>
    <col min="3" max="3" width="16.5" customWidth="1"/>
    <col min="5" max="5" width="19.33203125" customWidth="1"/>
    <col min="6" max="6" width="16.33203125" customWidth="1"/>
    <col min="7" max="7" width="16.1640625" customWidth="1"/>
    <col min="8" max="8" width="15.1640625" customWidth="1"/>
    <col min="13" max="13" width="11.6640625" bestFit="1" customWidth="1"/>
    <col min="14" max="14" width="14.6640625" customWidth="1"/>
    <col min="15" max="15" width="18.33203125" customWidth="1"/>
  </cols>
  <sheetData>
    <row r="1" spans="1:17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28" x14ac:dyDescent="0.3">
      <c r="A2" s="47" t="s">
        <v>45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46" t="s">
        <v>44</v>
      </c>
      <c r="N2" s="30"/>
      <c r="O2" s="30"/>
      <c r="P2" s="30"/>
      <c r="Q2" s="30"/>
    </row>
    <row r="3" spans="1:17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ht="16" x14ac:dyDescent="0.2">
      <c r="A4" s="63" t="s">
        <v>21</v>
      </c>
      <c r="C4" s="4"/>
      <c r="D4" s="4"/>
      <c r="E4" s="4"/>
      <c r="F4" s="4"/>
      <c r="G4" s="4"/>
      <c r="H4" s="4"/>
      <c r="P4" s="4"/>
      <c r="Q4" s="4"/>
    </row>
    <row r="6" spans="1:17" x14ac:dyDescent="0.15">
      <c r="D6" s="49" t="s">
        <v>34</v>
      </c>
      <c r="E6" s="49"/>
      <c r="F6" s="49"/>
      <c r="G6" s="49"/>
      <c r="H6" s="49"/>
    </row>
    <row r="7" spans="1:17" ht="14" thickBot="1" x14ac:dyDescent="0.2">
      <c r="O7" s="4"/>
    </row>
    <row r="8" spans="1:17" ht="14" thickBot="1" x14ac:dyDescent="0.2">
      <c r="A8" s="92" t="s">
        <v>46</v>
      </c>
      <c r="B8" s="91" t="s">
        <v>25</v>
      </c>
      <c r="D8" s="35" t="s">
        <v>47</v>
      </c>
      <c r="E8" s="36" t="s">
        <v>26</v>
      </c>
      <c r="F8" s="36" t="s">
        <v>27</v>
      </c>
      <c r="G8" s="37" t="s">
        <v>48</v>
      </c>
      <c r="I8" s="4"/>
      <c r="J8" s="4"/>
      <c r="K8" s="4"/>
      <c r="L8" s="4"/>
      <c r="M8" s="4"/>
      <c r="N8" s="4"/>
    </row>
    <row r="9" spans="1:17" x14ac:dyDescent="0.15">
      <c r="A9" s="48"/>
      <c r="B9" s="48"/>
      <c r="D9" s="50">
        <v>0.1</v>
      </c>
      <c r="E9" s="51">
        <f>$B$13*$B$12*(1-D9)</f>
        <v>36.50562</v>
      </c>
      <c r="F9" s="52">
        <f>$B$10</f>
        <v>40.590000000000003</v>
      </c>
      <c r="G9" s="53">
        <f>F9-E9</f>
        <v>4.084380000000003</v>
      </c>
      <c r="J9" s="54"/>
      <c r="K9" s="55"/>
      <c r="L9" s="55"/>
      <c r="M9" s="55"/>
      <c r="N9" s="56"/>
    </row>
    <row r="10" spans="1:17" x14ac:dyDescent="0.15">
      <c r="A10" s="86" t="s">
        <v>22</v>
      </c>
      <c r="B10" s="87">
        <v>40.590000000000003</v>
      </c>
      <c r="D10" s="50">
        <v>0.2</v>
      </c>
      <c r="E10" s="51">
        <f t="shared" ref="E10:E14" si="0">$B$13*$B$12*(1-D10)</f>
        <v>32.449440000000003</v>
      </c>
      <c r="F10" s="52">
        <f t="shared" ref="F10:F14" si="1">$B$10</f>
        <v>40.590000000000003</v>
      </c>
      <c r="G10" s="53">
        <f t="shared" ref="G10:G14" si="2">F10-E10</f>
        <v>8.1405600000000007</v>
      </c>
      <c r="J10" s="57"/>
      <c r="K10" s="20"/>
      <c r="L10" s="20"/>
      <c r="M10" s="20"/>
      <c r="N10" s="58"/>
    </row>
    <row r="11" spans="1:17" x14ac:dyDescent="0.15">
      <c r="A11" s="48"/>
      <c r="B11" s="48"/>
      <c r="D11" s="50">
        <v>0.3</v>
      </c>
      <c r="E11" s="51">
        <f>$B$13*$B$12*(1-D11)</f>
        <v>28.393259999999998</v>
      </c>
      <c r="F11" s="52">
        <f t="shared" si="1"/>
        <v>40.590000000000003</v>
      </c>
      <c r="G11" s="53">
        <f t="shared" si="2"/>
        <v>12.196740000000005</v>
      </c>
      <c r="J11" s="132" t="s">
        <v>29</v>
      </c>
      <c r="K11" s="20" t="s">
        <v>30</v>
      </c>
      <c r="L11" s="20"/>
      <c r="M11" s="20"/>
      <c r="N11" s="58"/>
    </row>
    <row r="12" spans="1:17" x14ac:dyDescent="0.15">
      <c r="A12" s="90" t="s">
        <v>23</v>
      </c>
      <c r="B12" s="90">
        <v>2.0099999999999998</v>
      </c>
      <c r="D12" s="50">
        <v>0.4</v>
      </c>
      <c r="E12" s="51">
        <f t="shared" si="0"/>
        <v>24.337079999999997</v>
      </c>
      <c r="F12" s="52">
        <f t="shared" si="1"/>
        <v>40.590000000000003</v>
      </c>
      <c r="G12" s="53">
        <f t="shared" si="2"/>
        <v>16.252920000000007</v>
      </c>
      <c r="J12" s="59" t="s">
        <v>31</v>
      </c>
      <c r="K12" s="20" t="s">
        <v>32</v>
      </c>
      <c r="L12" s="20"/>
      <c r="M12" s="20"/>
      <c r="N12" s="58"/>
    </row>
    <row r="13" spans="1:17" ht="14" thickBot="1" x14ac:dyDescent="0.2">
      <c r="A13" s="96" t="s">
        <v>24</v>
      </c>
      <c r="B13" s="96">
        <v>20.18</v>
      </c>
      <c r="D13" s="50">
        <v>0.5</v>
      </c>
      <c r="E13" s="51">
        <f>$B$13*$B$12*(1-D13)</f>
        <v>20.280899999999999</v>
      </c>
      <c r="F13" s="52">
        <f t="shared" si="1"/>
        <v>40.590000000000003</v>
      </c>
      <c r="G13" s="53">
        <f t="shared" si="2"/>
        <v>20.309100000000004</v>
      </c>
      <c r="J13" s="57"/>
      <c r="K13" s="20"/>
      <c r="L13" s="20"/>
      <c r="M13" s="20"/>
      <c r="N13" s="58"/>
    </row>
    <row r="14" spans="1:17" ht="14" thickBot="1" x14ac:dyDescent="0.2">
      <c r="A14" s="97" t="s">
        <v>33</v>
      </c>
      <c r="B14" s="98">
        <f>B10/B12</f>
        <v>20.194029850746272</v>
      </c>
      <c r="D14" s="50">
        <v>0.6</v>
      </c>
      <c r="E14" s="51">
        <f t="shared" si="0"/>
        <v>16.224720000000001</v>
      </c>
      <c r="F14" s="52">
        <f t="shared" si="1"/>
        <v>40.590000000000003</v>
      </c>
      <c r="G14" s="53">
        <f t="shared" si="2"/>
        <v>24.365280000000002</v>
      </c>
      <c r="J14" s="60"/>
      <c r="K14" s="61"/>
      <c r="L14" s="61"/>
      <c r="M14" s="61"/>
      <c r="N14" s="62"/>
      <c r="O14" t="s">
        <v>23</v>
      </c>
    </row>
    <row r="18" spans="1:17" x14ac:dyDescent="0.1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1:17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63" t="s">
        <v>35</v>
      </c>
      <c r="B20" s="34"/>
    </row>
    <row r="21" spans="1:17" x14ac:dyDescent="0.15">
      <c r="D21" t="s">
        <v>28</v>
      </c>
    </row>
    <row r="23" spans="1:17" ht="14" thickBot="1" x14ac:dyDescent="0.2">
      <c r="A23" s="88" t="s">
        <v>22</v>
      </c>
      <c r="B23" s="89">
        <f>B10</f>
        <v>40.590000000000003</v>
      </c>
    </row>
    <row r="24" spans="1:17" ht="14" thickBot="1" x14ac:dyDescent="0.2">
      <c r="E24" s="39"/>
      <c r="H24" s="85" t="s">
        <v>54</v>
      </c>
      <c r="I24" s="83"/>
      <c r="K24" s="73" t="s">
        <v>23</v>
      </c>
      <c r="L24" s="74">
        <f>B12</f>
        <v>2.0099999999999998</v>
      </c>
    </row>
    <row r="25" spans="1:17" ht="14" thickBot="1" x14ac:dyDescent="0.2">
      <c r="A25" s="64" t="s">
        <v>23</v>
      </c>
      <c r="B25" s="64">
        <f>B12</f>
        <v>2.0099999999999998</v>
      </c>
      <c r="E25" s="39"/>
      <c r="K25" s="78" t="s">
        <v>36</v>
      </c>
      <c r="L25" s="79">
        <f>B39</f>
        <v>0.13664699428128496</v>
      </c>
    </row>
    <row r="26" spans="1:17" ht="14" thickBot="1" x14ac:dyDescent="0.2">
      <c r="A26" s="97" t="s">
        <v>24</v>
      </c>
      <c r="B26" s="99">
        <f>B13</f>
        <v>20.18</v>
      </c>
      <c r="K26" s="80" t="s">
        <v>38</v>
      </c>
      <c r="L26" s="81" t="s">
        <v>23</v>
      </c>
      <c r="Q26" s="38"/>
    </row>
    <row r="27" spans="1:17" x14ac:dyDescent="0.15">
      <c r="J27" s="82">
        <v>2021</v>
      </c>
      <c r="K27" s="75">
        <v>0</v>
      </c>
      <c r="L27" s="76">
        <f>B25</f>
        <v>2.0099999999999998</v>
      </c>
    </row>
    <row r="28" spans="1:17" x14ac:dyDescent="0.15">
      <c r="J28" s="82">
        <v>2022</v>
      </c>
      <c r="K28" s="77">
        <v>1</v>
      </c>
      <c r="L28" s="76">
        <f>L27*($K$28+$B$39)</f>
        <v>2.2846604585053822</v>
      </c>
      <c r="Q28" s="39"/>
    </row>
    <row r="29" spans="1:17" x14ac:dyDescent="0.15">
      <c r="J29" s="82">
        <v>2023</v>
      </c>
      <c r="K29" s="75">
        <v>2</v>
      </c>
      <c r="L29" s="76">
        <f>L28*($K$28+$B$39)</f>
        <v>2.5968524431134448</v>
      </c>
    </row>
    <row r="30" spans="1:17" x14ac:dyDescent="0.15">
      <c r="J30" s="82">
        <v>2024</v>
      </c>
      <c r="K30" s="75">
        <v>3</v>
      </c>
      <c r="L30" s="76">
        <f>L29*($K$28+$B$39)</f>
        <v>2.9517045240569084</v>
      </c>
    </row>
    <row r="31" spans="1:17" x14ac:dyDescent="0.15">
      <c r="J31" s="82">
        <v>2025</v>
      </c>
      <c r="K31" s="75">
        <v>4</v>
      </c>
      <c r="L31" s="76">
        <f>L30*($K$28+$B$39)</f>
        <v>3.3550460752757556</v>
      </c>
    </row>
    <row r="32" spans="1:17" ht="14" thickBot="1" x14ac:dyDescent="0.2">
      <c r="J32" s="93">
        <v>2026</v>
      </c>
      <c r="K32" s="94">
        <v>5</v>
      </c>
      <c r="L32" s="95">
        <f>L31*($K$28+$B$39)</f>
        <v>3.813503037137409</v>
      </c>
    </row>
    <row r="33" spans="1:12" ht="14" thickBot="1" x14ac:dyDescent="0.2"/>
    <row r="34" spans="1:12" ht="14" thickBot="1" x14ac:dyDescent="0.2">
      <c r="A34" s="84" t="s">
        <v>53</v>
      </c>
    </row>
    <row r="35" spans="1:12" ht="17" customHeight="1" thickBot="1" x14ac:dyDescent="0.2">
      <c r="C35" s="40"/>
    </row>
    <row r="36" spans="1:12" ht="13" customHeight="1" x14ac:dyDescent="0.15">
      <c r="A36" s="70" t="s">
        <v>51</v>
      </c>
      <c r="B36" s="64">
        <v>2010</v>
      </c>
      <c r="C36" s="64">
        <v>2011</v>
      </c>
      <c r="D36" s="64">
        <v>2012</v>
      </c>
      <c r="E36" s="64">
        <v>2013</v>
      </c>
      <c r="F36" s="64">
        <v>2014</v>
      </c>
      <c r="G36" s="64">
        <v>2015</v>
      </c>
      <c r="H36" s="64">
        <v>2016</v>
      </c>
      <c r="I36" s="64">
        <v>2017</v>
      </c>
      <c r="J36" s="64">
        <v>2018</v>
      </c>
      <c r="K36" s="64">
        <v>2019</v>
      </c>
      <c r="L36" s="64">
        <v>2020</v>
      </c>
    </row>
    <row r="37" spans="1:12" x14ac:dyDescent="0.15">
      <c r="A37" s="71" t="s">
        <v>50</v>
      </c>
      <c r="B37" s="65">
        <v>5544</v>
      </c>
      <c r="C37" s="65">
        <v>5660</v>
      </c>
      <c r="D37" s="65">
        <v>2028</v>
      </c>
      <c r="E37" s="65">
        <v>4404</v>
      </c>
      <c r="F37" s="65">
        <v>3518</v>
      </c>
      <c r="G37" s="65">
        <v>5171</v>
      </c>
      <c r="H37" s="65">
        <v>5898</v>
      </c>
      <c r="I37" s="65">
        <v>4629</v>
      </c>
      <c r="J37" s="65">
        <v>5808</v>
      </c>
      <c r="K37" s="65">
        <v>6319</v>
      </c>
      <c r="L37" s="65">
        <v>8081</v>
      </c>
    </row>
    <row r="38" spans="1:12" ht="14" thickBot="1" x14ac:dyDescent="0.2">
      <c r="A38" s="72" t="s">
        <v>49</v>
      </c>
      <c r="B38" s="68" t="s">
        <v>52</v>
      </c>
      <c r="C38" s="69">
        <f>(C37/B37)-1</f>
        <v>2.0923520923521011E-2</v>
      </c>
      <c r="D38" s="69">
        <f t="shared" ref="D38:K38" si="3">(D37/C37)-1</f>
        <v>-0.64169611307420493</v>
      </c>
      <c r="E38" s="69">
        <f t="shared" si="3"/>
        <v>1.1715976331360949</v>
      </c>
      <c r="F38" s="69">
        <f>(F37/E37)-1</f>
        <v>-0.20118074477747505</v>
      </c>
      <c r="G38" s="69">
        <f t="shared" si="3"/>
        <v>0.46986924388857298</v>
      </c>
      <c r="H38" s="69">
        <f t="shared" si="3"/>
        <v>0.14059176174821109</v>
      </c>
      <c r="I38" s="69">
        <f t="shared" si="3"/>
        <v>-0.21515768056968465</v>
      </c>
      <c r="J38" s="69">
        <f t="shared" si="3"/>
        <v>0.25469863901490597</v>
      </c>
      <c r="K38" s="69">
        <f t="shared" si="3"/>
        <v>8.7982093663911742E-2</v>
      </c>
      <c r="L38" s="69">
        <f>(L37/K37)-1</f>
        <v>0.27884158885899657</v>
      </c>
    </row>
    <row r="39" spans="1:12" ht="14" thickBot="1" x14ac:dyDescent="0.2">
      <c r="A39" s="66" t="s">
        <v>37</v>
      </c>
      <c r="B39" s="67">
        <f>SUM(C38:L38)/10</f>
        <v>0.13664699428128496</v>
      </c>
    </row>
    <row r="44" spans="1:12" ht="14" thickBot="1" x14ac:dyDescent="0.2"/>
    <row r="45" spans="1:12" ht="14" thickBot="1" x14ac:dyDescent="0.2">
      <c r="A45" s="34"/>
      <c r="B45" s="41"/>
      <c r="H45" s="85" t="s">
        <v>69</v>
      </c>
      <c r="I45" s="83"/>
      <c r="J45" s="45"/>
      <c r="K45" s="109" t="s">
        <v>56</v>
      </c>
      <c r="L45" s="110">
        <f>B50</f>
        <v>33.335999999999999</v>
      </c>
    </row>
    <row r="46" spans="1:12" ht="14" thickBot="1" x14ac:dyDescent="0.2">
      <c r="A46" s="84" t="s">
        <v>55</v>
      </c>
      <c r="B46" s="41"/>
      <c r="J46" s="45"/>
      <c r="K46" s="111" t="s">
        <v>36</v>
      </c>
      <c r="L46" s="112">
        <v>0.1366</v>
      </c>
    </row>
    <row r="47" spans="1:12" ht="14" thickBot="1" x14ac:dyDescent="0.2">
      <c r="J47" s="45"/>
      <c r="K47" s="113" t="s">
        <v>38</v>
      </c>
      <c r="L47" s="114" t="s">
        <v>23</v>
      </c>
    </row>
    <row r="48" spans="1:12" ht="14" thickBot="1" x14ac:dyDescent="0.2">
      <c r="A48" s="106" t="s">
        <v>51</v>
      </c>
      <c r="B48" s="108">
        <v>2017</v>
      </c>
      <c r="C48" s="103">
        <v>2018</v>
      </c>
      <c r="D48" s="104">
        <v>2019</v>
      </c>
      <c r="E48" s="104">
        <v>2020</v>
      </c>
      <c r="F48" s="105">
        <v>2021</v>
      </c>
      <c r="J48" s="115">
        <v>2021</v>
      </c>
      <c r="K48" s="116">
        <v>0</v>
      </c>
      <c r="L48" s="117">
        <f>$L$45*($K$49+$L$46)</f>
        <v>37.889697599999998</v>
      </c>
    </row>
    <row r="49" spans="1:17" ht="18" thickBot="1" x14ac:dyDescent="0.3">
      <c r="A49" s="103" t="s">
        <v>39</v>
      </c>
      <c r="B49" s="107">
        <v>47.61</v>
      </c>
      <c r="C49" s="101">
        <v>51.62</v>
      </c>
      <c r="D49" s="101">
        <v>21.98</v>
      </c>
      <c r="E49" s="101">
        <v>25.29</v>
      </c>
      <c r="F49" s="102">
        <v>20.18</v>
      </c>
      <c r="J49" s="115">
        <v>2022</v>
      </c>
      <c r="K49" s="116">
        <v>1</v>
      </c>
      <c r="L49" s="117">
        <f>L48*($K$49+$L$46)</f>
        <v>43.065430292160002</v>
      </c>
    </row>
    <row r="50" spans="1:17" ht="14" thickBot="1" x14ac:dyDescent="0.2">
      <c r="A50" s="120" t="s">
        <v>40</v>
      </c>
      <c r="B50" s="121">
        <f>AVERAGE(B49:F49)</f>
        <v>33.335999999999999</v>
      </c>
      <c r="J50" s="115">
        <v>2023</v>
      </c>
      <c r="K50" s="116">
        <v>2</v>
      </c>
      <c r="L50" s="117">
        <f>L49*($K$49+$L$46)</f>
        <v>48.948168070069059</v>
      </c>
    </row>
    <row r="51" spans="1:17" x14ac:dyDescent="0.15">
      <c r="J51" s="115">
        <v>2024</v>
      </c>
      <c r="K51" s="116">
        <v>3</v>
      </c>
      <c r="L51" s="117">
        <f>L50*($K$49+$L$46)</f>
        <v>55.634487828440498</v>
      </c>
    </row>
    <row r="52" spans="1:17" x14ac:dyDescent="0.15">
      <c r="J52" s="115">
        <v>2025</v>
      </c>
      <c r="K52" s="116">
        <v>4</v>
      </c>
      <c r="L52" s="117">
        <f>L51*($K$49+$L$46)</f>
        <v>63.234158865805476</v>
      </c>
    </row>
    <row r="53" spans="1:17" ht="14" thickBot="1" x14ac:dyDescent="0.2">
      <c r="J53" s="118">
        <v>2026</v>
      </c>
      <c r="K53" s="119">
        <v>5</v>
      </c>
      <c r="L53" s="122">
        <f>L52*($K$49+$L$46)</f>
        <v>71.871944966874509</v>
      </c>
    </row>
    <row r="59" spans="1:17" x14ac:dyDescent="0.1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1" spans="1:17" ht="16" x14ac:dyDescent="0.2">
      <c r="A61" s="133" t="s">
        <v>43</v>
      </c>
      <c r="B61" s="134"/>
      <c r="C61" s="135"/>
    </row>
    <row r="63" spans="1:17" ht="14" thickBot="1" x14ac:dyDescent="0.2">
      <c r="A63" s="126" t="s">
        <v>60</v>
      </c>
      <c r="D63" s="123" t="s">
        <v>57</v>
      </c>
      <c r="H63" s="124" t="s">
        <v>58</v>
      </c>
      <c r="K63" s="125" t="s">
        <v>59</v>
      </c>
    </row>
    <row r="64" spans="1:17" x14ac:dyDescent="0.15">
      <c r="A64" s="35" t="s">
        <v>24</v>
      </c>
      <c r="B64" s="127">
        <f>B13</f>
        <v>20.18</v>
      </c>
      <c r="D64" s="35" t="s">
        <v>24</v>
      </c>
      <c r="E64" s="127">
        <f>L49</f>
        <v>43.065430292160002</v>
      </c>
      <c r="H64" s="35" t="s">
        <v>24</v>
      </c>
      <c r="I64" s="127">
        <f>L51</f>
        <v>55.634487828440498</v>
      </c>
      <c r="K64" s="35" t="s">
        <v>24</v>
      </c>
      <c r="L64" s="127">
        <f>L53</f>
        <v>71.871944966874509</v>
      </c>
    </row>
    <row r="65" spans="1:12" x14ac:dyDescent="0.15">
      <c r="A65" s="75" t="s">
        <v>23</v>
      </c>
      <c r="B65" s="76">
        <f>B12</f>
        <v>2.0099999999999998</v>
      </c>
      <c r="D65" s="75" t="s">
        <v>23</v>
      </c>
      <c r="E65" s="76">
        <f>L28</f>
        <v>2.2846604585053822</v>
      </c>
      <c r="H65" s="75" t="s">
        <v>23</v>
      </c>
      <c r="I65" s="76">
        <f>L30</f>
        <v>2.9517045240569084</v>
      </c>
      <c r="K65" s="75" t="s">
        <v>23</v>
      </c>
      <c r="L65" s="76">
        <f>L32</f>
        <v>3.813503037137409</v>
      </c>
    </row>
    <row r="66" spans="1:12" x14ac:dyDescent="0.15">
      <c r="A66" s="75" t="s">
        <v>41</v>
      </c>
      <c r="B66" s="128">
        <f>B64*B65</f>
        <v>40.561799999999998</v>
      </c>
      <c r="D66" s="75" t="s">
        <v>41</v>
      </c>
      <c r="E66" s="128">
        <f>E64*E65</f>
        <v>98.389885717017847</v>
      </c>
      <c r="H66" s="75" t="s">
        <v>41</v>
      </c>
      <c r="I66" s="128">
        <f>I64*I65</f>
        <v>164.21656941679683</v>
      </c>
      <c r="K66" s="75" t="s">
        <v>41</v>
      </c>
      <c r="L66" s="128">
        <f>L64*L65</f>
        <v>274.08388041614865</v>
      </c>
    </row>
    <row r="67" spans="1:12" x14ac:dyDescent="0.15">
      <c r="A67" s="75"/>
      <c r="B67" s="129"/>
      <c r="D67" s="75"/>
      <c r="E67" s="129"/>
      <c r="H67" s="75"/>
      <c r="I67" s="129"/>
      <c r="K67" s="75"/>
      <c r="L67" s="129"/>
    </row>
    <row r="68" spans="1:12" ht="14" thickBot="1" x14ac:dyDescent="0.2">
      <c r="A68" s="130" t="s">
        <v>42</v>
      </c>
      <c r="B68" s="131">
        <f>(B66/B10)-1</f>
        <v>-6.9475240206962052E-4</v>
      </c>
      <c r="D68" s="130" t="s">
        <v>42</v>
      </c>
      <c r="E68" s="136">
        <f>(E66/B10)-1</f>
        <v>1.4239932425971382</v>
      </c>
      <c r="H68" s="130" t="s">
        <v>42</v>
      </c>
      <c r="I68" s="131">
        <f>(I66/B10)-1</f>
        <v>3.0457395766641246</v>
      </c>
      <c r="K68" s="130" t="s">
        <v>42</v>
      </c>
      <c r="L68" s="131">
        <f>(L66/B10)-1</f>
        <v>5.7524976697745407</v>
      </c>
    </row>
    <row r="70" spans="1:12" ht="14" thickBot="1" x14ac:dyDescent="0.2"/>
    <row r="71" spans="1:12" x14ac:dyDescent="0.15">
      <c r="D71" s="35"/>
      <c r="E71" s="36"/>
      <c r="F71" s="36"/>
      <c r="G71" s="37"/>
    </row>
    <row r="72" spans="1:12" x14ac:dyDescent="0.15">
      <c r="D72" s="75"/>
      <c r="E72" s="48"/>
      <c r="F72" s="137" t="s">
        <v>70</v>
      </c>
      <c r="G72" s="129"/>
    </row>
    <row r="73" spans="1:12" ht="14" thickBot="1" x14ac:dyDescent="0.2">
      <c r="D73" s="75"/>
      <c r="E73" s="140" t="s">
        <v>71</v>
      </c>
      <c r="F73" s="48"/>
      <c r="G73" s="129"/>
    </row>
    <row r="74" spans="1:12" x14ac:dyDescent="0.15">
      <c r="D74" s="75"/>
      <c r="E74" s="35" t="s">
        <v>24</v>
      </c>
      <c r="F74" s="127">
        <f>B50</f>
        <v>33.335999999999999</v>
      </c>
      <c r="G74" s="129"/>
    </row>
    <row r="75" spans="1:12" x14ac:dyDescent="0.15">
      <c r="D75" s="75"/>
      <c r="E75" s="75" t="s">
        <v>23</v>
      </c>
      <c r="F75" s="76">
        <f>L30</f>
        <v>2.9517045240569084</v>
      </c>
      <c r="G75" s="129"/>
    </row>
    <row r="76" spans="1:12" x14ac:dyDescent="0.15">
      <c r="D76" s="75"/>
      <c r="E76" s="75" t="s">
        <v>41</v>
      </c>
      <c r="F76" s="128">
        <f>F74*F75</f>
        <v>98.398022013961096</v>
      </c>
      <c r="G76" s="129"/>
    </row>
    <row r="77" spans="1:12" x14ac:dyDescent="0.15">
      <c r="D77" s="75"/>
      <c r="E77" s="75"/>
      <c r="F77" s="129"/>
      <c r="G77" s="129"/>
    </row>
    <row r="78" spans="1:12" ht="14" thickBot="1" x14ac:dyDescent="0.2">
      <c r="D78" s="75"/>
      <c r="E78" s="130" t="s">
        <v>42</v>
      </c>
      <c r="F78" s="136">
        <f>(F76/B10)-1</f>
        <v>1.4241936933717931</v>
      </c>
      <c r="G78" s="129"/>
    </row>
    <row r="79" spans="1:12" ht="14" thickBot="1" x14ac:dyDescent="0.2">
      <c r="D79" s="130"/>
      <c r="E79" s="138"/>
      <c r="F79" s="138"/>
      <c r="G79" s="139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Análisis de cartera</vt:lpstr>
      <vt:lpstr>ANALISIS EMPRESA</vt:lpstr>
      <vt:lpstr>'Análisis de cartera'!Área_de_impresión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Marcelo Alanis Montelongo</cp:lastModifiedBy>
  <dcterms:created xsi:type="dcterms:W3CDTF">2019-04-16T13:21:11Z</dcterms:created>
  <dcterms:modified xsi:type="dcterms:W3CDTF">2021-07-14T17:38:43Z</dcterms:modified>
</cp:coreProperties>
</file>