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G:\Mi unidad\Colab Notebooks\Stori_project\"/>
    </mc:Choice>
  </mc:AlternateContent>
  <xr:revisionPtr revIDLastSave="0" documentId="13_ncr:1_{C26A4608-E474-46DA-8537-D50B94A41AFB}" xr6:coauthVersionLast="47" xr6:coauthVersionMax="47" xr10:uidLastSave="{00000000-0000-0000-0000-000000000000}"/>
  <bookViews>
    <workbookView xWindow="-108" yWindow="-108" windowWidth="23256" windowHeight="13896" activeTab="2" xr2:uid="{B2ED205D-3D9A-44CD-BFB8-7B79FFF1C7E6}"/>
  </bookViews>
  <sheets>
    <sheet name="Contigo A Part 1" sheetId="4" r:id="rId1"/>
    <sheet name="Contigo B Part 1" sheetId="6" r:id="rId2"/>
    <sheet name="Contigo A Part 2" sheetId="9" r:id="rId3"/>
    <sheet name="GPT cache" sheetId="3" state="very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9" l="1"/>
  <c r="H12" i="9"/>
  <c r="H11" i="9"/>
  <c r="H10" i="9"/>
  <c r="H9" i="9"/>
  <c r="H8" i="9"/>
  <c r="H7" i="9"/>
  <c r="H6" i="9"/>
  <c r="H5" i="9"/>
  <c r="H4" i="9"/>
  <c r="H3" i="9"/>
  <c r="B3" i="9"/>
  <c r="D3" i="9" s="1"/>
  <c r="O2" i="9"/>
  <c r="H2" i="9"/>
  <c r="D2" i="9"/>
  <c r="F2" i="9" s="1"/>
  <c r="P3" i="6"/>
  <c r="M3" i="6"/>
  <c r="K3" i="6"/>
  <c r="J3" i="6"/>
  <c r="I3" i="6"/>
  <c r="M2" i="6"/>
  <c r="F4" i="6"/>
  <c r="F5" i="6"/>
  <c r="F6" i="6"/>
  <c r="F7" i="6"/>
  <c r="F8" i="6"/>
  <c r="F9" i="6"/>
  <c r="F10" i="6"/>
  <c r="F11" i="6"/>
  <c r="F12" i="6"/>
  <c r="F13" i="6"/>
  <c r="F3" i="6"/>
  <c r="F6" i="4"/>
  <c r="I6" i="4" s="1"/>
  <c r="P5" i="4"/>
  <c r="O5" i="4"/>
  <c r="M4" i="4"/>
  <c r="J3" i="4"/>
  <c r="F4" i="4"/>
  <c r="F5" i="4"/>
  <c r="F7" i="4"/>
  <c r="F8" i="4"/>
  <c r="F9" i="4"/>
  <c r="F10" i="4"/>
  <c r="F11" i="4"/>
  <c r="F12" i="4"/>
  <c r="F13" i="4"/>
  <c r="F3" i="4"/>
  <c r="B4" i="6"/>
  <c r="B5" i="6" s="1"/>
  <c r="B6" i="6" s="1"/>
  <c r="B7" i="6" s="1"/>
  <c r="B8" i="6" s="1"/>
  <c r="B9" i="6" s="1"/>
  <c r="B10" i="6" s="1"/>
  <c r="B11" i="6" s="1"/>
  <c r="B12" i="6" s="1"/>
  <c r="B13" i="6" s="1"/>
  <c r="B3" i="6"/>
  <c r="O3" i="6" s="1"/>
  <c r="H3" i="6"/>
  <c r="H4" i="6"/>
  <c r="H5" i="6"/>
  <c r="H6" i="6"/>
  <c r="H7" i="6"/>
  <c r="H8" i="6"/>
  <c r="H9" i="6"/>
  <c r="H10" i="6"/>
  <c r="H11" i="6"/>
  <c r="H12" i="6"/>
  <c r="H13" i="6"/>
  <c r="H2" i="6"/>
  <c r="O2" i="6"/>
  <c r="D2" i="6"/>
  <c r="F2" i="6" s="1"/>
  <c r="Q2" i="4"/>
  <c r="H13" i="4"/>
  <c r="H12" i="4"/>
  <c r="H11" i="4"/>
  <c r="H10" i="4"/>
  <c r="H9" i="4"/>
  <c r="H8" i="4"/>
  <c r="H7" i="4"/>
  <c r="H6" i="4"/>
  <c r="H5" i="4"/>
  <c r="H4" i="4"/>
  <c r="H3" i="4"/>
  <c r="B3" i="4"/>
  <c r="O3" i="4" s="1"/>
  <c r="O2" i="4"/>
  <c r="H2" i="4"/>
  <c r="D2" i="4"/>
  <c r="E2" i="4" s="1"/>
  <c r="K2" i="9" l="1"/>
  <c r="J2" i="9"/>
  <c r="B4" i="9"/>
  <c r="O3" i="9"/>
  <c r="E2" i="9"/>
  <c r="D3" i="6"/>
  <c r="E3" i="6" s="1"/>
  <c r="E2" i="6"/>
  <c r="D4" i="6"/>
  <c r="J2" i="6"/>
  <c r="K2" i="6"/>
  <c r="D3" i="4"/>
  <c r="E3" i="4" s="1"/>
  <c r="F2" i="4"/>
  <c r="M2" i="4"/>
  <c r="B4" i="4"/>
  <c r="P2" i="9" l="1"/>
  <c r="Q2" i="9"/>
  <c r="F3" i="9"/>
  <c r="M2" i="9"/>
  <c r="I2" i="9"/>
  <c r="D4" i="9"/>
  <c r="O4" i="9"/>
  <c r="B5" i="9"/>
  <c r="D5" i="9" s="1"/>
  <c r="L2" i="9"/>
  <c r="E4" i="6"/>
  <c r="M4" i="6" s="1"/>
  <c r="L2" i="6"/>
  <c r="P2" i="6" s="1"/>
  <c r="O4" i="6"/>
  <c r="I2" i="6"/>
  <c r="J4" i="6"/>
  <c r="D5" i="6"/>
  <c r="E5" i="6" s="1"/>
  <c r="O5" i="6"/>
  <c r="J2" i="4"/>
  <c r="I2" i="4"/>
  <c r="K2" i="4"/>
  <c r="L2" i="4" s="1"/>
  <c r="P2" i="4" s="1"/>
  <c r="B5" i="4"/>
  <c r="D4" i="4"/>
  <c r="E4" i="4" s="1"/>
  <c r="O4" i="4"/>
  <c r="M3" i="4"/>
  <c r="R2" i="9" l="1"/>
  <c r="E3" i="9"/>
  <c r="S2" i="9"/>
  <c r="O5" i="9"/>
  <c r="B6" i="9"/>
  <c r="K3" i="9"/>
  <c r="J3" i="9"/>
  <c r="F4" i="9"/>
  <c r="Q2" i="6"/>
  <c r="R3" i="6"/>
  <c r="I4" i="6"/>
  <c r="K4" i="6"/>
  <c r="L4" i="6" s="1"/>
  <c r="P4" i="6" s="1"/>
  <c r="K5" i="6"/>
  <c r="J5" i="6"/>
  <c r="O6" i="6"/>
  <c r="D6" i="6"/>
  <c r="E6" i="6" s="1"/>
  <c r="M5" i="6"/>
  <c r="I5" i="6"/>
  <c r="K3" i="4"/>
  <c r="I3" i="4"/>
  <c r="R3" i="4" s="1"/>
  <c r="D5" i="4"/>
  <c r="E5" i="4" s="1"/>
  <c r="B6" i="4"/>
  <c r="Q3" i="9" l="1"/>
  <c r="P3" i="9"/>
  <c r="M3" i="9"/>
  <c r="I3" i="9"/>
  <c r="L3" i="9"/>
  <c r="K4" i="9"/>
  <c r="J4" i="9"/>
  <c r="D6" i="9"/>
  <c r="B7" i="9"/>
  <c r="O6" i="9"/>
  <c r="F5" i="9"/>
  <c r="L3" i="6"/>
  <c r="Q3" i="6" s="1"/>
  <c r="R4" i="6"/>
  <c r="Q4" i="6"/>
  <c r="R5" i="6" s="1"/>
  <c r="K6" i="6"/>
  <c r="J6" i="6"/>
  <c r="M6" i="6"/>
  <c r="I6" i="6"/>
  <c r="D7" i="6"/>
  <c r="E7" i="6" s="1"/>
  <c r="O7" i="6"/>
  <c r="L5" i="6"/>
  <c r="P5" i="6" s="1"/>
  <c r="Q5" i="6" s="1"/>
  <c r="I5" i="4"/>
  <c r="J5" i="4"/>
  <c r="B7" i="4"/>
  <c r="O7" i="4" s="1"/>
  <c r="D6" i="4"/>
  <c r="E6" i="4" s="1"/>
  <c r="O6" i="4"/>
  <c r="M5" i="4"/>
  <c r="J4" i="4"/>
  <c r="K4" i="4"/>
  <c r="I4" i="4"/>
  <c r="L3" i="4"/>
  <c r="P3" i="4" s="1"/>
  <c r="R3" i="9" l="1"/>
  <c r="S3" i="9" s="1"/>
  <c r="E4" i="9"/>
  <c r="F6" i="9"/>
  <c r="L4" i="9"/>
  <c r="K5" i="9"/>
  <c r="J5" i="9"/>
  <c r="O7" i="9"/>
  <c r="B8" i="9"/>
  <c r="D7" i="9"/>
  <c r="L6" i="6"/>
  <c r="P6" i="6" s="1"/>
  <c r="Q6" i="6" s="1"/>
  <c r="O8" i="6"/>
  <c r="D8" i="6"/>
  <c r="E8" i="6" s="1"/>
  <c r="M7" i="6"/>
  <c r="I7" i="6"/>
  <c r="R6" i="6"/>
  <c r="K5" i="4"/>
  <c r="L5" i="4" s="1"/>
  <c r="Q3" i="4"/>
  <c r="R4" i="4" s="1"/>
  <c r="M6" i="4"/>
  <c r="K6" i="4"/>
  <c r="L4" i="4"/>
  <c r="P4" i="4" s="1"/>
  <c r="D7" i="4"/>
  <c r="E7" i="4" s="1"/>
  <c r="M7" i="4" s="1"/>
  <c r="B8" i="4"/>
  <c r="P4" i="9" l="1"/>
  <c r="Q4" i="9"/>
  <c r="M4" i="9"/>
  <c r="I4" i="9"/>
  <c r="L5" i="9"/>
  <c r="K6" i="9"/>
  <c r="J6" i="9"/>
  <c r="F7" i="9"/>
  <c r="D8" i="9"/>
  <c r="O8" i="9"/>
  <c r="B9" i="9"/>
  <c r="J8" i="6"/>
  <c r="K8" i="6"/>
  <c r="L8" i="6" s="1"/>
  <c r="D9" i="6"/>
  <c r="E9" i="6" s="1"/>
  <c r="O9" i="6"/>
  <c r="J7" i="6"/>
  <c r="K7" i="6"/>
  <c r="R7" i="6"/>
  <c r="I8" i="6"/>
  <c r="M8" i="6"/>
  <c r="I7" i="4"/>
  <c r="J6" i="4"/>
  <c r="L6" i="4" s="1"/>
  <c r="Q5" i="4"/>
  <c r="Q4" i="4"/>
  <c r="R5" i="4" s="1"/>
  <c r="B9" i="4"/>
  <c r="D8" i="4"/>
  <c r="E8" i="4" s="1"/>
  <c r="O8" i="4"/>
  <c r="R4" i="9" l="1"/>
  <c r="S4" i="9" s="1"/>
  <c r="E5" i="9"/>
  <c r="D9" i="9"/>
  <c r="O9" i="9"/>
  <c r="B10" i="9"/>
  <c r="J7" i="9"/>
  <c r="K7" i="9"/>
  <c r="L6" i="9"/>
  <c r="F8" i="9"/>
  <c r="L7" i="6"/>
  <c r="P7" i="6" s="1"/>
  <c r="Q7" i="6" s="1"/>
  <c r="P8" i="6"/>
  <c r="R8" i="6"/>
  <c r="Q8" i="6"/>
  <c r="M9" i="6"/>
  <c r="I9" i="6"/>
  <c r="D10" i="6"/>
  <c r="E10" i="6" s="1"/>
  <c r="O10" i="6"/>
  <c r="J7" i="4"/>
  <c r="K7" i="4"/>
  <c r="P6" i="4"/>
  <c r="J8" i="4"/>
  <c r="R6" i="4"/>
  <c r="B10" i="4"/>
  <c r="D9" i="4"/>
  <c r="E9" i="4" s="1"/>
  <c r="O9" i="4"/>
  <c r="M8" i="4"/>
  <c r="P5" i="9" l="1"/>
  <c r="Q5" i="9"/>
  <c r="M5" i="9"/>
  <c r="I5" i="9"/>
  <c r="L7" i="9"/>
  <c r="B11" i="9"/>
  <c r="D10" i="9"/>
  <c r="O10" i="9"/>
  <c r="F9" i="9"/>
  <c r="K8" i="9"/>
  <c r="J8" i="9"/>
  <c r="Q6" i="4"/>
  <c r="R7" i="4" s="1"/>
  <c r="L7" i="4"/>
  <c r="P7" i="4" s="1"/>
  <c r="Q7" i="4" s="1"/>
  <c r="R9" i="6"/>
  <c r="O11" i="6"/>
  <c r="D11" i="6"/>
  <c r="E11" i="6" s="1"/>
  <c r="K10" i="6"/>
  <c r="J10" i="6"/>
  <c r="I10" i="6"/>
  <c r="M10" i="6"/>
  <c r="K9" i="6"/>
  <c r="J9" i="6"/>
  <c r="K8" i="4"/>
  <c r="L8" i="4" s="1"/>
  <c r="P8" i="4" s="1"/>
  <c r="I8" i="4"/>
  <c r="M9" i="4"/>
  <c r="O10" i="4"/>
  <c r="B11" i="4"/>
  <c r="D10" i="4"/>
  <c r="E10" i="4" s="1"/>
  <c r="E6" i="9" l="1"/>
  <c r="R5" i="9"/>
  <c r="S5" i="9" s="1"/>
  <c r="L8" i="9"/>
  <c r="J9" i="9"/>
  <c r="K9" i="9"/>
  <c r="O11" i="9"/>
  <c r="B12" i="9"/>
  <c r="D11" i="9"/>
  <c r="F10" i="9"/>
  <c r="R8" i="4"/>
  <c r="M11" i="6"/>
  <c r="L9" i="6"/>
  <c r="P9" i="6" s="1"/>
  <c r="Q9" i="6" s="1"/>
  <c r="R10" i="6" s="1"/>
  <c r="L10" i="6"/>
  <c r="P10" i="6" s="1"/>
  <c r="Q10" i="6" s="1"/>
  <c r="D12" i="6"/>
  <c r="E12" i="6" s="1"/>
  <c r="O12" i="6"/>
  <c r="I11" i="6"/>
  <c r="Q8" i="4"/>
  <c r="M10" i="4"/>
  <c r="B12" i="4"/>
  <c r="D11" i="4"/>
  <c r="E11" i="4" s="1"/>
  <c r="O11" i="4"/>
  <c r="K9" i="4"/>
  <c r="J9" i="4"/>
  <c r="I9" i="4"/>
  <c r="M6" i="9" l="1"/>
  <c r="I6" i="9"/>
  <c r="P6" i="9"/>
  <c r="Q6" i="9"/>
  <c r="L9" i="9"/>
  <c r="F11" i="9"/>
  <c r="J11" i="9" s="1"/>
  <c r="K10" i="9"/>
  <c r="J10" i="9"/>
  <c r="O12" i="9"/>
  <c r="B13" i="9"/>
  <c r="D12" i="9"/>
  <c r="R11" i="6"/>
  <c r="K12" i="6"/>
  <c r="J12" i="6"/>
  <c r="O13" i="6"/>
  <c r="D13" i="6"/>
  <c r="E13" i="6" s="1"/>
  <c r="K11" i="6"/>
  <c r="J11" i="6"/>
  <c r="M12" i="6"/>
  <c r="I12" i="6"/>
  <c r="L9" i="4"/>
  <c r="P9" i="4" s="1"/>
  <c r="Q9" i="4" s="1"/>
  <c r="J10" i="4"/>
  <c r="K10" i="4"/>
  <c r="M11" i="4"/>
  <c r="O12" i="4"/>
  <c r="D12" i="4"/>
  <c r="E12" i="4" s="1"/>
  <c r="B13" i="4"/>
  <c r="I10" i="4"/>
  <c r="R9" i="4"/>
  <c r="R6" i="9" l="1"/>
  <c r="S6" i="9" s="1"/>
  <c r="E7" i="9"/>
  <c r="K11" i="9"/>
  <c r="L11" i="9" s="1"/>
  <c r="D13" i="9"/>
  <c r="O13" i="9"/>
  <c r="F12" i="9"/>
  <c r="L10" i="9"/>
  <c r="L12" i="6"/>
  <c r="P12" i="6" s="1"/>
  <c r="Q12" i="6" s="1"/>
  <c r="M13" i="6"/>
  <c r="L11" i="6"/>
  <c r="P11" i="6" s="1"/>
  <c r="Q11" i="6" s="1"/>
  <c r="R12" i="6" s="1"/>
  <c r="L10" i="4"/>
  <c r="P10" i="4" s="1"/>
  <c r="Q10" i="4" s="1"/>
  <c r="D13" i="4"/>
  <c r="E13" i="4" s="1"/>
  <c r="O13" i="4"/>
  <c r="M12" i="4"/>
  <c r="K11" i="4"/>
  <c r="J11" i="4"/>
  <c r="I11" i="4"/>
  <c r="R10" i="4"/>
  <c r="I7" i="9" l="1"/>
  <c r="P7" i="9"/>
  <c r="Q7" i="9"/>
  <c r="M7" i="9"/>
  <c r="J12" i="9"/>
  <c r="K12" i="9"/>
  <c r="L12" i="9" s="1"/>
  <c r="F13" i="9"/>
  <c r="K13" i="6"/>
  <c r="J13" i="6"/>
  <c r="I13" i="6"/>
  <c r="I12" i="4"/>
  <c r="J12" i="4"/>
  <c r="K12" i="4"/>
  <c r="L11" i="4"/>
  <c r="P11" i="4" s="1"/>
  <c r="M13" i="4"/>
  <c r="R11" i="4"/>
  <c r="R7" i="9" l="1"/>
  <c r="S7" i="9" s="1"/>
  <c r="E8" i="9"/>
  <c r="J13" i="9"/>
  <c r="K13" i="9"/>
  <c r="L13" i="9" s="1"/>
  <c r="L13" i="6"/>
  <c r="P13" i="6" s="1"/>
  <c r="Q13" i="6" s="1"/>
  <c r="R13" i="6"/>
  <c r="L12" i="4"/>
  <c r="P12" i="4" s="1"/>
  <c r="Q12" i="4" s="1"/>
  <c r="I13" i="4"/>
  <c r="Q11" i="4"/>
  <c r="R12" i="4" s="1"/>
  <c r="K13" i="4"/>
  <c r="J13" i="4"/>
  <c r="M8" i="9" l="1"/>
  <c r="I8" i="9"/>
  <c r="P8" i="9"/>
  <c r="Q8" i="9"/>
  <c r="R13" i="4"/>
  <c r="L13" i="4"/>
  <c r="P13" i="4" s="1"/>
  <c r="Q13" i="4" s="1"/>
  <c r="E9" i="9" l="1"/>
  <c r="R8" i="9"/>
  <c r="S8" i="9" s="1"/>
  <c r="I9" i="9" l="1"/>
  <c r="P9" i="9"/>
  <c r="Q9" i="9"/>
  <c r="M9" i="9"/>
  <c r="E10" i="9" l="1"/>
  <c r="R9" i="9"/>
  <c r="S9" i="9" s="1"/>
  <c r="I10" i="9" l="1"/>
  <c r="P10" i="9"/>
  <c r="Q10" i="9"/>
  <c r="M10" i="9"/>
  <c r="E11" i="9" l="1"/>
  <c r="R10" i="9"/>
  <c r="S10" i="9" s="1"/>
  <c r="I11" i="9" l="1"/>
  <c r="Q11" i="9"/>
  <c r="P11" i="9"/>
  <c r="M11" i="9"/>
  <c r="E12" i="9" l="1"/>
  <c r="R11" i="9"/>
  <c r="S11" i="9" s="1"/>
  <c r="I12" i="9" l="1"/>
  <c r="M12" i="9"/>
  <c r="P12" i="9"/>
  <c r="Q12" i="9"/>
  <c r="R12" i="9" l="1"/>
  <c r="S12" i="9" s="1"/>
  <c r="E13" i="9"/>
  <c r="M13" i="9" l="1"/>
  <c r="I13" i="9"/>
  <c r="Q13" i="9"/>
  <c r="R13" i="9" s="1"/>
  <c r="P13" i="9"/>
  <c r="S13" i="9" l="1"/>
</calcChain>
</file>

<file path=xl/sharedStrings.xml><?xml version="1.0" encoding="utf-8"?>
<sst xmlns="http://schemas.openxmlformats.org/spreadsheetml/2006/main" count="111" uniqueCount="53">
  <si>
    <t>Month</t>
  </si>
  <si>
    <t>DQ rate</t>
  </si>
  <si>
    <t>DQ Losses</t>
  </si>
  <si>
    <t>Operative Cost Per Client</t>
  </si>
  <si>
    <t>Total Operative Cost</t>
  </si>
  <si>
    <t>Net Income</t>
  </si>
  <si>
    <t>Final Capital</t>
  </si>
  <si>
    <t>{"hash":"36fbb53cc4247cd1a096c143c2dd8b5ce9cf6dbb2b5931bc0b1d867ec838b6c5","version":1,"value":"[[\"Indulge in frozen bliss, one scoop at a time!\"]]"}</t>
  </si>
  <si>
    <t>{"hash":"c89c0ca0e7a3d3615b6f76bd40bf6de7206a4fbafb8dde1f3dc8a2f7cb2fdf4c","version":1,"value":"[[\"Some factors that may be against the profitability of the startup include:\\n\\n1. DQ rate: A high DQ (default) rate indicates a higher risk of loan defaults, which can lead to losses and lower profitability.\\n\\n2. DQ Losses: The amount of losses due to loan defaults can significantly impact profitability.\\n\\n3. Operative Cost Per Client: Higher operational costs per client can reduce profitability.\\n\\n4. Investment: The initial investment required for the startup can affect profitability, especially if it takes a long time to recover the investment.\\n\\n5. Capital for growth: The amount of capital allocated for growth can impact profitability, as it may reduce the net income available for other purposes.\\n\\nIn an analysis of the net income for the following months, you should look at the following factors:\\n\\n1. Total Net Income: Calculate the net income for each month by subtracting the total operative cost from the total income.\\n\\n2. DQ Losses: Analyze the trend of DQ losses and assess their impact on net income.\\n\\n3. Operational Costs: Evaluate the trend of operational costs per client and identify any areas where cost reduction is possible.\\n\\n4. Investment Recovery: Monitor the recovery of the initial investment and assess its impact on net income.\\n\\n5. Capital for Growth: Analyze the impact of allocating capital for growth on net income and assess whether it is generating a positive return.\\n\\nBy analyzing these factors, you can identify areas of improvement and make informed decisions to enhance the profitability of the startup.\"]]"}</t>
  </si>
  <si>
    <t>{"hash":"7bcf2bf00a35de9bcc131b9c33f1bd1080138f7dae34106c578925f2922286ff","version":1,"value":"[[\"Based on the information provided in the table, we can conclude the following about the behavior of this startup over the 12 months:\\n\\n1. Total number of clients: The number of clients increases steadily each month, indicating a growth in the customer base.\\n\\n2. DQ rate: The DQ rate remains constant at 0.135 throughout the 12 months. This suggests that the startup has a consistent rate of clients becoming delinquent on their payments.\\n\\n3. Clients in debt: The number of clients in debt increases each month, indicating that the startup is acquiring new clients who are unable to repay their loans.\\n\\n4. Effective clients: The number of effective clients (clients who are not in debt) remains relatively stable throughout the 12 months. This suggests that the startup is able to retain a consistent number of clients who are able to repay their loans.\\n\\n5. Loan amount: The loan amount remains constant at $1,000 each month. This indicates that the startup is offering loans of the same amount to its clients.\\n\\n6. Profit per loan: The profit per loan remains constant at 0.15 or 15% of the loan amount each month. This suggests that the startup is able to generate a consistent profit from its loans.\\n\\n7. Investment: The investment amount increases each month, indicating that the startup is investing more capital into its operations.\\n\\n8. Loans in cash: The amount of loans in cash increases each month, indicating that the startup is able to provide more loans to its clients.\\n\\n9. Profit: The profit generated by the startup increases each month, indicating that the startup is able to generate more revenue from its operations.\\n\\n10. DQ losses: The DQ losses increase each month, indicating that the startup is experiencing higher losses due to clients becoming delinquent on their payments.\\n\\n11. Operative cost per client: The operative cost per client increases each month, indicating that the startup is spending more on operational expenses for each client.\\n\\n12. Net income: The net income fluctuates each month, but overall, it shows a negative trend. This suggests that the startup is not generating enough revenue to cover its expenses and is operating at a loss.\\n\\n13. Final capital: The final capital decreases each month, indicating that the startup is depleting its capital over time.\\n\\n14. Capital for growth: The capital for growth increases each month, indicating that the startup is allocating more capital towards expanding its operations.\\n\\n15. Net income - capital for growth: The net income minus the capital for growth shows a negative trend, indicating that the startup is not generating enough profit to cover its expansion efforts.\\n\\nOverall, the behavior of this startup suggests that it is experiencing growth in terms of acquiring new clients and providing loans. However, it is also facing challenges in terms of clients becoming delinquent on their payments and generating enough profit to cover its expenses and expansion efforts.\"]]"}</t>
  </si>
  <si>
    <t>{"hash":"628e7a000ab481d5d6a2af22b496f134c31a9c88f583402a175beaa68871d9ad","version":1,"value":"[[\"Some factors that may be against the profitability of the startup include:\\n\\n1. DQ rate: A high DQ (default) rate indicates a higher risk of loan defaults, which can lead to financial losses for the startup.\\n\\n2. DQ Losses: The amount of money lost due to loan defaults can significantly impact the profitability of the startup.\\n\\n3. Operative Cost Per Client: Higher operational costs per client can reduce the net income of the startup.\\n\\n4. Capital for Growth: The amount of capital allocated for growth can affect the net income. If a significant portion of the income is used for growth, it may reduce the profitability in the short term.\\n\\n5. Total Operative Cost: The overall operational costs, including both effective clients and DQ clients, can impact the net income.\\n\\nIn an analysis of the net income for the following months, you should look at the following factors:\\n\\n1. Net Income: Analyze the net income for each month to understand the profitability trend.\\n\\n2. DQ Losses: Examine the amount of money lost due to loan defaults and assess its impact on the net income.\\n\\n3. Operative Cost Per Client: Compare the operative cost per client with the income generated to determine the efficiency of operations.\\n\\n4. Capital for Growth: Evaluate the impact of allocating capital for growth on the net income.\\n\\n5. Total Operative Cost: Analyze the total operative cost and its proportion to the income to assess the overall cost efficiency.\\n\\nBy analyzing these factors, you can identify any potential issues that may be affecting the profitability of the startup and make informed decisions to improve its financial performance.\"]]"}</t>
  </si>
  <si>
    <t>{"hash":"53a197a8e8a0387e414b505882761a9b47e1da099e36e6c6e8c288a2367e9ff1","version":1,"value":"[[\"Based on the information provided in the table, we can conclude the following about the behavior of this startup over the 12 months:\\n\\n1. Total number of clients: The number of clients increases steadily each month, indicating a growth in the customer base.\\n\\n2. DQ rate: The DQ rate remains constant at 0.135 throughout the year, suggesting a consistent level of default risk among the clients.\\n\\n3. New delinquent clients: The number of new delinquent clients increases each month, indicating a potential issue with creditworthiness or risk assessment.\\n\\n4. Total delinquent clients: The total number of delinquent clients also increases each month, further highlighting the potential credit risk faced by the startup.\\n\\n5. Effective clients: The number of effective clients remains relatively stable, suggesting that the startup is able to retain a significant portion of its customer base despite the delinquency issues.\\n\\n6. Loan amount: The loan amount remains constant at $1,000 each month, indicating a consistent lending strategy.\\n\\n7. Profit per loan: The profit per loan remains constant at 0.15, suggesting a consistent profit margin on each loan.\\n\\n8. Investment: The investment in the startup increases each month, indicating a commitment to growth and expansion.\\n\\n9. Cash loans: The amount of cash loans provided to clients increases each month, indicating a growing demand for the startup's services.\\n\\n10. Income: The income generated by the startup increases each month, reflecting the growth in the customer base and loan portfolio.\\n\\n11. Interest income: The interest income also increases each month, indicating a growing interest revenue stream for the startup.\\n\\n12. DQ losses: The DQ losses increase each month, reflecting the increasing number of delinquent clients and potential credit risk.\\n\\n13. Operative cost per client: The operative cost per client remains relatively stable, suggesting efficient cost management.\\n\\n14. Effective clients operative cost: The operative cost for effective clients increases each month, reflecting the growth in the customer base.\\n\\n15. DQ operative cost: The operative cost for delinquent clients also increases each month, reflecting the increasing number of delinquent clients.\\n\\n16. Total operative cost: The total operative cost increases each month, reflecting the growth in the customer base and potential credit risk.\\n\\n17. Net income: The net income fluctuates each month, but overall, it shows a negative trend, indicating potential financial challenges for the startup.\\n\\n18. Final capital: The final capital increases each month, reflecting the growth in the customer base and loan portfolio.\\n\\n19. Capital for growth: The capital allocated for growth also increases each month, indicating a commitment to expansion and development.\\n\\n20. Net income - capital for growth: The net income minus the capital for growth shows a negative trend, indicating potential financial challenges for the startup's growth plans.\"]]"}</t>
  </si>
  <si>
    <t>January</t>
  </si>
  <si>
    <t>February</t>
  </si>
  <si>
    <t>March</t>
  </si>
  <si>
    <t>April</t>
  </si>
  <si>
    <t>May</t>
  </si>
  <si>
    <t>June</t>
  </si>
  <si>
    <t>July</t>
  </si>
  <si>
    <t>August</t>
  </si>
  <si>
    <t>September</t>
  </si>
  <si>
    <t>October</t>
  </si>
  <si>
    <t>November</t>
  </si>
  <si>
    <t>December</t>
  </si>
  <si>
    <t>{"hash":"007cb7758704b7ac60c1e922695c2e10e8153b16723537f258c28a2fb753de2a","version":1,"value":"[[\"Some factors that may be against the profitability of the startup include:\\n\\n1. DQ rate: The higher the DQ (Default and Delinquency) rate, the more clients will default on their loans, resulting in losses for the startup.\\n\\n2. DQ Losses: The amount of money lost due to defaulting clients.\\n\\n3. Operative Cost Per Client: The cost of operating the business per client. If this cost is high, it can eat into the profitability of the startup.\\n\\n4. Total Operative Cost: The overall cost of operating the business. If this cost is high, it can reduce the net income.\\n\\n5. Fondeo: The amount of funding or capital available for the startup. If the funding is insufficient, it can limit the profitability of the startup.\\n\\nIn an analysis of the net income for the following months, we should look at the following factors:\\n\\n1. Ganancia (Profit): The amount of profit generated from the loans.\\n\\n2. Recuperación + Ganancia (Recovery + Profit): The total amount recovered from loans plus the profit generated.\\n\\n3. Net Income: The overall income after deducting all expenses and losses.\\n\\n4. Final Capital: The remaining capital after deducting all expenses and losses.\\n\\n5. Fondeo: The amount of funding or capital available for the startup. This should be compared to the net income to determine if it is sufficient for the operations.\\n\\nBy analyzing these factors, we can assess the profitability of the startup and identify any areas that may need improvement.\"]]"}</t>
  </si>
  <si>
    <t>{"hash":"38856318550d886d1d8b7a6cb47553d8bc1ff42c425790c9486b293a71f59633","version":1,"value":"[[\"There are several factors that may be against the profitability of the startup. Some of these factors include:\\n\\n1. High operating expenses: If the startup has high expenses, such as rent, salaries, marketing costs, etc., it can eat into the net income and reduce profitability.\\n\\n2. Low sales or revenue: If the startup is not generating enough sales or revenue, it can result in low net income and reduced profitability.\\n\\n3. Inefficient cost management: If the startup is not effectively managing its costs and expenses, it can lead to lower net income and reduced profitability.\\n\\n4. Competition: If the startup operates in a highly competitive market, it may face challenges in generating profits due to price wars or market saturation.\\n\\n5. Economic conditions: External factors such as economic downturns or recessions can impact the profitability of the startup by reducing consumer spending and demand for its products or services.\\n\\nWhen analyzing the net income for the following months, it is important to consider the following factors:\\n\\n1. Revenue trends: Look at the trend in sales or revenue over the months to identify any patterns or changes that may impact profitability.\\n\\n2. Cost analysis: Analyze the various costs and expenses incurred by the startup to identify any areas where cost reduction or optimization is possible.\\n\\n3. Gross profit margin: Calculate the gross profit margin by dividing the gross profit by the revenue. This will help determine the profitability of the startup's core operations.\\n\\n4. Net profit margin: Calculate the net profit margin by dividing the net income by the revenue. This will provide insights into the overall profitability of the startup.\\n\\n5. Comparison with industry benchmarks: Compare the startup's net income and profitability metrics with industry benchmarks to assess its performance relative to competitors.\\n\\n6. Cash flow analysis: Evaluate the cash flow statement to understand the cash inflows and outflows, as well as any potential liquidity issues that may impact profitability.\\n\\nBy analyzing these factors and metrics, you can gain a better understanding of the startup's profitability and identify areas for improvement.\"]]"}</t>
  </si>
  <si>
    <t>{"hash":"39e344674cf6b29042aeddeca6bf6935c4a826db83338ac9fda283eb892f8dfe","version":1,"value":"[[\"There are several factors that may be against the profitability of the startup, including:\\n\\n1. High expenses: If the startup is spending too much money on things like salaries, rent, and marketing, it may not be able to generate enough revenue to cover its costs.\\n\\n2. Low sales: If the startup is not selling enough products or services, it may struggle to generate enough revenue to be profitable.\\n\\n3. Competition: If there are many other companies offering similar products or services, the startup may struggle to stand out and attract customers.\\n\\n4. Economic conditions: If the economy is in a downturn, consumers may be less likely to spend money, which could hurt the startup's sales.\\n\\nWhen analyzing the net income for the following months, we should look at several key metrics, including:\\n\\n1. Revenue: How much money is the startup generating from sales?\\n\\n2. Expenses: How much money is the startup spending on things like salaries, rent, and marketing?\\n\\n3. Gross profit: How much money is the startup making after subtracting the cost of goods sold?\\n\\n4. Net income: How much money is the startup making after subtracting all expenses?\\n\\nBy analyzing these metrics, we can get a better understanding of the startup's financial health and identify any areas where it may be struggling to generate profits.\"]]"}</t>
  </si>
  <si>
    <t>{"hash":"74fd0dba5d742c303f15a06a8a16cb7c8eb2368ec918cae52b30092ce099f9dc","version":1,"value":"[[\"Some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profitability.\\n\\n3. Inefficient cost management: If the startup is not effectively managing its costs, it can lead to higher expenses and lower profitability.\\n\\n4. Competition: If the startup faces intense competition in the market, it may struggle to maintain profitability due to price pressures or loss of market share.\\n\\n5. Economic conditions: If the overall economic conditions are unfavorable, it can impact the profitability of the startup.\\n\\nIn an analysis of the net income for the following months, we should look at the following factors:\\n\\n1. Revenue: Analyze the trend in revenue over the months to identify any growth or decline. Look for any seasonality or patterns in revenue generation.\\n\\n2. Expenses: Analyze the trend in expenses over the months to identify any cost-saving opportunities or areas of high expenditure. Look for any cost management strategies implemented.\\n\\n3. Gross profit margin: Calculate the gross profit margin by dividing the gross profit by revenue. Analyze the trend in gross profit margin to assess the efficiency of cost of goods sold.\\n\\n4. Net profit margin: Calculate the net profit margin by dividing the net income by revenue. Analyze the trend in net profit margin to assess the overall profitability of the startup.\\n\\n5. Comparison with industry benchmarks: Compare the net income and profitability metrics with industry benchmarks to assess the startup's performance relative to its competitors.\\n\\n6. Other financial ratios: Analyze other financial ratios such as return on assets, return on equity, and liquidity ratios to gain a comprehensive understanding of the startup's financial health and profitability.\"]]"}</t>
  </si>
  <si>
    <t>{"hash":"9971727bf30d2ff456cb6e82c4f9d1bd08109cafeb5a1176b9640fbcbb3ad04f","version":1,"value":"[[\"Some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profitability.\\n\\n3. High competition: If the startup operates in a highly competitive market, it may struggle to gain market share and generate profits.\\n\\n4. Economic conditions: Economic downturns or recessions can negatively impact the profitability of startups as consumer spending decreases.\\n\\n5. Poor financial management: Inefficient financial management, such as high debt levels or poor cash flow management, can hinder profitability.\\n\\nIn an analysis of the net income for the following months, we should look at the following factors:\\n\\n1. Revenue: Analyze the trend in revenue over the months to identify any growth or decline. Look for any seasonality or fluctuations in sales.\\n\\n2. Expenses: Examine the trend in expenses to identify any cost-saving opportunities or areas where expenses can be reduced.\\n\\n3. Gross profit margin: Calculate the gross profit margin by dividing gross profit by revenue. Analyze the trend in gross profit margin to assess the efficiency of the startup's operations.\\n\\n4. Net income: Calculate the net income by subtracting all expenses from revenue. Analyze the trend in net income to determine the profitability of the startup.\\n\\n5. Profitability ratios: Calculate profitability ratios such as return on assets (ROA) and return on equity (ROE) to assess the overall profitability of the startup.\\n\\n6. Cash flow: Analyze the cash flow statement to understand the cash inflows and outflows. Positive cash flow is essential for the sustainability and profitability of the startup.\\n\\n7. Industry benchmarks: Compare the startup's net income and profitability ratios with industry benchmarks to assess its performance relative to competitors.\\n\\nBy analyzing these factors, we can identify any potential issues or areas for improvement in the startup's profitability.\"]]"}</t>
  </si>
  <si>
    <t>{"hash":"99e6d8f7ca17c74a58de9192986c29c47ba087b8dc948fa14140d3f3c0aa881c","version":1,"value":"[[\"Some factors that may be against the profitability of the startup include:\\n1. High expenses: If the startup has high operating expenses, it can eat into the net income and reduce profitability.\\n2. Low sales or revenue: If the startup is not generating enough sales or revenue, it can result in lower net income and profitability.\\n3. High competition: If the startup operates in a highly competitive market, it may struggle to gain market share and generate profits.\\n4. Economic conditions: If the overall economy is weak or experiencing a downturn, it can impact the profitability of the startup.\\n\\nIn an analysis of the net income for the following months, we should look at:\\n1. Revenue trends: Analyze the trend in revenue over the months to identify any patterns or fluctuations.\\n2. Expenses: Examine the expenses incurred by the startup and identify any areas where costs can be reduced or optimized.\\n3. Gross profit margin: Calculate the gross profit margin to understand the profitability of the startup's core operations.\\n4. Net income: Analyze the net income for each month to determine if it is increasing or decreasing and identify any factors contributing to the changes.\\n5. Profitability ratios: Calculate profitability ratios such as return on assets (ROA) and return on equity (ROE) to assess the overall profitability of the startup.\\n6. Comparison with industry benchmarks: Compare the startup's net income with industry benchmarks to understand its performance relative to competitors.\\n7. Cash flow analysis: Analyze the cash flow statement to assess the startup's ability to generate cash and meet its financial obligations.\"]]"}</t>
  </si>
  <si>
    <t>{"hash":"44feb98aa6cadf56da07d01fce1b617a2d94568ce54012303585db9325de4860","version":1,"value":"[[\"Some factors that may be against the profitability of the startup include:\\n\\n1. Increasing costs: If the costs of production, operations, or overhead expenses are rising faster than the revenue, it can negatively impact profitability.\\n\\n2. Declining sales or revenue: If the startup is experiencing a decrease in sales or revenue, it can lead to lower profitability.\\n\\n3. Competitive pressures: If the startup operates in a highly competitive market, it may face challenges in maintaining profitability due to price wars or the need for heavy marketing and advertising expenses.\\n\\n4. Economic conditions: Economic downturns or recessions can impact consumer spending and demand, which can affect the profitability of the startup.\\n\\n5. Inefficient operations: If the startup is not effectively managing its resources, processes, or supply chain, it can lead to higher costs and lower profitability.\\n\\nIn an analysis of the net income for the following months, we should look at the following factors:\\n\\n1. Revenue trends: Analyze the trend in revenue over the months to identify any patterns or changes that may impact profitability.\\n\\n2. Cost of goods sold (COGS): Examine the trend in COGS to understand if there are any cost increases or efficiencies that may impact profitability.\\n\\n3. Operating expenses: Analyze the trend in operating expenses to identify any significant changes that may impact profitability.\\n\\n4. Gross profit margin: Calculate the gross profit margin to understand the profitability of the startup's core operations.\\n\\n5. Net income: Analyze the trend in net income to assess the overall profitability of the startup.\\n\\n6. Profitability ratios: Calculate profitability ratios such as return on assets (ROA) and return on equity (ROE) to evaluate the startup's profitability relative to its assets and equity.\\n\\n7. Comparative analysis: Compare the startup's net income to industry benchmarks or competitors to assess its relative profitability.\\n\\nBy analyzing these factors, we can gain insights into the profitability of the startup and identify any areas that may need improvement or attention.\"]]"}</t>
  </si>
  <si>
    <t>{"hash":"12c204b9acd67193442d0952f6dca2d8d6023d550c8ce33b930e3ea4256fea36","version":1,"value":"[[\"Some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reduced profitability.\\n\\n3. Inefficient cost management: If the startup is not effectively managing its costs, it can lead to higher expenses and lower net income.\\n\\n4. Competition: If the startup operates in a highly competitive market, it may struggle to maintain profitability due to price pressures and lower profit margins.\\n\\n5. Economic conditions: If the overall economy is weak or experiencing a downturn, it can impact the profitability of the startup.\\n\\nIn an analysis of the net income for the following months, some key factors to consider are:\\n\\n1. Revenue trends: Look at the trend in revenue over the months to see if there are any significant changes or patterns.\\n\\n2. Expenses: Analyze the expenses incurred by the startup and identify any areas where costs can be reduced or managed more efficiently.\\n\\n3. Gross profit margin: Calculate the gross profit margin by dividing the gross profit by revenue. This will help assess the profitability of the startup's core operations.\\n\\n4. Net profit margin: Calculate the net profit margin by dividing the net income by revenue. This will provide insights into the overall profitability of the startup.\\n\\n5. Comparison to industry benchmarks: Compare the startup's net income and profit margins to industry benchmarks to see how it is performing relative to its peers.\\n\\n6. Cash flow: Analyze the cash flow statement to understand the cash generated from operations and assess the startup's ability to meet its financial obligations.\\n\\n7. Future projections: Consider any future projections or forecasts provided by the startup to assess its potential profitability in the coming months.\"]]"}</t>
  </si>
  <si>
    <t>{"hash":"767394ba3fbebdfcc7dab4148c05bb6a4b41a740eb5795249fb90f29171d6a08","version":1,"value":"[[\"There are several factors that may be against the profitability of the startup, including:\\n\\n1. High expenses: If the startup is spending too much money on things like salaries, rent, and marketing, it may not be able to generate enough revenue to cover its costs.\\n\\n2. Low sales: If the startup is not selling enough products or services, it may struggle to generate enough revenue to be profitable.\\n\\n3. Competition: If there are many other companies offering similar products or services, the startup may struggle to stand out and attract customers.\\n\\n4. Economic conditions: If the economy is in a downturn, consumers may be less likely to spend money on non-essential items, which could hurt the startup's sales.\\n\\nWhen analyzing the net income for the following months, it is important to look at several key metrics, including:\\n\\n1. Revenue: How much money is the startup generating from sales?\\n\\n2. Expenses: How much money is the startup spending on things like salaries, rent, and marketing?\\n\\n3. Gross profit: How much money is the startup making after subtracting the cost of goods sold from its revenue?\\n\\n4. Net income: How much money is the startup making after subtracting all of its expenses from its revenue?\\n\\nBy analyzing these metrics, you can get a better understanding of the startup's financial health and identify any areas where it may be struggling to generate profits.\"]]"}</t>
  </si>
  <si>
    <t>{"hash":"eeb309ec8ec396036b70976bd5d2b8b2035fb3dc8ba4d45250a1185d8411f98c","version":1,"value":"[[\"Some factors that may be against the profitability of the startup include:\\n\\n1. Increasing expenses: If the expenses of the startup are consistently increasing, it can negatively impact profitability. This could include costs such as salaries, rent, marketing expenses, etc.\\n\\n2. Declining revenue: If the revenue generated by the startup is decreasing over time, it can lead to lower profitability. This could be due to various reasons such as market saturation, competition, or changes in customer preferences.\\n\\n3. High fixed costs: If the startup has high fixed costs, it can put pressure on profitability. Fixed costs are expenses that do not change with the level of production or sales, such as rent or equipment costs.\\n\\n4. Inefficient operations: If the startup is not operating efficiently, it can lead to higher costs and lower profitability. This could include issues such as poor inventory management, inefficient production processes, or high employee turnover.\\n\\n5. Economic factors: External economic factors such as recessions or changes in market conditions can also impact the profitability of a startup. These factors are often beyond the control of the startup but can have a significant impact on its financial performance.\\n\\nIn an analysis of the net income for the following months, some key factors to consider are:\\n\\n1. Revenue trends: Analyze the trend in revenue over the months to identify any patterns or changes. Look for any significant increases or decreases in revenue and try to understand the reasons behind them.\\n\\n2. Cost analysis: Break down the various costs incurred by the startup and analyze their trends. Identify any cost increases or decreases and assess their impact on profitability.\\n\\n3. Gross profit margin: Calculate the gross profit margin by dividing the gross profit by the revenue. This will help assess the profitability of the startup's core operations.\\n\\n4. Operating expenses: Analyze the trend in operating expenses such as salaries, rent, marketing expenses, etc. Identify any significant changes and assess their impact on profitability.\\n\\n5. Net income: Calculate the net income for each month and analyze its trend. Look for any significant changes and try to understand the factors driving those changes.\\n\\n6. Profitability ratios: Calculate profitability ratios such as return on assets (ROA) and return on equity (ROE) to assess the overall profitability of the startup.\\n\\nBy analyzing these factors and trends in net income, you can identify any potential issues or areas for improvement in the startup's profitability.\"]]"}</t>
  </si>
  <si>
    <t>{"hash":"bccb0aef4b909330829008084a489df7f5ee3608275c78c7c678f6fa8c31d684","version":1,"value":"[[\"Some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profitability.\\n\\n3. Inefficient cost management: If the startup is not effectively managing its costs, it can lead to higher expenses and lower profitability.\\n\\n4. Competition: If the startup operates in a highly competitive market, it may struggle to maintain profitability due to price pressures and lower margins.\\n\\n5. Economic conditions: If the overall economy is weak or experiencing a downturn, it can impact the profitability of the startup.\\n\\nIn an analysis of the net income for the following months, we should look at the following factors:\\n\\n1. Revenue trends: Analyze the trend in revenue over the months to identify any patterns or changes that may impact profitability.\\n\\n2. Cost of goods sold: Examine the cost of goods sold to understand the impact on gross profit and overall profitability.\\n\\n3. Operating expenses: Analyze the operating expenses to identify any areas of inefficiency or potential cost-saving opportunities.\\n\\n4. Net income margin: Calculate the net income margin to assess the overall profitability of the startup and compare it to industry benchmarks.\\n\\n5. Profitability ratios: Calculate profitability ratios such as return on assets (ROA) and return on equity (ROE) to evaluate the overall profitability and efficiency of the startup.\\n\\n6. Cash flow analysis: Assess the cash flow from operations to understand the cash generation ability of the startup and its impact on profitability.\\n\\nBy analyzing these factors, we can gain insights into the profitability of the startup and identify areas for improvement.\"]]"}</t>
  </si>
  <si>
    <t>{"hash":"1fe0589f66bdba1e6f7d038ebb773394b5c553be93072fd894e78ccd2bcfccf0","version":1,"value":"[[\"Some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profitability.\\n\\n3. Inefficient cost management: If the startup is not effectively managing its costs, it can lead to higher expenses and lower profitability.\\n\\n4. Competition: If the startup operates in a highly competitive market, it may struggle to maintain profitability due to price pressures and lower margins.\\n\\n5. Economic conditions: If the overall economy is weak or experiencing a downturn, it can impact the profitability of the startup.\\n\\nIn an analysis of the net income for the following months, we should look at the following factors:\\n\\n1. Revenue trends: Analyze the trend in revenue over the months to see if there is consistent growth or any fluctuations.\\n\\n2. Expenses: Examine the trend in expenses to identify any areas of high or increasing costs that may impact profitability.\\n\\n3. Gross profit margin: Calculate the gross profit margin to assess the profitability of the startup's core operations.\\n\\n4. Net profit margin: Calculate the net profit margin to determine the overall profitability after considering all expenses.\\n\\n5. Comparison to industry benchmarks: Compare the startup's net income and profitability metrics to industry benchmarks to assess its performance relative to competitors.\\n\\n6. Cash flow: Analyze the cash flow statement to understand the cash generated from operations and if it is sufficient to support profitability.\\n\\n7. Key drivers of profitability: Identify the key factors driving profitability and assess their sustainability in the future.\\n\\nBy analyzing these factors, we can gain insights into the profitability of the startup and identify areas for improvement.\"]]"}</t>
  </si>
  <si>
    <t>{"hash":"ff1a55c514575af577d46668e63c399a68659fdb7827b6347602c25b1d9af8f8","version":1,"value":"[[\"There are several factors that may be against the profitability of a startup. Some of these factors include:\\n\\n1. High operating costs: If the startup has high expenses related to production, marketing, or overhead costs, it can negatively impact profitability.\\n\\n2. Low sales or revenue: Insufficient demand for the startup's products or services can lead to low sales and revenue, making it difficult to generate profits.\\n\\n3. Intense competition: If the startup operates in a highly competitive market, it may struggle to gain market share and achieve profitability.\\n\\n4. Inefficient operations: Poor management, ineffective processes, or lack of scalability can hinder the startup's ability to generate profits.\\n\\n5. Economic conditions: Economic downturns or unfavorable market conditions can impact consumer spending and reduce the startup's profitability.\\n\\nWhen analyzing the net income for the following months, it is important to consider the following factors:\\n\\n1. Revenue trends: Look at the trend in sales and revenue over the past months to identify any patterns or changes that may impact profitability.\\n\\n2. Cost analysis: Evaluate the startup's expenses and identify any areas where costs can be reduced or optimized to improve profitability.\\n\\n3. Gross margin: Calculate the gross margin (revenue minus cost of goods sold) to assess the startup's ability to generate profits from its core operations.\\n\\n4. Operating expenses: Analyze the startup's operating expenses, such as marketing, salaries, rent, and utilities, to determine if there are any areas where costs can be controlled or reduced.\\n\\n5. Cash flow: Examine the startup's cash flow statement to understand its ability to generate cash and cover expenses. A positive cash flow is essential for profitability.\\n\\n6. Industry benchmarks: Compare the startup's financial performance with industry benchmarks to assess its competitiveness and profitability potential.\\n\\n7. Future projections: Consider any upcoming events or changes that may impact the startup's profitability, such as new product launches, market expansions, or changes in regulations.\\n\\nBy analyzing these factors, you can gain insights into the startup's profitability and identify areas for improvement to enhance its financial performance.\"]]"}</t>
  </si>
  <si>
    <t>{"hash":"2d6da8cf59c7a6b092100cca07ca6a9f1373bd0d92377fdc9b8393a881f959bd","version":1,"value":"[[\"Some factors that may be against the profitability of the startup include:\\n\\n1. High expenses: If the startup has high operating expenses, it can eat into the net income and reduce profitability.\\n\\n2. Low sales or revenue: If the startup is not generating enough sales or revenue, it can result in lower net income and profitability.\\n\\n3. High competition: If the startup operates in a highly competitive market, it may struggle to gain market share and generate profits.\\n\\n4. Economic conditions: Economic downturns or recessions can negatively impact the profitability of startups as consumer spending decreases.\\n\\n5. Poor financial management: Inefficient financial management, such as high debt levels or poor cash flow management, can hinder profitability.\\n\\nIn an analysis of the net income for the following months, you should look at the following factors:\\n\\n1. Revenue: Analyze the trend in revenue over the months to see if there is consistent growth or any fluctuations.\\n\\n2. Expenses: Examine the trend in expenses to identify any areas where costs are increasing or if there are any cost-saving measures being implemented.\\n\\n3. Gross profit margin: Calculate the gross profit margin by dividing gross profit by revenue. This will help determine if the startup is generating enough profit from its core operations.\\n\\n4. Net profit margin: Calculate the net profit margin by dividing net income by revenue. This will provide insights into the overall profitability of the startup.\\n\\n5. Comparison to industry benchmarks: Compare the net income and profit margins to industry benchmarks to assess how the startup is performing relative to its competitors.\\n\\n6. Cash flow: Analyze the cash flow statement to understand the cash inflows and outflows, as well as the ability of the startup to generate positive cash flow.\\n\\n7. Profitability ratios: Calculate profitability ratios such as return on assets (ROA) and return on equity (ROE) to assess the efficiency of the startup in generating profits from its assets and equity.\\n\\nBy analyzing these factors, you can gain a better understanding of the profitability of the startup and identify any areas that may need improvement.\"]]"}</t>
  </si>
  <si>
    <t>Funding</t>
  </si>
  <si>
    <t>Investment</t>
  </si>
  <si>
    <t>cost of campaign</t>
  </si>
  <si>
    <t>recovered income</t>
  </si>
  <si>
    <t>Recovered accounts</t>
  </si>
  <si>
    <t>Campaign Net Income</t>
  </si>
  <si>
    <t>Effective Loan</t>
  </si>
  <si>
    <t>Interest</t>
  </si>
  <si>
    <t>Recovery + Interest</t>
  </si>
  <si>
    <t>Total DQ Customers</t>
  </si>
  <si>
    <t>New DQ Customer</t>
  </si>
  <si>
    <t>Effective Customers</t>
  </si>
  <si>
    <t>Total of customer</t>
  </si>
  <si>
    <t>Interest per loan</t>
  </si>
  <si>
    <t>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</si>
</sst>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3" tint="0.249977111117893"/>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5">
    <xf numFmtId="0" fontId="0" fillId="0" borderId="0" xfId="0"/>
    <xf numFmtId="0" fontId="0" fillId="0" borderId="3"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44" fontId="0" fillId="0" borderId="6" xfId="1" applyFont="1" applyBorder="1" applyAlignment="1">
      <alignment horizontal="center" vertical="center"/>
    </xf>
    <xf numFmtId="9" fontId="0" fillId="0" borderId="0" xfId="2" applyFont="1" applyBorder="1" applyAlignment="1">
      <alignment horizontal="center" vertical="center"/>
    </xf>
    <xf numFmtId="44" fontId="0" fillId="0" borderId="0" xfId="1" applyFont="1" applyBorder="1" applyAlignment="1">
      <alignment horizontal="center" vertical="center"/>
    </xf>
    <xf numFmtId="44" fontId="0" fillId="0" borderId="7" xfId="1" applyFont="1" applyBorder="1" applyAlignment="1">
      <alignment horizontal="center" vertical="center"/>
    </xf>
    <xf numFmtId="44" fontId="0" fillId="0" borderId="5" xfId="1" applyFont="1" applyBorder="1" applyAlignment="1">
      <alignment horizontal="center" vertical="center"/>
    </xf>
    <xf numFmtId="44" fontId="0" fillId="0" borderId="6" xfId="0" applyNumberFormat="1" applyBorder="1" applyAlignment="1">
      <alignment horizontal="center" vertical="center"/>
    </xf>
    <xf numFmtId="44" fontId="0" fillId="0" borderId="7" xfId="0" applyNumberFormat="1" applyBorder="1" applyAlignment="1">
      <alignment horizontal="center" vertical="center"/>
    </xf>
    <xf numFmtId="0" fontId="0" fillId="0" borderId="8" xfId="0" applyBorder="1" applyAlignment="1">
      <alignment horizontal="center" vertical="center"/>
    </xf>
    <xf numFmtId="10" fontId="0" fillId="0" borderId="9" xfId="0" applyNumberFormat="1" applyBorder="1" applyAlignment="1">
      <alignment horizontal="center" vertical="center"/>
    </xf>
    <xf numFmtId="0" fontId="0" fillId="0" borderId="9" xfId="0" applyBorder="1" applyAlignment="1">
      <alignment horizontal="center" vertical="center"/>
    </xf>
    <xf numFmtId="44" fontId="0" fillId="0" borderId="8" xfId="1" applyFont="1" applyBorder="1" applyAlignment="1">
      <alignment horizontal="center" vertical="center"/>
    </xf>
    <xf numFmtId="9" fontId="0" fillId="0" borderId="9" xfId="2" applyFont="1" applyBorder="1" applyAlignment="1">
      <alignment horizontal="center" vertical="center"/>
    </xf>
    <xf numFmtId="44" fontId="0" fillId="0" borderId="9" xfId="1" applyFont="1" applyBorder="1" applyAlignment="1">
      <alignment horizontal="center" vertical="center"/>
    </xf>
    <xf numFmtId="44" fontId="0" fillId="0" borderId="10" xfId="1" applyFont="1" applyBorder="1" applyAlignment="1">
      <alignment horizontal="center" vertical="center"/>
    </xf>
    <xf numFmtId="0" fontId="0" fillId="0" borderId="0" xfId="0" applyBorder="1" applyAlignment="1">
      <alignment horizontal="center" vertical="center"/>
    </xf>
    <xf numFmtId="10" fontId="0" fillId="0" borderId="0" xfId="0" applyNumberFormat="1" applyBorder="1" applyAlignment="1">
      <alignment horizontal="center" vertical="center"/>
    </xf>
    <xf numFmtId="44" fontId="0" fillId="0" borderId="2" xfId="1" applyFont="1" applyBorder="1" applyAlignment="1">
      <alignment horizontal="center" vertical="center"/>
    </xf>
    <xf numFmtId="9" fontId="0" fillId="0" borderId="3" xfId="2" applyFont="1" applyBorder="1" applyAlignment="1">
      <alignment horizontal="center" vertical="center"/>
    </xf>
    <xf numFmtId="44" fontId="0" fillId="0" borderId="4" xfId="1" applyFont="1" applyBorder="1" applyAlignment="1">
      <alignment horizontal="center" vertical="center"/>
    </xf>
    <xf numFmtId="44" fontId="0" fillId="0" borderId="3" xfId="1" applyFont="1" applyBorder="1" applyAlignment="1">
      <alignment horizontal="center" vertical="center"/>
    </xf>
    <xf numFmtId="44" fontId="0" fillId="0" borderId="8" xfId="0" applyNumberFormat="1" applyBorder="1" applyAlignment="1">
      <alignment horizontal="center" vertical="center"/>
    </xf>
    <xf numFmtId="44" fontId="0" fillId="0" borderId="10" xfId="0" applyNumberFormat="1" applyBorder="1" applyAlignment="1">
      <alignment horizontal="center" vertical="center"/>
    </xf>
    <xf numFmtId="44" fontId="0" fillId="0" borderId="12" xfId="1"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10" fontId="0" fillId="0" borderId="3" xfId="0" applyNumberFormat="1" applyBorder="1" applyAlignment="1">
      <alignment horizontal="center" vertical="center"/>
    </xf>
    <xf numFmtId="0" fontId="0" fillId="0" borderId="4" xfId="0" applyBorder="1" applyAlignment="1">
      <alignment horizontal="center" vertical="center"/>
    </xf>
    <xf numFmtId="0" fontId="4" fillId="0" borderId="0" xfId="0" applyFont="1" applyBorder="1" applyAlignment="1">
      <alignment horizontal="center" vertical="center"/>
    </xf>
    <xf numFmtId="44" fontId="0" fillId="0" borderId="0" xfId="0" applyNumberFormat="1" applyBorder="1" applyAlignment="1">
      <alignment horizontal="center" vertical="center"/>
    </xf>
    <xf numFmtId="44" fontId="0" fillId="0" borderId="1" xfId="1" applyFont="1" applyBorder="1" applyAlignment="1">
      <alignment horizontal="center" vertical="center"/>
    </xf>
    <xf numFmtId="44" fontId="0" fillId="0" borderId="2" xfId="0" applyNumberFormat="1" applyBorder="1" applyAlignment="1">
      <alignment horizontal="center" vertical="center"/>
    </xf>
    <xf numFmtId="0" fontId="0" fillId="0" borderId="4" xfId="0" applyBorder="1"/>
    <xf numFmtId="0" fontId="4" fillId="0" borderId="8" xfId="0" applyFont="1" applyBorder="1" applyAlignment="1">
      <alignment horizontal="center" vertical="center"/>
    </xf>
    <xf numFmtId="0" fontId="4" fillId="0" borderId="13"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0" xfId="0" applyFill="1" applyAlignment="1">
      <alignment wrapText="1"/>
    </xf>
    <xf numFmtId="0" fontId="4" fillId="2" borderId="11" xfId="0" applyFont="1" applyFill="1" applyBorder="1" applyAlignment="1">
      <alignment horizontal="center" vertical="center" wrapText="1"/>
    </xf>
    <xf numFmtId="13" fontId="0" fillId="0" borderId="0" xfId="1" applyNumberFormat="1" applyFont="1" applyBorder="1" applyAlignment="1">
      <alignment horizontal="center" vertical="center"/>
    </xf>
    <xf numFmtId="0" fontId="0" fillId="0" borderId="0" xfId="0" applyBorder="1"/>
    <xf numFmtId="0" fontId="3" fillId="0" borderId="0" xfId="0" applyFont="1" applyBorder="1"/>
    <xf numFmtId="44" fontId="2" fillId="3" borderId="1" xfId="1" applyFont="1" applyFill="1" applyBorder="1" applyAlignment="1">
      <alignment horizontal="center" vertical="center" wrapText="1"/>
    </xf>
    <xf numFmtId="0" fontId="0" fillId="0" borderId="0" xfId="1" applyNumberFormat="1" applyFont="1" applyBorder="1" applyAlignment="1">
      <alignment horizontal="center" vertical="center"/>
    </xf>
    <xf numFmtId="0" fontId="0" fillId="0" borderId="3" xfId="1" applyNumberFormat="1" applyFont="1" applyBorder="1" applyAlignment="1">
      <alignment horizontal="center" vertical="center"/>
    </xf>
    <xf numFmtId="44" fontId="0" fillId="0" borderId="4" xfId="1" applyFont="1" applyBorder="1"/>
    <xf numFmtId="44" fontId="0" fillId="0" borderId="7" xfId="1" applyFont="1" applyBorder="1"/>
    <xf numFmtId="0" fontId="0" fillId="0" borderId="9" xfId="1" applyNumberFormat="1" applyFont="1" applyBorder="1" applyAlignment="1">
      <alignment horizontal="center" vertical="center"/>
    </xf>
    <xf numFmtId="44" fontId="0" fillId="0" borderId="10" xfId="1" applyFont="1" applyBorder="1"/>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68F2EB"/>
      <color rgb="FFFF94D7"/>
      <color rgb="FFBDF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Crecimiento</a:t>
            </a:r>
            <a:r>
              <a:rPr lang="es-MX" baseline="0"/>
              <a:t> mensual de los clientes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stacked"/>
        <c:varyColors val="0"/>
        <c:ser>
          <c:idx val="0"/>
          <c:order val="0"/>
          <c:tx>
            <c:strRef>
              <c:f>'Contigo A Part 1'!$D$1</c:f>
              <c:strCache>
                <c:ptCount val="1"/>
                <c:pt idx="0">
                  <c:v>Total DQ Customers</c:v>
                </c:pt>
              </c:strCache>
            </c:strRef>
          </c:tx>
          <c:spPr>
            <a:solidFill>
              <a:srgbClr val="FF0000"/>
            </a:solidFill>
            <a:ln>
              <a:noFill/>
            </a:ln>
            <a:effectLst/>
          </c:spPr>
          <c:invertIfNegative val="0"/>
          <c:cat>
            <c:strRef>
              <c:f>'Contigo A Part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'Contigo A Part 1'!$D$2:$D$13</c:f>
              <c:numCache>
                <c:formatCode>General</c:formatCode>
                <c:ptCount val="12"/>
                <c:pt idx="0">
                  <c:v>675</c:v>
                </c:pt>
                <c:pt idx="1">
                  <c:v>844</c:v>
                </c:pt>
                <c:pt idx="2">
                  <c:v>1055</c:v>
                </c:pt>
                <c:pt idx="3">
                  <c:v>1318</c:v>
                </c:pt>
                <c:pt idx="4">
                  <c:v>1648</c:v>
                </c:pt>
                <c:pt idx="5">
                  <c:v>2060</c:v>
                </c:pt>
                <c:pt idx="6">
                  <c:v>2575</c:v>
                </c:pt>
                <c:pt idx="7">
                  <c:v>3219</c:v>
                </c:pt>
                <c:pt idx="8">
                  <c:v>4024</c:v>
                </c:pt>
                <c:pt idx="9">
                  <c:v>5030</c:v>
                </c:pt>
                <c:pt idx="10">
                  <c:v>6287</c:v>
                </c:pt>
                <c:pt idx="11">
                  <c:v>7859</c:v>
                </c:pt>
              </c:numCache>
            </c:numRef>
          </c:val>
          <c:extLst>
            <c:ext xmlns:c16="http://schemas.microsoft.com/office/drawing/2014/chart" uri="{C3380CC4-5D6E-409C-BE32-E72D297353CC}">
              <c16:uniqueId val="{00000000-DE48-4477-8A3D-91B589BF7779}"/>
            </c:ext>
          </c:extLst>
        </c:ser>
        <c:ser>
          <c:idx val="1"/>
          <c:order val="1"/>
          <c:tx>
            <c:strRef>
              <c:f>'Contigo A Part 1'!$F$1</c:f>
              <c:strCache>
                <c:ptCount val="1"/>
                <c:pt idx="0">
                  <c:v>Effective Customers</c:v>
                </c:pt>
              </c:strCache>
            </c:strRef>
          </c:tx>
          <c:spPr>
            <a:solidFill>
              <a:schemeClr val="accent3">
                <a:lumMod val="60000"/>
                <a:lumOff val="40000"/>
              </a:schemeClr>
            </a:solidFill>
            <a:ln>
              <a:noFill/>
            </a:ln>
            <a:effectLst/>
          </c:spPr>
          <c:invertIfNegative val="0"/>
          <c:cat>
            <c:strRef>
              <c:f>'Contigo A Part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'Contigo A Part 1'!$F$2:$F$13</c:f>
              <c:numCache>
                <c:formatCode>General</c:formatCode>
                <c:ptCount val="12"/>
                <c:pt idx="0">
                  <c:v>4325</c:v>
                </c:pt>
                <c:pt idx="1">
                  <c:v>5406</c:v>
                </c:pt>
                <c:pt idx="2">
                  <c:v>6758</c:v>
                </c:pt>
                <c:pt idx="3">
                  <c:v>8448</c:v>
                </c:pt>
                <c:pt idx="4">
                  <c:v>10560</c:v>
                </c:pt>
                <c:pt idx="5">
                  <c:v>13200</c:v>
                </c:pt>
                <c:pt idx="6">
                  <c:v>16500</c:v>
                </c:pt>
                <c:pt idx="7">
                  <c:v>20625</c:v>
                </c:pt>
                <c:pt idx="8">
                  <c:v>25781</c:v>
                </c:pt>
                <c:pt idx="9">
                  <c:v>32226</c:v>
                </c:pt>
                <c:pt idx="10">
                  <c:v>40283</c:v>
                </c:pt>
                <c:pt idx="11">
                  <c:v>50354</c:v>
                </c:pt>
              </c:numCache>
            </c:numRef>
          </c:val>
          <c:extLst>
            <c:ext xmlns:c16="http://schemas.microsoft.com/office/drawing/2014/chart" uri="{C3380CC4-5D6E-409C-BE32-E72D297353CC}">
              <c16:uniqueId val="{00000001-DE48-4477-8A3D-91B589BF7779}"/>
            </c:ext>
          </c:extLst>
        </c:ser>
        <c:dLbls>
          <c:showLegendKey val="0"/>
          <c:showVal val="0"/>
          <c:showCatName val="0"/>
          <c:showSerName val="0"/>
          <c:showPercent val="0"/>
          <c:showBubbleSize val="0"/>
        </c:dLbls>
        <c:gapWidth val="150"/>
        <c:overlap val="100"/>
        <c:axId val="112702096"/>
        <c:axId val="607604544"/>
      </c:barChart>
      <c:catAx>
        <c:axId val="1127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7604544"/>
        <c:crosses val="autoZero"/>
        <c:auto val="1"/>
        <c:lblAlgn val="ctr"/>
        <c:lblOffset val="100"/>
        <c:noMultiLvlLbl val="0"/>
      </c:catAx>
      <c:valAx>
        <c:axId val="6076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a:t>
                </a:r>
                <a:r>
                  <a:rPr lang="es-MX" baseline="0"/>
                  <a:t> de clientes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70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Investment, total capital and 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'Contigo A Part 1'!$I$1</c:f>
              <c:strCache>
                <c:ptCount val="1"/>
                <c:pt idx="0">
                  <c:v>Investment</c:v>
                </c:pt>
              </c:strCache>
            </c:strRef>
          </c:tx>
          <c:spPr>
            <a:solidFill>
              <a:srgbClr val="BDFFA1"/>
            </a:solidFill>
            <a:ln>
              <a:noFill/>
            </a:ln>
            <a:effectLst/>
          </c:spPr>
          <c:invertIfNegative val="0"/>
          <c:val>
            <c:numRef>
              <c:f>'Contigo A Part 1'!$I$2:$I$13</c:f>
              <c:numCache>
                <c:formatCode>_("$"* #,##0.00_);_("$"* \(#,##0.00\);_("$"* "-"??_);_(@_)</c:formatCode>
                <c:ptCount val="12"/>
                <c:pt idx="0">
                  <c:v>5000000</c:v>
                </c:pt>
                <c:pt idx="1">
                  <c:v>5575000</c:v>
                </c:pt>
                <c:pt idx="2">
                  <c:v>6969000</c:v>
                </c:pt>
                <c:pt idx="3">
                  <c:v>8711000</c:v>
                </c:pt>
                <c:pt idx="4">
                  <c:v>10890000</c:v>
                </c:pt>
                <c:pt idx="5">
                  <c:v>13612000</c:v>
                </c:pt>
                <c:pt idx="6">
                  <c:v>17015000</c:v>
                </c:pt>
                <c:pt idx="7">
                  <c:v>21269000</c:v>
                </c:pt>
                <c:pt idx="8">
                  <c:v>26586000</c:v>
                </c:pt>
                <c:pt idx="9">
                  <c:v>33232000</c:v>
                </c:pt>
                <c:pt idx="10">
                  <c:v>41540000</c:v>
                </c:pt>
                <c:pt idx="11">
                  <c:v>51926000</c:v>
                </c:pt>
              </c:numCache>
            </c:numRef>
          </c:val>
          <c:extLst>
            <c:ext xmlns:c16="http://schemas.microsoft.com/office/drawing/2014/chart" uri="{C3380CC4-5D6E-409C-BE32-E72D297353CC}">
              <c16:uniqueId val="{00000000-1108-429F-8E88-9C6305DBE9AC}"/>
            </c:ext>
          </c:extLst>
        </c:ser>
        <c:ser>
          <c:idx val="1"/>
          <c:order val="1"/>
          <c:tx>
            <c:strRef>
              <c:f>'Contigo A Part 1'!$Q$1</c:f>
              <c:strCache>
                <c:ptCount val="1"/>
                <c:pt idx="0">
                  <c:v>Final Capital</c:v>
                </c:pt>
              </c:strCache>
            </c:strRef>
          </c:tx>
          <c:spPr>
            <a:solidFill>
              <a:srgbClr val="FF94D7"/>
            </a:solidFill>
            <a:ln>
              <a:noFill/>
            </a:ln>
            <a:effectLst/>
          </c:spPr>
          <c:invertIfNegative val="0"/>
          <c:val>
            <c:numRef>
              <c:f>'Contigo A Part 1'!$Q$2:$Q$13</c:f>
              <c:numCache>
                <c:formatCode>_("$"* #,##0.00_);_("$"* \(#,##0.00\);_("$"* "-"??_);_(@_)</c:formatCode>
                <c:ptCount val="12"/>
                <c:pt idx="0">
                  <c:v>4823750</c:v>
                </c:pt>
                <c:pt idx="1">
                  <c:v>6029400</c:v>
                </c:pt>
                <c:pt idx="2">
                  <c:v>7537310</c:v>
                </c:pt>
                <c:pt idx="3">
                  <c:v>9422220</c:v>
                </c:pt>
                <c:pt idx="4">
                  <c:v>11777760</c:v>
                </c:pt>
                <c:pt idx="5">
                  <c:v>14722200</c:v>
                </c:pt>
                <c:pt idx="6">
                  <c:v>18402750</c:v>
                </c:pt>
                <c:pt idx="7">
                  <c:v>23003430</c:v>
                </c:pt>
                <c:pt idx="8">
                  <c:v>28754000</c:v>
                </c:pt>
                <c:pt idx="9">
                  <c:v>35942220</c:v>
                </c:pt>
                <c:pt idx="10">
                  <c:v>44928350</c:v>
                </c:pt>
                <c:pt idx="11">
                  <c:v>56160710</c:v>
                </c:pt>
              </c:numCache>
            </c:numRef>
          </c:val>
          <c:extLst>
            <c:ext xmlns:c16="http://schemas.microsoft.com/office/drawing/2014/chart" uri="{C3380CC4-5D6E-409C-BE32-E72D297353CC}">
              <c16:uniqueId val="{00000001-1108-429F-8E88-9C6305DBE9AC}"/>
            </c:ext>
          </c:extLst>
        </c:ser>
        <c:dLbls>
          <c:showLegendKey val="0"/>
          <c:showVal val="0"/>
          <c:showCatName val="0"/>
          <c:showSerName val="0"/>
          <c:showPercent val="0"/>
          <c:showBubbleSize val="0"/>
        </c:dLbls>
        <c:gapWidth val="219"/>
        <c:overlap val="-27"/>
        <c:axId val="989557552"/>
        <c:axId val="598955632"/>
      </c:barChart>
      <c:lineChart>
        <c:grouping val="standard"/>
        <c:varyColors val="0"/>
        <c:ser>
          <c:idx val="2"/>
          <c:order val="2"/>
          <c:tx>
            <c:strRef>
              <c:f>'Contigo A Part 1'!$R$1</c:f>
              <c:strCache>
                <c:ptCount val="1"/>
                <c:pt idx="0">
                  <c:v>Funding</c:v>
                </c:pt>
              </c:strCache>
            </c:strRef>
          </c:tx>
          <c:spPr>
            <a:ln w="28575" cap="rnd">
              <a:solidFill>
                <a:srgbClr val="68F2EB"/>
              </a:solidFill>
              <a:round/>
            </a:ln>
            <a:effectLst/>
          </c:spPr>
          <c:marker>
            <c:symbol val="none"/>
          </c:marker>
          <c:val>
            <c:numRef>
              <c:f>'Contigo A Part 1'!$R$2:$R$13</c:f>
              <c:numCache>
                <c:formatCode>_("$"* #,##0.00_);_("$"* \(#,##0.00\);_("$"* "-"??_);_(@_)</c:formatCode>
                <c:ptCount val="12"/>
                <c:pt idx="1">
                  <c:v>751250</c:v>
                </c:pt>
                <c:pt idx="2">
                  <c:v>939600</c:v>
                </c:pt>
                <c:pt idx="3">
                  <c:v>1173690</c:v>
                </c:pt>
                <c:pt idx="4">
                  <c:v>1467780</c:v>
                </c:pt>
                <c:pt idx="5">
                  <c:v>1834240</c:v>
                </c:pt>
                <c:pt idx="6">
                  <c:v>2292800</c:v>
                </c:pt>
                <c:pt idx="7">
                  <c:v>2866250</c:v>
                </c:pt>
                <c:pt idx="8">
                  <c:v>3582570</c:v>
                </c:pt>
                <c:pt idx="9">
                  <c:v>4478000</c:v>
                </c:pt>
                <c:pt idx="10">
                  <c:v>5597780</c:v>
                </c:pt>
                <c:pt idx="11">
                  <c:v>6997650</c:v>
                </c:pt>
              </c:numCache>
            </c:numRef>
          </c:val>
          <c:smooth val="0"/>
          <c:extLst>
            <c:ext xmlns:c16="http://schemas.microsoft.com/office/drawing/2014/chart" uri="{C3380CC4-5D6E-409C-BE32-E72D297353CC}">
              <c16:uniqueId val="{00000002-1108-429F-8E88-9C6305DBE9AC}"/>
            </c:ext>
          </c:extLst>
        </c:ser>
        <c:dLbls>
          <c:showLegendKey val="0"/>
          <c:showVal val="0"/>
          <c:showCatName val="0"/>
          <c:showSerName val="0"/>
          <c:showPercent val="0"/>
          <c:showBubbleSize val="0"/>
        </c:dLbls>
        <c:marker val="1"/>
        <c:smooth val="0"/>
        <c:axId val="989557552"/>
        <c:axId val="598955632"/>
      </c:lineChart>
      <c:catAx>
        <c:axId val="9895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8955632"/>
        <c:crosses val="autoZero"/>
        <c:auto val="1"/>
        <c:lblAlgn val="ctr"/>
        <c:lblOffset val="100"/>
        <c:noMultiLvlLbl val="0"/>
      </c:catAx>
      <c:valAx>
        <c:axId val="598955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955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DQ</a:t>
            </a:r>
            <a:r>
              <a:rPr lang="es-MX" baseline="0"/>
              <a:t> Losses vs Net Income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'Contigo A Part 1'!$M$1</c:f>
              <c:strCache>
                <c:ptCount val="1"/>
                <c:pt idx="0">
                  <c:v>DQ Losses</c:v>
                </c:pt>
              </c:strCache>
            </c:strRef>
          </c:tx>
          <c:spPr>
            <a:ln w="19050" cap="rnd">
              <a:solidFill>
                <a:srgbClr val="FF0000"/>
              </a:solidFill>
              <a:round/>
            </a:ln>
            <a:effectLst/>
          </c:spPr>
          <c:marker>
            <c:symbol val="circle"/>
            <c:size val="5"/>
            <c:spPr>
              <a:solidFill>
                <a:srgbClr val="FF0000"/>
              </a:solidFill>
              <a:ln w="9525">
                <a:solidFill>
                  <a:srgbClr val="C00000"/>
                </a:solidFill>
              </a:ln>
              <a:effectLst/>
            </c:spPr>
          </c:marker>
          <c:xVal>
            <c:numRef>
              <c:f>'Contigo A Part 1'!$B$2:$B$13</c:f>
              <c:numCache>
                <c:formatCode>General</c:formatCode>
                <c:ptCount val="12"/>
                <c:pt idx="0">
                  <c:v>5000</c:v>
                </c:pt>
                <c:pt idx="1">
                  <c:v>6250</c:v>
                </c:pt>
                <c:pt idx="2">
                  <c:v>7813</c:v>
                </c:pt>
                <c:pt idx="3">
                  <c:v>9766</c:v>
                </c:pt>
                <c:pt idx="4">
                  <c:v>12208</c:v>
                </c:pt>
                <c:pt idx="5">
                  <c:v>15260</c:v>
                </c:pt>
                <c:pt idx="6">
                  <c:v>19075</c:v>
                </c:pt>
                <c:pt idx="7">
                  <c:v>23844</c:v>
                </c:pt>
                <c:pt idx="8">
                  <c:v>29805</c:v>
                </c:pt>
                <c:pt idx="9">
                  <c:v>37256</c:v>
                </c:pt>
                <c:pt idx="10">
                  <c:v>46570</c:v>
                </c:pt>
                <c:pt idx="11">
                  <c:v>58213</c:v>
                </c:pt>
              </c:numCache>
            </c:numRef>
          </c:xVal>
          <c:yVal>
            <c:numRef>
              <c:f>'Contigo A Part 1'!$M$2:$M$13</c:f>
              <c:numCache>
                <c:formatCode>_("$"* #,##0.00_);_("$"* \(#,##0.00\);_("$"* "-"??_);_(@_)</c:formatCode>
                <c:ptCount val="12"/>
                <c:pt idx="0">
                  <c:v>675000</c:v>
                </c:pt>
                <c:pt idx="1">
                  <c:v>169000</c:v>
                </c:pt>
                <c:pt idx="2">
                  <c:v>211000</c:v>
                </c:pt>
                <c:pt idx="3">
                  <c:v>263000</c:v>
                </c:pt>
                <c:pt idx="4">
                  <c:v>330000</c:v>
                </c:pt>
                <c:pt idx="5">
                  <c:v>412000</c:v>
                </c:pt>
                <c:pt idx="6">
                  <c:v>515000</c:v>
                </c:pt>
                <c:pt idx="7">
                  <c:v>644000</c:v>
                </c:pt>
                <c:pt idx="8">
                  <c:v>805000</c:v>
                </c:pt>
                <c:pt idx="9">
                  <c:v>1006000</c:v>
                </c:pt>
                <c:pt idx="10">
                  <c:v>1257000</c:v>
                </c:pt>
                <c:pt idx="11">
                  <c:v>1572000</c:v>
                </c:pt>
              </c:numCache>
            </c:numRef>
          </c:yVal>
          <c:smooth val="1"/>
          <c:extLst>
            <c:ext xmlns:c16="http://schemas.microsoft.com/office/drawing/2014/chart" uri="{C3380CC4-5D6E-409C-BE32-E72D297353CC}">
              <c16:uniqueId val="{00000000-52F2-42C8-B8CD-8125FD89717A}"/>
            </c:ext>
          </c:extLst>
        </c:ser>
        <c:ser>
          <c:idx val="1"/>
          <c:order val="1"/>
          <c:tx>
            <c:strRef>
              <c:f>'Contigo A Part 1'!$P$1</c:f>
              <c:strCache>
                <c:ptCount val="1"/>
                <c:pt idx="0">
                  <c:v>Net Income</c:v>
                </c:pt>
              </c:strCache>
            </c:strRef>
          </c:tx>
          <c:spPr>
            <a:ln w="19050" cap="rnd">
              <a:solidFill>
                <a:srgbClr val="00B050"/>
              </a:solidFill>
              <a:round/>
            </a:ln>
            <a:effectLst/>
          </c:spPr>
          <c:marker>
            <c:symbol val="circle"/>
            <c:size val="5"/>
            <c:spPr>
              <a:solidFill>
                <a:srgbClr val="92D050"/>
              </a:solidFill>
              <a:ln w="9525">
                <a:solidFill>
                  <a:srgbClr val="00B050"/>
                </a:solidFill>
              </a:ln>
              <a:effectLst/>
            </c:spPr>
          </c:marker>
          <c:xVal>
            <c:numRef>
              <c:f>'Contigo A Part 1'!$B$2:$B$13</c:f>
              <c:numCache>
                <c:formatCode>General</c:formatCode>
                <c:ptCount val="12"/>
                <c:pt idx="0">
                  <c:v>5000</c:v>
                </c:pt>
                <c:pt idx="1">
                  <c:v>6250</c:v>
                </c:pt>
                <c:pt idx="2">
                  <c:v>7813</c:v>
                </c:pt>
                <c:pt idx="3">
                  <c:v>9766</c:v>
                </c:pt>
                <c:pt idx="4">
                  <c:v>12208</c:v>
                </c:pt>
                <c:pt idx="5">
                  <c:v>15260</c:v>
                </c:pt>
                <c:pt idx="6">
                  <c:v>19075</c:v>
                </c:pt>
                <c:pt idx="7">
                  <c:v>23844</c:v>
                </c:pt>
                <c:pt idx="8">
                  <c:v>29805</c:v>
                </c:pt>
                <c:pt idx="9">
                  <c:v>37256</c:v>
                </c:pt>
                <c:pt idx="10">
                  <c:v>46570</c:v>
                </c:pt>
                <c:pt idx="11">
                  <c:v>58213</c:v>
                </c:pt>
              </c:numCache>
            </c:numRef>
          </c:xVal>
          <c:yVal>
            <c:numRef>
              <c:f>'Contigo A Part 1'!$P$2:$P$13</c:f>
              <c:numCache>
                <c:formatCode>_("$"* #,##0.00_);_("$"* \(#,##0.00\);_("$"* "-"??_);_(@_)</c:formatCode>
                <c:ptCount val="12"/>
                <c:pt idx="0">
                  <c:v>-176250</c:v>
                </c:pt>
                <c:pt idx="1">
                  <c:v>454400</c:v>
                </c:pt>
                <c:pt idx="2">
                  <c:v>568310</c:v>
                </c:pt>
                <c:pt idx="3">
                  <c:v>711220</c:v>
                </c:pt>
                <c:pt idx="4">
                  <c:v>887760</c:v>
                </c:pt>
                <c:pt idx="5">
                  <c:v>1110200</c:v>
                </c:pt>
                <c:pt idx="6">
                  <c:v>1387750</c:v>
                </c:pt>
                <c:pt idx="7">
                  <c:v>1734430</c:v>
                </c:pt>
                <c:pt idx="8">
                  <c:v>2168000</c:v>
                </c:pt>
                <c:pt idx="9">
                  <c:v>2710220</c:v>
                </c:pt>
                <c:pt idx="10">
                  <c:v>3388350</c:v>
                </c:pt>
                <c:pt idx="11">
                  <c:v>4234710</c:v>
                </c:pt>
              </c:numCache>
            </c:numRef>
          </c:yVal>
          <c:smooth val="1"/>
          <c:extLst>
            <c:ext xmlns:c16="http://schemas.microsoft.com/office/drawing/2014/chart" uri="{C3380CC4-5D6E-409C-BE32-E72D297353CC}">
              <c16:uniqueId val="{00000001-52F2-42C8-B8CD-8125FD89717A}"/>
            </c:ext>
          </c:extLst>
        </c:ser>
        <c:dLbls>
          <c:showLegendKey val="0"/>
          <c:showVal val="0"/>
          <c:showCatName val="0"/>
          <c:showSerName val="0"/>
          <c:showPercent val="0"/>
          <c:showBubbleSize val="0"/>
        </c:dLbls>
        <c:axId val="723296208"/>
        <c:axId val="723433216"/>
      </c:scatterChart>
      <c:valAx>
        <c:axId val="723296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Number</a:t>
                </a:r>
                <a:r>
                  <a:rPr lang="es-MX" baseline="0"/>
                  <a:t> of clients per month</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3433216"/>
        <c:crosses val="autoZero"/>
        <c:crossBetween val="midCat"/>
      </c:valAx>
      <c:valAx>
        <c:axId val="723433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3296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Monthly</a:t>
            </a:r>
            <a:r>
              <a:rPr lang="es-MX" baseline="0"/>
              <a:t> Customer Growth</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stacked"/>
        <c:varyColors val="0"/>
        <c:ser>
          <c:idx val="0"/>
          <c:order val="0"/>
          <c:tx>
            <c:strRef>
              <c:f>'Contigo B Part 1'!$D$1</c:f>
              <c:strCache>
                <c:ptCount val="1"/>
                <c:pt idx="0">
                  <c:v>Total DQ Customers</c:v>
                </c:pt>
              </c:strCache>
            </c:strRef>
          </c:tx>
          <c:spPr>
            <a:solidFill>
              <a:srgbClr val="FF0000"/>
            </a:solidFill>
            <a:ln>
              <a:noFill/>
            </a:ln>
            <a:effectLst/>
          </c:spPr>
          <c:invertIfNegative val="0"/>
          <c:cat>
            <c:strRef>
              <c:f>'Contigo B Part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'Contigo B Part 1'!$D$2:$D$13</c:f>
              <c:numCache>
                <c:formatCode>General</c:formatCode>
                <c:ptCount val="12"/>
                <c:pt idx="0">
                  <c:v>800</c:v>
                </c:pt>
                <c:pt idx="1">
                  <c:v>880</c:v>
                </c:pt>
                <c:pt idx="2">
                  <c:v>968</c:v>
                </c:pt>
                <c:pt idx="3">
                  <c:v>1065</c:v>
                </c:pt>
                <c:pt idx="4">
                  <c:v>1171</c:v>
                </c:pt>
                <c:pt idx="5">
                  <c:v>1288</c:v>
                </c:pt>
                <c:pt idx="6">
                  <c:v>1417</c:v>
                </c:pt>
                <c:pt idx="7">
                  <c:v>1559</c:v>
                </c:pt>
                <c:pt idx="8">
                  <c:v>1715</c:v>
                </c:pt>
                <c:pt idx="9">
                  <c:v>1886</c:v>
                </c:pt>
                <c:pt idx="10">
                  <c:v>2075</c:v>
                </c:pt>
                <c:pt idx="11">
                  <c:v>2283</c:v>
                </c:pt>
              </c:numCache>
            </c:numRef>
          </c:val>
          <c:extLst>
            <c:ext xmlns:c16="http://schemas.microsoft.com/office/drawing/2014/chart" uri="{C3380CC4-5D6E-409C-BE32-E72D297353CC}">
              <c16:uniqueId val="{00000000-CEEA-43CB-803B-3835F5EBF03B}"/>
            </c:ext>
          </c:extLst>
        </c:ser>
        <c:ser>
          <c:idx val="1"/>
          <c:order val="1"/>
          <c:tx>
            <c:strRef>
              <c:f>'Contigo B Part 1'!$F$1</c:f>
              <c:strCache>
                <c:ptCount val="1"/>
                <c:pt idx="0">
                  <c:v>Effective Customers</c:v>
                </c:pt>
              </c:strCache>
            </c:strRef>
          </c:tx>
          <c:spPr>
            <a:solidFill>
              <a:schemeClr val="accent3">
                <a:lumMod val="60000"/>
                <a:lumOff val="40000"/>
              </a:schemeClr>
            </a:solidFill>
            <a:ln>
              <a:noFill/>
            </a:ln>
            <a:effectLst/>
          </c:spPr>
          <c:invertIfNegative val="0"/>
          <c:cat>
            <c:strRef>
              <c:f>'Contigo B Part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'Contigo B Part 1'!$F$2:$F$13</c:f>
              <c:numCache>
                <c:formatCode>General</c:formatCode>
                <c:ptCount val="12"/>
                <c:pt idx="0">
                  <c:v>9200</c:v>
                </c:pt>
                <c:pt idx="1">
                  <c:v>10120</c:v>
                </c:pt>
                <c:pt idx="2">
                  <c:v>11132</c:v>
                </c:pt>
                <c:pt idx="3">
                  <c:v>12245</c:v>
                </c:pt>
                <c:pt idx="4">
                  <c:v>13470</c:v>
                </c:pt>
                <c:pt idx="5">
                  <c:v>14817</c:v>
                </c:pt>
                <c:pt idx="6">
                  <c:v>16299</c:v>
                </c:pt>
                <c:pt idx="7">
                  <c:v>17929</c:v>
                </c:pt>
                <c:pt idx="8">
                  <c:v>19722</c:v>
                </c:pt>
                <c:pt idx="9">
                  <c:v>21695</c:v>
                </c:pt>
                <c:pt idx="10">
                  <c:v>23864</c:v>
                </c:pt>
                <c:pt idx="11">
                  <c:v>26250</c:v>
                </c:pt>
              </c:numCache>
            </c:numRef>
          </c:val>
          <c:extLst>
            <c:ext xmlns:c16="http://schemas.microsoft.com/office/drawing/2014/chart" uri="{C3380CC4-5D6E-409C-BE32-E72D297353CC}">
              <c16:uniqueId val="{00000001-CEEA-43CB-803B-3835F5EBF03B}"/>
            </c:ext>
          </c:extLst>
        </c:ser>
        <c:dLbls>
          <c:showLegendKey val="0"/>
          <c:showVal val="0"/>
          <c:showCatName val="0"/>
          <c:showSerName val="0"/>
          <c:showPercent val="0"/>
          <c:showBubbleSize val="0"/>
        </c:dLbls>
        <c:gapWidth val="150"/>
        <c:overlap val="100"/>
        <c:axId val="112702096"/>
        <c:axId val="607604544"/>
      </c:barChart>
      <c:catAx>
        <c:axId val="1127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7604544"/>
        <c:crosses val="autoZero"/>
        <c:auto val="1"/>
        <c:lblAlgn val="ctr"/>
        <c:lblOffset val="100"/>
        <c:noMultiLvlLbl val="0"/>
      </c:catAx>
      <c:valAx>
        <c:axId val="6076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a:t>
                </a:r>
                <a:r>
                  <a:rPr lang="es-MX" baseline="0"/>
                  <a:t> de clientes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70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aseline="0"/>
              <a:t>Initial Investment, total capital and 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'Contigo B Part 1'!$I$1</c:f>
              <c:strCache>
                <c:ptCount val="1"/>
                <c:pt idx="0">
                  <c:v>Investment</c:v>
                </c:pt>
              </c:strCache>
            </c:strRef>
          </c:tx>
          <c:spPr>
            <a:solidFill>
              <a:srgbClr val="BDFFA1"/>
            </a:solidFill>
            <a:ln>
              <a:noFill/>
            </a:ln>
            <a:effectLst/>
          </c:spPr>
          <c:invertIfNegative val="0"/>
          <c:val>
            <c:numRef>
              <c:f>'Contigo B Part 1'!$I$2:$I$13</c:f>
              <c:numCache>
                <c:formatCode>_("$"* #,##0.00_);_("$"* \(#,##0.00\);_("$"* "-"??_);_(@_)</c:formatCode>
                <c:ptCount val="12"/>
                <c:pt idx="0">
                  <c:v>20000000</c:v>
                </c:pt>
                <c:pt idx="1">
                  <c:v>20400000</c:v>
                </c:pt>
                <c:pt idx="2">
                  <c:v>22440000</c:v>
                </c:pt>
                <c:pt idx="3">
                  <c:v>24684000</c:v>
                </c:pt>
                <c:pt idx="4">
                  <c:v>27152000</c:v>
                </c:pt>
                <c:pt idx="5">
                  <c:v>29868000</c:v>
                </c:pt>
                <c:pt idx="6">
                  <c:v>32856000</c:v>
                </c:pt>
                <c:pt idx="7">
                  <c:v>36142000</c:v>
                </c:pt>
                <c:pt idx="8">
                  <c:v>39756000</c:v>
                </c:pt>
                <c:pt idx="9">
                  <c:v>43732000</c:v>
                </c:pt>
                <c:pt idx="10">
                  <c:v>48106000</c:v>
                </c:pt>
                <c:pt idx="11">
                  <c:v>52916000</c:v>
                </c:pt>
              </c:numCache>
            </c:numRef>
          </c:val>
          <c:extLst>
            <c:ext xmlns:c16="http://schemas.microsoft.com/office/drawing/2014/chart" uri="{C3380CC4-5D6E-409C-BE32-E72D297353CC}">
              <c16:uniqueId val="{00000000-6E19-4628-A63A-13BE1A2BD57F}"/>
            </c:ext>
          </c:extLst>
        </c:ser>
        <c:ser>
          <c:idx val="1"/>
          <c:order val="1"/>
          <c:tx>
            <c:strRef>
              <c:f>'Contigo B Part 1'!$Q$1</c:f>
              <c:strCache>
                <c:ptCount val="1"/>
                <c:pt idx="0">
                  <c:v>Final Capital</c:v>
                </c:pt>
              </c:strCache>
            </c:strRef>
          </c:tx>
          <c:spPr>
            <a:solidFill>
              <a:srgbClr val="FF94D7"/>
            </a:solidFill>
            <a:ln>
              <a:noFill/>
            </a:ln>
            <a:effectLst/>
          </c:spPr>
          <c:invertIfNegative val="0"/>
          <c:val>
            <c:numRef>
              <c:f>'Contigo B Part 1'!$Q$2:$Q$13</c:f>
              <c:numCache>
                <c:formatCode>_("$"* #,##0.00_);_("$"* \(#,##0.00\);_("$"* "-"??_);_(@_)</c:formatCode>
                <c:ptCount val="12"/>
                <c:pt idx="0">
                  <c:v>19940000</c:v>
                </c:pt>
                <c:pt idx="1">
                  <c:v>21934000</c:v>
                </c:pt>
                <c:pt idx="2">
                  <c:v>24127400</c:v>
                </c:pt>
                <c:pt idx="3">
                  <c:v>26539700</c:v>
                </c:pt>
                <c:pt idx="4">
                  <c:v>29194770</c:v>
                </c:pt>
                <c:pt idx="5">
                  <c:v>32114250</c:v>
                </c:pt>
                <c:pt idx="6">
                  <c:v>35326320</c:v>
                </c:pt>
                <c:pt idx="7">
                  <c:v>38859160</c:v>
                </c:pt>
                <c:pt idx="8">
                  <c:v>42745290</c:v>
                </c:pt>
                <c:pt idx="9">
                  <c:v>47021570</c:v>
                </c:pt>
                <c:pt idx="10">
                  <c:v>51722630</c:v>
                </c:pt>
                <c:pt idx="11">
                  <c:v>56894010</c:v>
                </c:pt>
              </c:numCache>
            </c:numRef>
          </c:val>
          <c:extLst>
            <c:ext xmlns:c16="http://schemas.microsoft.com/office/drawing/2014/chart" uri="{C3380CC4-5D6E-409C-BE32-E72D297353CC}">
              <c16:uniqueId val="{00000001-6E19-4628-A63A-13BE1A2BD57F}"/>
            </c:ext>
          </c:extLst>
        </c:ser>
        <c:dLbls>
          <c:showLegendKey val="0"/>
          <c:showVal val="0"/>
          <c:showCatName val="0"/>
          <c:showSerName val="0"/>
          <c:showPercent val="0"/>
          <c:showBubbleSize val="0"/>
        </c:dLbls>
        <c:gapWidth val="219"/>
        <c:overlap val="-27"/>
        <c:axId val="989557552"/>
        <c:axId val="598955632"/>
      </c:barChart>
      <c:lineChart>
        <c:grouping val="standard"/>
        <c:varyColors val="0"/>
        <c:ser>
          <c:idx val="2"/>
          <c:order val="2"/>
          <c:tx>
            <c:strRef>
              <c:f>'Contigo B Part 1'!$R$1</c:f>
              <c:strCache>
                <c:ptCount val="1"/>
                <c:pt idx="0">
                  <c:v>Funding</c:v>
                </c:pt>
              </c:strCache>
            </c:strRef>
          </c:tx>
          <c:spPr>
            <a:ln w="28575" cap="rnd">
              <a:solidFill>
                <a:srgbClr val="68F2EB"/>
              </a:solidFill>
              <a:round/>
            </a:ln>
            <a:effectLst/>
          </c:spPr>
          <c:marker>
            <c:symbol val="none"/>
          </c:marker>
          <c:val>
            <c:numRef>
              <c:f>'Contigo B Part 1'!$R$2:$R$13</c:f>
              <c:numCache>
                <c:formatCode>_("$"* #,##0.00_);_("$"* \(#,##0.00\);_("$"* "-"??_);_(@_)</c:formatCode>
                <c:ptCount val="12"/>
                <c:pt idx="1">
                  <c:v>460000</c:v>
                </c:pt>
                <c:pt idx="2">
                  <c:v>506000</c:v>
                </c:pt>
                <c:pt idx="3">
                  <c:v>556600</c:v>
                </c:pt>
                <c:pt idx="4">
                  <c:v>612300</c:v>
                </c:pt>
                <c:pt idx="5">
                  <c:v>673230</c:v>
                </c:pt>
                <c:pt idx="6">
                  <c:v>741750</c:v>
                </c:pt>
                <c:pt idx="7">
                  <c:v>815680</c:v>
                </c:pt>
                <c:pt idx="8">
                  <c:v>896840</c:v>
                </c:pt>
                <c:pt idx="9">
                  <c:v>986710</c:v>
                </c:pt>
                <c:pt idx="10">
                  <c:v>1084430</c:v>
                </c:pt>
                <c:pt idx="11">
                  <c:v>1193370</c:v>
                </c:pt>
              </c:numCache>
            </c:numRef>
          </c:val>
          <c:smooth val="0"/>
          <c:extLst>
            <c:ext xmlns:c16="http://schemas.microsoft.com/office/drawing/2014/chart" uri="{C3380CC4-5D6E-409C-BE32-E72D297353CC}">
              <c16:uniqueId val="{00000002-6E19-4628-A63A-13BE1A2BD57F}"/>
            </c:ext>
          </c:extLst>
        </c:ser>
        <c:dLbls>
          <c:showLegendKey val="0"/>
          <c:showVal val="0"/>
          <c:showCatName val="0"/>
          <c:showSerName val="0"/>
          <c:showPercent val="0"/>
          <c:showBubbleSize val="0"/>
        </c:dLbls>
        <c:marker val="1"/>
        <c:smooth val="0"/>
        <c:axId val="989557552"/>
        <c:axId val="598955632"/>
      </c:lineChart>
      <c:catAx>
        <c:axId val="989557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8955632"/>
        <c:crosses val="autoZero"/>
        <c:auto val="1"/>
        <c:lblAlgn val="ctr"/>
        <c:lblOffset val="100"/>
        <c:noMultiLvlLbl val="0"/>
      </c:catAx>
      <c:valAx>
        <c:axId val="598955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955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a:t>
            </a:r>
            <a:r>
              <a:rPr lang="es-MX" baseline="0"/>
              <a:t>Q Losses vs Net Income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6332695453311089"/>
          <c:y val="0.16819756517864093"/>
          <c:w val="0.76654317769605729"/>
          <c:h val="0.54038586926636134"/>
        </c:manualLayout>
      </c:layout>
      <c:scatterChart>
        <c:scatterStyle val="lineMarker"/>
        <c:varyColors val="0"/>
        <c:ser>
          <c:idx val="0"/>
          <c:order val="0"/>
          <c:tx>
            <c:strRef>
              <c:f>'Contigo B Part 1'!$M$1</c:f>
              <c:strCache>
                <c:ptCount val="1"/>
                <c:pt idx="0">
                  <c:v>DQ Losses</c:v>
                </c:pt>
              </c:strCache>
            </c:strRef>
          </c:tx>
          <c:spPr>
            <a:ln w="19050" cap="rnd">
              <a:solidFill>
                <a:srgbClr val="FF0000"/>
              </a:solidFill>
              <a:round/>
            </a:ln>
            <a:effectLst/>
          </c:spPr>
          <c:marker>
            <c:symbol val="circle"/>
            <c:size val="5"/>
            <c:spPr>
              <a:solidFill>
                <a:srgbClr val="FF0000"/>
              </a:solidFill>
              <a:ln w="9525">
                <a:solidFill>
                  <a:srgbClr val="C00000"/>
                </a:solidFill>
              </a:ln>
              <a:effectLst/>
            </c:spPr>
          </c:marker>
          <c:xVal>
            <c:numRef>
              <c:f>'Contigo B Part 1'!$B$2:$B$13</c:f>
              <c:numCache>
                <c:formatCode>General</c:formatCode>
                <c:ptCount val="12"/>
                <c:pt idx="0">
                  <c:v>10000</c:v>
                </c:pt>
                <c:pt idx="1">
                  <c:v>11000</c:v>
                </c:pt>
                <c:pt idx="2">
                  <c:v>12100</c:v>
                </c:pt>
                <c:pt idx="3">
                  <c:v>13310</c:v>
                </c:pt>
                <c:pt idx="4">
                  <c:v>14641</c:v>
                </c:pt>
                <c:pt idx="5">
                  <c:v>16105</c:v>
                </c:pt>
                <c:pt idx="6">
                  <c:v>17716</c:v>
                </c:pt>
                <c:pt idx="7">
                  <c:v>19488</c:v>
                </c:pt>
                <c:pt idx="8">
                  <c:v>21437</c:v>
                </c:pt>
                <c:pt idx="9">
                  <c:v>23581</c:v>
                </c:pt>
                <c:pt idx="10">
                  <c:v>25939</c:v>
                </c:pt>
                <c:pt idx="11">
                  <c:v>28533</c:v>
                </c:pt>
              </c:numCache>
            </c:numRef>
          </c:xVal>
          <c:yVal>
            <c:numRef>
              <c:f>'Contigo B Part 1'!$M$2:$M$13</c:f>
              <c:numCache>
                <c:formatCode>_("$"* #,##0.00_);_("$"* \(#,##0.00\);_("$"* "-"??_);_(@_)</c:formatCode>
                <c:ptCount val="12"/>
                <c:pt idx="0">
                  <c:v>1600000</c:v>
                </c:pt>
                <c:pt idx="1">
                  <c:v>160000</c:v>
                </c:pt>
                <c:pt idx="2">
                  <c:v>176000</c:v>
                </c:pt>
                <c:pt idx="3">
                  <c:v>194000</c:v>
                </c:pt>
                <c:pt idx="4">
                  <c:v>212000</c:v>
                </c:pt>
                <c:pt idx="5">
                  <c:v>234000</c:v>
                </c:pt>
                <c:pt idx="6">
                  <c:v>258000</c:v>
                </c:pt>
                <c:pt idx="7">
                  <c:v>284000</c:v>
                </c:pt>
                <c:pt idx="8">
                  <c:v>312000</c:v>
                </c:pt>
                <c:pt idx="9">
                  <c:v>342000</c:v>
                </c:pt>
                <c:pt idx="10">
                  <c:v>378000</c:v>
                </c:pt>
                <c:pt idx="11">
                  <c:v>416000</c:v>
                </c:pt>
              </c:numCache>
            </c:numRef>
          </c:yVal>
          <c:smooth val="0"/>
          <c:extLst>
            <c:ext xmlns:c16="http://schemas.microsoft.com/office/drawing/2014/chart" uri="{C3380CC4-5D6E-409C-BE32-E72D297353CC}">
              <c16:uniqueId val="{00000000-9A49-4A16-9D05-D97997AE040E}"/>
            </c:ext>
          </c:extLst>
        </c:ser>
        <c:ser>
          <c:idx val="1"/>
          <c:order val="1"/>
          <c:tx>
            <c:strRef>
              <c:f>'Contigo B Part 1'!$P$1</c:f>
              <c:strCache>
                <c:ptCount val="1"/>
                <c:pt idx="0">
                  <c:v>Net Income</c:v>
                </c:pt>
              </c:strCache>
            </c:strRef>
          </c:tx>
          <c:spPr>
            <a:ln w="19050" cap="rnd">
              <a:solidFill>
                <a:srgbClr val="92D050"/>
              </a:solidFill>
              <a:round/>
            </a:ln>
            <a:effectLst/>
          </c:spPr>
          <c:marker>
            <c:symbol val="circle"/>
            <c:size val="5"/>
            <c:spPr>
              <a:solidFill>
                <a:srgbClr val="92D050"/>
              </a:solidFill>
              <a:ln w="9525">
                <a:solidFill>
                  <a:srgbClr val="00B050"/>
                </a:solidFill>
              </a:ln>
              <a:effectLst/>
            </c:spPr>
          </c:marker>
          <c:xVal>
            <c:numRef>
              <c:f>'Contigo B Part 1'!$B$2:$B$13</c:f>
              <c:numCache>
                <c:formatCode>General</c:formatCode>
                <c:ptCount val="12"/>
                <c:pt idx="0">
                  <c:v>10000</c:v>
                </c:pt>
                <c:pt idx="1">
                  <c:v>11000</c:v>
                </c:pt>
                <c:pt idx="2">
                  <c:v>12100</c:v>
                </c:pt>
                <c:pt idx="3">
                  <c:v>13310</c:v>
                </c:pt>
                <c:pt idx="4">
                  <c:v>14641</c:v>
                </c:pt>
                <c:pt idx="5">
                  <c:v>16105</c:v>
                </c:pt>
                <c:pt idx="6">
                  <c:v>17716</c:v>
                </c:pt>
                <c:pt idx="7">
                  <c:v>19488</c:v>
                </c:pt>
                <c:pt idx="8">
                  <c:v>21437</c:v>
                </c:pt>
                <c:pt idx="9">
                  <c:v>23581</c:v>
                </c:pt>
                <c:pt idx="10">
                  <c:v>25939</c:v>
                </c:pt>
                <c:pt idx="11">
                  <c:v>28533</c:v>
                </c:pt>
              </c:numCache>
            </c:numRef>
          </c:xVal>
          <c:yVal>
            <c:numRef>
              <c:f>'Contigo B Part 1'!$P$2:$P$13</c:f>
              <c:numCache>
                <c:formatCode>_("$"* #,##0.00_);_("$"* \(#,##0.00\);_("$"* "-"??_);_(@_)</c:formatCode>
                <c:ptCount val="12"/>
                <c:pt idx="0">
                  <c:v>-60000</c:v>
                </c:pt>
                <c:pt idx="1">
                  <c:v>1534000</c:v>
                </c:pt>
                <c:pt idx="2">
                  <c:v>1687400</c:v>
                </c:pt>
                <c:pt idx="3">
                  <c:v>1855700</c:v>
                </c:pt>
                <c:pt idx="4">
                  <c:v>2042770</c:v>
                </c:pt>
                <c:pt idx="5">
                  <c:v>2246250</c:v>
                </c:pt>
                <c:pt idx="6">
                  <c:v>2470320</c:v>
                </c:pt>
                <c:pt idx="7">
                  <c:v>2717160</c:v>
                </c:pt>
                <c:pt idx="8">
                  <c:v>2989290</c:v>
                </c:pt>
                <c:pt idx="9">
                  <c:v>3289570</c:v>
                </c:pt>
                <c:pt idx="10">
                  <c:v>3616630</c:v>
                </c:pt>
                <c:pt idx="11">
                  <c:v>3978010</c:v>
                </c:pt>
              </c:numCache>
            </c:numRef>
          </c:yVal>
          <c:smooth val="0"/>
          <c:extLst>
            <c:ext xmlns:c16="http://schemas.microsoft.com/office/drawing/2014/chart" uri="{C3380CC4-5D6E-409C-BE32-E72D297353CC}">
              <c16:uniqueId val="{00000001-9A49-4A16-9D05-D97997AE040E}"/>
            </c:ext>
          </c:extLst>
        </c:ser>
        <c:dLbls>
          <c:showLegendKey val="0"/>
          <c:showVal val="0"/>
          <c:showCatName val="0"/>
          <c:showSerName val="0"/>
          <c:showPercent val="0"/>
          <c:showBubbleSize val="0"/>
        </c:dLbls>
        <c:axId val="1137997264"/>
        <c:axId val="759509264"/>
      </c:scatterChart>
      <c:valAx>
        <c:axId val="1137997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Number</a:t>
                </a:r>
                <a:r>
                  <a:rPr lang="es-MX" baseline="0"/>
                  <a:t> of customers per month</a:t>
                </a:r>
                <a:endParaRPr lang="es-MX"/>
              </a:p>
            </c:rich>
          </c:tx>
          <c:layout>
            <c:manualLayout>
              <c:xMode val="edge"/>
              <c:yMode val="edge"/>
              <c:x val="0.34498161644367681"/>
              <c:y val="0.804637972615222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9509264"/>
        <c:crosses val="autoZero"/>
        <c:crossBetween val="midCat"/>
      </c:valAx>
      <c:valAx>
        <c:axId val="759509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997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Campaign</a:t>
            </a:r>
            <a:r>
              <a:rPr lang="es-MX" baseline="0"/>
              <a:t> Net Income vs Original Net Income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'Contigo A Part 2'!$S$1</c:f>
              <c:strCache>
                <c:ptCount val="1"/>
                <c:pt idx="0">
                  <c:v> Campaign Net Income </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strRef>
              <c:f>'Contigo A Part 2'!$A$2:$A$13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'Contigo A Part 2'!$S$2:$S$13</c:f>
              <c:numCache>
                <c:formatCode>_("$"* #,##0.00_);_("$"* \(#,##0.00\);_("$"* "-"??_);_(@_)</c:formatCode>
                <c:ptCount val="12"/>
                <c:pt idx="0">
                  <c:v>-145800</c:v>
                </c:pt>
                <c:pt idx="1">
                  <c:v>139290</c:v>
                </c:pt>
                <c:pt idx="2">
                  <c:v>335310</c:v>
                </c:pt>
                <c:pt idx="3">
                  <c:v>500540</c:v>
                </c:pt>
                <c:pt idx="4">
                  <c:v>665770</c:v>
                </c:pt>
                <c:pt idx="5">
                  <c:v>852820</c:v>
                </c:pt>
                <c:pt idx="6">
                  <c:v>1075720</c:v>
                </c:pt>
                <c:pt idx="7">
                  <c:v>1349970</c:v>
                </c:pt>
                <c:pt idx="8">
                  <c:v>1689480</c:v>
                </c:pt>
                <c:pt idx="9">
                  <c:v>2113730</c:v>
                </c:pt>
                <c:pt idx="10">
                  <c:v>2643670</c:v>
                </c:pt>
                <c:pt idx="11">
                  <c:v>3304610</c:v>
                </c:pt>
              </c:numCache>
            </c:numRef>
          </c:yVal>
          <c:smooth val="1"/>
          <c:extLst>
            <c:ext xmlns:c16="http://schemas.microsoft.com/office/drawing/2014/chart" uri="{C3380CC4-5D6E-409C-BE32-E72D297353CC}">
              <c16:uniqueId val="{00000000-A981-4C02-9395-072A4A766631}"/>
            </c:ext>
          </c:extLst>
        </c:ser>
        <c:ser>
          <c:idx val="1"/>
          <c:order val="1"/>
          <c:tx>
            <c:strRef>
              <c:f>'Contigo A Part 2'!$T$1</c:f>
              <c:strCache>
                <c:ptCount val="1"/>
                <c:pt idx="0">
                  <c:v> Net Income </c:v>
                </c:pt>
              </c:strCache>
            </c:strRef>
          </c:tx>
          <c:spPr>
            <a:ln w="19050" cap="rnd">
              <a:solidFill>
                <a:schemeClr val="accent1">
                  <a:lumMod val="75000"/>
                </a:schemeClr>
              </a:solidFill>
              <a:round/>
            </a:ln>
            <a:effectLst/>
          </c:spPr>
          <c:marker>
            <c:symbol val="circle"/>
            <c:size val="5"/>
            <c:spPr>
              <a:solidFill>
                <a:schemeClr val="tx2">
                  <a:lumMod val="75000"/>
                  <a:lumOff val="25000"/>
                </a:schemeClr>
              </a:solidFill>
              <a:ln w="9525">
                <a:solidFill>
                  <a:schemeClr val="tx2">
                    <a:lumMod val="75000"/>
                    <a:lumOff val="25000"/>
                  </a:schemeClr>
                </a:solidFill>
              </a:ln>
              <a:effectLst/>
            </c:spPr>
          </c:marker>
          <c:xVal>
            <c:strRef>
              <c:f>'Contigo A Part 2'!$A$2:$A$13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'Contigo A Part 2'!$T$2:$T$13</c:f>
              <c:numCache>
                <c:formatCode>_("$"* #,##0.00_);_("$"* \(#,##0.00\);_("$"* "-"??_);_(@_)</c:formatCode>
                <c:ptCount val="12"/>
                <c:pt idx="0">
                  <c:v>-176250</c:v>
                </c:pt>
                <c:pt idx="1">
                  <c:v>454400</c:v>
                </c:pt>
                <c:pt idx="2">
                  <c:v>568310</c:v>
                </c:pt>
                <c:pt idx="3">
                  <c:v>711220</c:v>
                </c:pt>
                <c:pt idx="4">
                  <c:v>887760</c:v>
                </c:pt>
                <c:pt idx="5">
                  <c:v>1110200</c:v>
                </c:pt>
                <c:pt idx="6">
                  <c:v>1387750</c:v>
                </c:pt>
                <c:pt idx="7">
                  <c:v>1734430</c:v>
                </c:pt>
                <c:pt idx="8">
                  <c:v>2168000</c:v>
                </c:pt>
                <c:pt idx="9">
                  <c:v>2710220</c:v>
                </c:pt>
                <c:pt idx="10">
                  <c:v>3388350</c:v>
                </c:pt>
                <c:pt idx="11">
                  <c:v>4234710</c:v>
                </c:pt>
              </c:numCache>
            </c:numRef>
          </c:yVal>
          <c:smooth val="1"/>
          <c:extLst>
            <c:ext xmlns:c16="http://schemas.microsoft.com/office/drawing/2014/chart" uri="{C3380CC4-5D6E-409C-BE32-E72D297353CC}">
              <c16:uniqueId val="{00000001-A981-4C02-9395-072A4A766631}"/>
            </c:ext>
          </c:extLst>
        </c:ser>
        <c:dLbls>
          <c:showLegendKey val="0"/>
          <c:showVal val="0"/>
          <c:showCatName val="0"/>
          <c:showSerName val="0"/>
          <c:showPercent val="0"/>
          <c:showBubbleSize val="0"/>
        </c:dLbls>
        <c:axId val="709261776"/>
        <c:axId val="1135867376"/>
      </c:scatterChart>
      <c:valAx>
        <c:axId val="709261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5867376"/>
        <c:crosses val="autoZero"/>
        <c:crossBetween val="midCat"/>
      </c:valAx>
      <c:valAx>
        <c:axId val="11358673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9261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211667</xdr:colOff>
      <xdr:row>14</xdr:row>
      <xdr:rowOff>2005</xdr:rowOff>
    </xdr:from>
    <xdr:to>
      <xdr:col>7</xdr:col>
      <xdr:colOff>330869</xdr:colOff>
      <xdr:row>31</xdr:row>
      <xdr:rowOff>148167</xdr:rowOff>
    </xdr:to>
    <xdr:graphicFrame macro="">
      <xdr:nvGraphicFramePr>
        <xdr:cNvPr id="7" name="Gráfico 6">
          <a:extLst>
            <a:ext uri="{FF2B5EF4-FFF2-40B4-BE49-F238E27FC236}">
              <a16:creationId xmlns:a16="http://schemas.microsoft.com/office/drawing/2014/main" id="{17623324-04CF-10A1-593E-4BA20CFCF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232833</xdr:colOff>
      <xdr:row>13</xdr:row>
      <xdr:rowOff>168274</xdr:rowOff>
    </xdr:from>
    <xdr:to>
      <xdr:col>17</xdr:col>
      <xdr:colOff>105833</xdr:colOff>
      <xdr:row>32</xdr:row>
      <xdr:rowOff>84666</xdr:rowOff>
    </xdr:to>
    <xdr:graphicFrame macro="">
      <xdr:nvGraphicFramePr>
        <xdr:cNvPr id="11" name="Gráfico 10">
          <a:extLst>
            <a:ext uri="{FF2B5EF4-FFF2-40B4-BE49-F238E27FC236}">
              <a16:creationId xmlns:a16="http://schemas.microsoft.com/office/drawing/2014/main" id="{82942D57-484B-1F8C-2E28-F326B1427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491506</xdr:colOff>
      <xdr:row>14</xdr:row>
      <xdr:rowOff>6431</xdr:rowOff>
    </xdr:from>
    <xdr:to>
      <xdr:col>12</xdr:col>
      <xdr:colOff>163285</xdr:colOff>
      <xdr:row>32</xdr:row>
      <xdr:rowOff>27214</xdr:rowOff>
    </xdr:to>
    <xdr:graphicFrame macro="">
      <xdr:nvGraphicFramePr>
        <xdr:cNvPr id="13" name="Gráfico 12">
          <a:extLst>
            <a:ext uri="{FF2B5EF4-FFF2-40B4-BE49-F238E27FC236}">
              <a16:creationId xmlns:a16="http://schemas.microsoft.com/office/drawing/2014/main" id="{DF0E74F2-06BB-C5A2-8F24-5C1FEFCF5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211667</xdr:colOff>
      <xdr:row>14</xdr:row>
      <xdr:rowOff>2005</xdr:rowOff>
    </xdr:from>
    <xdr:to>
      <xdr:col>7</xdr:col>
      <xdr:colOff>330869</xdr:colOff>
      <xdr:row>31</xdr:row>
      <xdr:rowOff>148167</xdr:rowOff>
    </xdr:to>
    <xdr:graphicFrame macro="">
      <xdr:nvGraphicFramePr>
        <xdr:cNvPr id="2" name="Gráfico 1">
          <a:extLst>
            <a:ext uri="{FF2B5EF4-FFF2-40B4-BE49-F238E27FC236}">
              <a16:creationId xmlns:a16="http://schemas.microsoft.com/office/drawing/2014/main" id="{3731DDA2-7FF8-433C-B9C5-5A7EBAB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224550</xdr:colOff>
      <xdr:row>14</xdr:row>
      <xdr:rowOff>10905</xdr:rowOff>
    </xdr:from>
    <xdr:to>
      <xdr:col>17</xdr:col>
      <xdr:colOff>97550</xdr:colOff>
      <xdr:row>32</xdr:row>
      <xdr:rowOff>109514</xdr:rowOff>
    </xdr:to>
    <xdr:graphicFrame macro="">
      <xdr:nvGraphicFramePr>
        <xdr:cNvPr id="4" name="Gráfico 3">
          <a:extLst>
            <a:ext uri="{FF2B5EF4-FFF2-40B4-BE49-F238E27FC236}">
              <a16:creationId xmlns:a16="http://schemas.microsoft.com/office/drawing/2014/main" id="{1652DA09-3F2D-471D-A578-6EB49184E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691117</xdr:colOff>
      <xdr:row>14</xdr:row>
      <xdr:rowOff>124384</xdr:rowOff>
    </xdr:from>
    <xdr:to>
      <xdr:col>11</xdr:col>
      <xdr:colOff>1199029</xdr:colOff>
      <xdr:row>33</xdr:row>
      <xdr:rowOff>6803</xdr:rowOff>
    </xdr:to>
    <xdr:graphicFrame macro="">
      <xdr:nvGraphicFramePr>
        <xdr:cNvPr id="7" name="Gráfico 6">
          <a:extLst>
            <a:ext uri="{FF2B5EF4-FFF2-40B4-BE49-F238E27FC236}">
              <a16:creationId xmlns:a16="http://schemas.microsoft.com/office/drawing/2014/main" id="{AB5A4CDB-410F-DE07-435B-46EE2336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785567</xdr:colOff>
      <xdr:row>14</xdr:row>
      <xdr:rowOff>14926</xdr:rowOff>
    </xdr:from>
    <xdr:to>
      <xdr:col>7</xdr:col>
      <xdr:colOff>337794</xdr:colOff>
      <xdr:row>29</xdr:row>
      <xdr:rowOff>47920</xdr:rowOff>
    </xdr:to>
    <xdr:graphicFrame macro="">
      <xdr:nvGraphicFramePr>
        <xdr:cNvPr id="5" name="Gráfico 4">
          <a:extLst>
            <a:ext uri="{FF2B5EF4-FFF2-40B4-BE49-F238E27FC236}">
              <a16:creationId xmlns:a16="http://schemas.microsoft.com/office/drawing/2014/main" id="{4F15832A-81A3-AE5B-78B6-36EE08714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9B34E08-1855-4796-8591-8FA7A93F9AEB}">
  <we:reference id="wa200005502" version="1.0.0.11" store="es-ES" storeType="OMEX"/>
  <we:alternateReferences>
    <we:reference id="wa200005502" version="1.0.0.11" store="wa200005502" storeType="OMEX"/>
  </we:alternateReferences>
  <we:properties>
    <we:property name="docId" value="&quot;L9i1QPpKdNA-Ok81Sevam&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5B958-D734-4FAE-8DBF-F686160147C8}">
  <dimension ref="A1:R25"/>
  <sheetViews>
    <sheetView zoomScale="68" workbookViewId="0">
      <selection activeCell="I42" sqref="I42"/>
    </sheetView>
  </sheetViews>
  <sheetFormatPr baseColWidth="10" defaultRowHeight="14.4" x14ac:dyDescent="0.3"/>
  <cols>
    <col min="1" max="1" width="11.6640625" customWidth="1"/>
    <col min="2" max="2" width="9.77734375" bestFit="1" customWidth="1"/>
    <col min="3" max="3" width="8.44140625" bestFit="1" customWidth="1"/>
    <col min="4" max="5" width="10.44140625" bestFit="1" customWidth="1"/>
    <col min="6" max="6" width="9.77734375" bestFit="1" customWidth="1"/>
    <col min="7" max="7" width="12.6640625" bestFit="1" customWidth="1"/>
    <col min="8" max="8" width="10.6640625" bestFit="1" customWidth="1"/>
    <col min="9" max="9" width="21.33203125" bestFit="1" customWidth="1"/>
    <col min="10" max="10" width="19.88671875" bestFit="1" customWidth="1"/>
    <col min="11" max="11" width="20.88671875" bestFit="1" customWidth="1"/>
    <col min="12" max="12" width="19.33203125" bestFit="1" customWidth="1"/>
    <col min="13" max="13" width="18.44140625" bestFit="1" customWidth="1"/>
    <col min="14" max="14" width="10.44140625" bestFit="1" customWidth="1"/>
    <col min="15" max="15" width="18.44140625" bestFit="1" customWidth="1"/>
    <col min="16" max="16" width="19.6640625" customWidth="1"/>
    <col min="17" max="17" width="21.33203125" bestFit="1" customWidth="1"/>
    <col min="18" max="18" width="19.33203125" bestFit="1" customWidth="1"/>
    <col min="19" max="19" width="18.44140625" bestFit="1" customWidth="1"/>
  </cols>
  <sheetData>
    <row r="1" spans="1:18" s="43" customFormat="1" ht="43.8" thickBot="1" x14ac:dyDescent="0.35">
      <c r="A1" s="38" t="s">
        <v>0</v>
      </c>
      <c r="B1" s="38" t="s">
        <v>50</v>
      </c>
      <c r="C1" s="39" t="s">
        <v>1</v>
      </c>
      <c r="D1" s="39" t="s">
        <v>47</v>
      </c>
      <c r="E1" s="39" t="s">
        <v>48</v>
      </c>
      <c r="F1" s="40" t="s">
        <v>49</v>
      </c>
      <c r="G1" s="41" t="s">
        <v>52</v>
      </c>
      <c r="H1" s="41" t="s">
        <v>51</v>
      </c>
      <c r="I1" s="41" t="s">
        <v>39</v>
      </c>
      <c r="J1" s="41" t="s">
        <v>44</v>
      </c>
      <c r="K1" s="41" t="s">
        <v>46</v>
      </c>
      <c r="L1" s="41" t="s">
        <v>45</v>
      </c>
      <c r="M1" s="42" t="s">
        <v>2</v>
      </c>
      <c r="N1" s="38" t="s">
        <v>3</v>
      </c>
      <c r="O1" s="40" t="s">
        <v>4</v>
      </c>
      <c r="P1" s="44" t="s">
        <v>5</v>
      </c>
      <c r="Q1" s="38" t="s">
        <v>6</v>
      </c>
      <c r="R1" s="40" t="s">
        <v>38</v>
      </c>
    </row>
    <row r="2" spans="1:18" x14ac:dyDescent="0.3">
      <c r="A2" s="28" t="s">
        <v>12</v>
      </c>
      <c r="B2" s="2">
        <v>5000</v>
      </c>
      <c r="C2" s="30">
        <v>0.13500000000000001</v>
      </c>
      <c r="D2" s="1">
        <f>ROUND(B2*C2,0)</f>
        <v>675</v>
      </c>
      <c r="E2" s="1">
        <f>D2</f>
        <v>675</v>
      </c>
      <c r="F2" s="31">
        <f>ROUND(B2-D2,0)</f>
        <v>4325</v>
      </c>
      <c r="G2" s="21">
        <v>1000</v>
      </c>
      <c r="H2" s="22">
        <f>15%</f>
        <v>0.15</v>
      </c>
      <c r="I2" s="23">
        <f>G2*(E2+F2)</f>
        <v>5000000</v>
      </c>
      <c r="J2" s="21">
        <f>G2*F2</f>
        <v>4325000</v>
      </c>
      <c r="K2" s="24">
        <f>F2*(G2+G2*H2)</f>
        <v>4973750</v>
      </c>
      <c r="L2" s="24">
        <f>K2-J2</f>
        <v>648750</v>
      </c>
      <c r="M2" s="23">
        <f>E2*G2</f>
        <v>675000</v>
      </c>
      <c r="N2" s="21">
        <v>30</v>
      </c>
      <c r="O2" s="23">
        <f>N2*B2</f>
        <v>150000</v>
      </c>
      <c r="P2" s="34">
        <f>L2-M2-O2</f>
        <v>-176250</v>
      </c>
      <c r="Q2" s="35">
        <f>I2+P2</f>
        <v>4823750</v>
      </c>
      <c r="R2" s="36"/>
    </row>
    <row r="3" spans="1:18" x14ac:dyDescent="0.3">
      <c r="A3" s="29" t="s">
        <v>13</v>
      </c>
      <c r="B3" s="3">
        <f t="shared" ref="B3:B25" si="0">ROUND(B2*1.25, 0)</f>
        <v>6250</v>
      </c>
      <c r="C3" s="20">
        <v>0.13500000000000001</v>
      </c>
      <c r="D3" s="19">
        <f>ROUND(B3*C3,0)</f>
        <v>844</v>
      </c>
      <c r="E3" s="19">
        <f>D3-D2</f>
        <v>169</v>
      </c>
      <c r="F3" s="4">
        <f>ROUND(B3-D3,0)</f>
        <v>5406</v>
      </c>
      <c r="G3" s="5">
        <v>1000</v>
      </c>
      <c r="H3" s="6">
        <f>15%</f>
        <v>0.15</v>
      </c>
      <c r="I3" s="8">
        <f>G3*(E3+F3)</f>
        <v>5575000</v>
      </c>
      <c r="J3" s="5">
        <f>G3*F3</f>
        <v>5406000</v>
      </c>
      <c r="K3" s="7">
        <f t="shared" ref="K3" si="1">F3*(G3+G3*H3)</f>
        <v>6216900</v>
      </c>
      <c r="L3" s="7">
        <f>K3-J3</f>
        <v>810900</v>
      </c>
      <c r="M3" s="8">
        <f t="shared" ref="M3:M25" si="2">E3*G3</f>
        <v>169000</v>
      </c>
      <c r="N3" s="5">
        <v>30</v>
      </c>
      <c r="O3" s="8">
        <f t="shared" ref="O3:O25" si="3">N3*B3</f>
        <v>187500</v>
      </c>
      <c r="P3" s="9">
        <f>L3-M3-O3</f>
        <v>454400</v>
      </c>
      <c r="Q3" s="10">
        <f>I3+P3</f>
        <v>6029400</v>
      </c>
      <c r="R3" s="11">
        <f>I3-Q2</f>
        <v>751250</v>
      </c>
    </row>
    <row r="4" spans="1:18" x14ac:dyDescent="0.3">
      <c r="A4" s="29" t="s">
        <v>14</v>
      </c>
      <c r="B4" s="3">
        <f t="shared" si="0"/>
        <v>7813</v>
      </c>
      <c r="C4" s="20">
        <v>0.13500000000000001</v>
      </c>
      <c r="D4" s="19">
        <f>ROUND(B4*C4,0)</f>
        <v>1055</v>
      </c>
      <c r="E4" s="19">
        <f t="shared" ref="E4:E25" si="4">D4-D3</f>
        <v>211</v>
      </c>
      <c r="F4" s="4">
        <f t="shared" ref="F4:F13" si="5">ROUND(B4-D4,0)</f>
        <v>6758</v>
      </c>
      <c r="G4" s="5">
        <v>1000</v>
      </c>
      <c r="H4" s="6">
        <f>15%</f>
        <v>0.15</v>
      </c>
      <c r="I4" s="8">
        <f t="shared" ref="I4:I25" si="6">G4*(E4+F4)</f>
        <v>6969000</v>
      </c>
      <c r="J4" s="5">
        <f>G4*F4</f>
        <v>6758000</v>
      </c>
      <c r="K4" s="7">
        <f>F4*(G4+G4*H4)</f>
        <v>7771700</v>
      </c>
      <c r="L4" s="7">
        <f>K4-J4</f>
        <v>1013700</v>
      </c>
      <c r="M4" s="8">
        <f>E4*G4</f>
        <v>211000</v>
      </c>
      <c r="N4" s="5">
        <v>30</v>
      </c>
      <c r="O4" s="8">
        <f t="shared" si="3"/>
        <v>234390</v>
      </c>
      <c r="P4" s="9">
        <f>L4-M4-O4</f>
        <v>568310</v>
      </c>
      <c r="Q4" s="10">
        <f>I4+P4</f>
        <v>7537310</v>
      </c>
      <c r="R4" s="11">
        <f>I4-Q3</f>
        <v>939600</v>
      </c>
    </row>
    <row r="5" spans="1:18" x14ac:dyDescent="0.3">
      <c r="A5" s="29" t="s">
        <v>15</v>
      </c>
      <c r="B5" s="3">
        <f t="shared" si="0"/>
        <v>9766</v>
      </c>
      <c r="C5" s="20">
        <v>0.13500000000000001</v>
      </c>
      <c r="D5" s="19">
        <f t="shared" ref="D5:D25" si="7">ROUND(B5*C5,0)</f>
        <v>1318</v>
      </c>
      <c r="E5" s="19">
        <f t="shared" si="4"/>
        <v>263</v>
      </c>
      <c r="F5" s="4">
        <f t="shared" si="5"/>
        <v>8448</v>
      </c>
      <c r="G5" s="5">
        <v>1000</v>
      </c>
      <c r="H5" s="6">
        <f>15%</f>
        <v>0.15</v>
      </c>
      <c r="I5" s="8">
        <f>G5*(E5+F5)</f>
        <v>8711000</v>
      </c>
      <c r="J5" s="5">
        <f>G5*F5</f>
        <v>8448000</v>
      </c>
      <c r="K5" s="7">
        <f t="shared" ref="K5:K8" si="8">F5*(G5+G5*H5)</f>
        <v>9715200</v>
      </c>
      <c r="L5" s="7">
        <f t="shared" ref="L5:L12" si="9">K5-J5</f>
        <v>1267200</v>
      </c>
      <c r="M5" s="8">
        <f t="shared" si="2"/>
        <v>263000</v>
      </c>
      <c r="N5" s="5">
        <v>30</v>
      </c>
      <c r="O5" s="8">
        <f>N5*B5</f>
        <v>292980</v>
      </c>
      <c r="P5" s="9">
        <f>L5-M5-O5</f>
        <v>711220</v>
      </c>
      <c r="Q5" s="10">
        <f>I5+P5</f>
        <v>9422220</v>
      </c>
      <c r="R5" s="11">
        <f>I5-Q4</f>
        <v>1173690</v>
      </c>
    </row>
    <row r="6" spans="1:18" x14ac:dyDescent="0.3">
      <c r="A6" s="29" t="s">
        <v>16</v>
      </c>
      <c r="B6" s="3">
        <f t="shared" si="0"/>
        <v>12208</v>
      </c>
      <c r="C6" s="20">
        <v>0.13500000000000001</v>
      </c>
      <c r="D6" s="19">
        <f>ROUND(B6*C6,0)</f>
        <v>1648</v>
      </c>
      <c r="E6" s="19">
        <f t="shared" si="4"/>
        <v>330</v>
      </c>
      <c r="F6" s="4">
        <f>ROUND(B6-D6,0)</f>
        <v>10560</v>
      </c>
      <c r="G6" s="5">
        <v>1000</v>
      </c>
      <c r="H6" s="6">
        <f>15%</f>
        <v>0.15</v>
      </c>
      <c r="I6" s="8">
        <f>G6*(E6+F6)</f>
        <v>10890000</v>
      </c>
      <c r="J6" s="5">
        <f t="shared" ref="J6:J25" si="10">G6*F6</f>
        <v>10560000</v>
      </c>
      <c r="K6" s="7">
        <f>F6*(G6+G6*H6)</f>
        <v>12144000</v>
      </c>
      <c r="L6" s="7">
        <f>K6-J6</f>
        <v>1584000</v>
      </c>
      <c r="M6" s="8">
        <f>E6*G6</f>
        <v>330000</v>
      </c>
      <c r="N6" s="5">
        <v>30</v>
      </c>
      <c r="O6" s="8">
        <f t="shared" si="3"/>
        <v>366240</v>
      </c>
      <c r="P6" s="9">
        <f>L6-M6-O6</f>
        <v>887760</v>
      </c>
      <c r="Q6" s="10">
        <f>I6+P6</f>
        <v>11777760</v>
      </c>
      <c r="R6" s="11">
        <f>I6-Q5</f>
        <v>1467780</v>
      </c>
    </row>
    <row r="7" spans="1:18" x14ac:dyDescent="0.3">
      <c r="A7" s="29" t="s">
        <v>17</v>
      </c>
      <c r="B7" s="3">
        <f t="shared" si="0"/>
        <v>15260</v>
      </c>
      <c r="C7" s="20">
        <v>0.13500000000000001</v>
      </c>
      <c r="D7" s="19">
        <f t="shared" si="7"/>
        <v>2060</v>
      </c>
      <c r="E7" s="19">
        <f t="shared" si="4"/>
        <v>412</v>
      </c>
      <c r="F7" s="4">
        <f t="shared" si="5"/>
        <v>13200</v>
      </c>
      <c r="G7" s="5">
        <v>1000</v>
      </c>
      <c r="H7" s="6">
        <f>15%</f>
        <v>0.15</v>
      </c>
      <c r="I7" s="8">
        <f t="shared" si="6"/>
        <v>13612000</v>
      </c>
      <c r="J7" s="5">
        <f t="shared" si="10"/>
        <v>13200000</v>
      </c>
      <c r="K7" s="7">
        <f t="shared" si="8"/>
        <v>15180000</v>
      </c>
      <c r="L7" s="7">
        <f t="shared" si="9"/>
        <v>1980000</v>
      </c>
      <c r="M7" s="8">
        <f>E7*G7</f>
        <v>412000</v>
      </c>
      <c r="N7" s="5">
        <v>30</v>
      </c>
      <c r="O7" s="8">
        <f>N7*B7</f>
        <v>457800</v>
      </c>
      <c r="P7" s="9">
        <f>L7-M7-O7</f>
        <v>1110200</v>
      </c>
      <c r="Q7" s="10">
        <f>I7+P7</f>
        <v>14722200</v>
      </c>
      <c r="R7" s="11">
        <f>I7-Q6</f>
        <v>1834240</v>
      </c>
    </row>
    <row r="8" spans="1:18" x14ac:dyDescent="0.3">
      <c r="A8" s="29" t="s">
        <v>18</v>
      </c>
      <c r="B8" s="3">
        <f t="shared" si="0"/>
        <v>19075</v>
      </c>
      <c r="C8" s="20">
        <v>0.13500000000000001</v>
      </c>
      <c r="D8" s="19">
        <f t="shared" si="7"/>
        <v>2575</v>
      </c>
      <c r="E8" s="19">
        <f t="shared" si="4"/>
        <v>515</v>
      </c>
      <c r="F8" s="4">
        <f t="shared" si="5"/>
        <v>16500</v>
      </c>
      <c r="G8" s="5">
        <v>1000</v>
      </c>
      <c r="H8" s="6">
        <f>15%</f>
        <v>0.15</v>
      </c>
      <c r="I8" s="8">
        <f t="shared" si="6"/>
        <v>17015000</v>
      </c>
      <c r="J8" s="5">
        <f t="shared" si="10"/>
        <v>16500000</v>
      </c>
      <c r="K8" s="7">
        <f t="shared" si="8"/>
        <v>18975000</v>
      </c>
      <c r="L8" s="7">
        <f t="shared" si="9"/>
        <v>2475000</v>
      </c>
      <c r="M8" s="8">
        <f t="shared" si="2"/>
        <v>515000</v>
      </c>
      <c r="N8" s="5">
        <v>30</v>
      </c>
      <c r="O8" s="8">
        <f t="shared" si="3"/>
        <v>572250</v>
      </c>
      <c r="P8" s="9">
        <f>L8-M8-O8</f>
        <v>1387750</v>
      </c>
      <c r="Q8" s="10">
        <f>I8+P8</f>
        <v>18402750</v>
      </c>
      <c r="R8" s="11">
        <f>I8-Q7</f>
        <v>2292800</v>
      </c>
    </row>
    <row r="9" spans="1:18" x14ac:dyDescent="0.3">
      <c r="A9" s="29" t="s">
        <v>19</v>
      </c>
      <c r="B9" s="3">
        <f t="shared" si="0"/>
        <v>23844</v>
      </c>
      <c r="C9" s="20">
        <v>0.13500000000000001</v>
      </c>
      <c r="D9" s="19">
        <f t="shared" si="7"/>
        <v>3219</v>
      </c>
      <c r="E9" s="19">
        <f t="shared" si="4"/>
        <v>644</v>
      </c>
      <c r="F9" s="4">
        <f t="shared" si="5"/>
        <v>20625</v>
      </c>
      <c r="G9" s="5">
        <v>1000</v>
      </c>
      <c r="H9" s="6">
        <f>15%</f>
        <v>0.15</v>
      </c>
      <c r="I9" s="8">
        <f t="shared" si="6"/>
        <v>21269000</v>
      </c>
      <c r="J9" s="5">
        <f t="shared" si="10"/>
        <v>20625000</v>
      </c>
      <c r="K9" s="7">
        <f>F9*(G9+G9*H9)</f>
        <v>23718750</v>
      </c>
      <c r="L9" s="7">
        <f t="shared" si="9"/>
        <v>3093750</v>
      </c>
      <c r="M9" s="8">
        <f t="shared" si="2"/>
        <v>644000</v>
      </c>
      <c r="N9" s="5">
        <v>30</v>
      </c>
      <c r="O9" s="8">
        <f t="shared" si="3"/>
        <v>715320</v>
      </c>
      <c r="P9" s="9">
        <f>L9-M9-O9</f>
        <v>1734430</v>
      </c>
      <c r="Q9" s="10">
        <f>I9+P9</f>
        <v>23003430</v>
      </c>
      <c r="R9" s="11">
        <f>I9-Q8</f>
        <v>2866250</v>
      </c>
    </row>
    <row r="10" spans="1:18" x14ac:dyDescent="0.3">
      <c r="A10" s="29" t="s">
        <v>20</v>
      </c>
      <c r="B10" s="3">
        <f t="shared" si="0"/>
        <v>29805</v>
      </c>
      <c r="C10" s="20">
        <v>0.13500000000000001</v>
      </c>
      <c r="D10" s="19">
        <f t="shared" si="7"/>
        <v>4024</v>
      </c>
      <c r="E10" s="19">
        <f t="shared" si="4"/>
        <v>805</v>
      </c>
      <c r="F10" s="4">
        <f t="shared" si="5"/>
        <v>25781</v>
      </c>
      <c r="G10" s="5">
        <v>1000</v>
      </c>
      <c r="H10" s="6">
        <f>15%</f>
        <v>0.15</v>
      </c>
      <c r="I10" s="8">
        <f t="shared" si="6"/>
        <v>26586000</v>
      </c>
      <c r="J10" s="5">
        <f t="shared" si="10"/>
        <v>25781000</v>
      </c>
      <c r="K10" s="7">
        <f t="shared" ref="K10:K25" si="11">F10*(G10+G10*H10)</f>
        <v>29648150</v>
      </c>
      <c r="L10" s="7">
        <f t="shared" si="9"/>
        <v>3867150</v>
      </c>
      <c r="M10" s="8">
        <f t="shared" si="2"/>
        <v>805000</v>
      </c>
      <c r="N10" s="5">
        <v>30</v>
      </c>
      <c r="O10" s="8">
        <f t="shared" si="3"/>
        <v>894150</v>
      </c>
      <c r="P10" s="9">
        <f>L10-M10-O10</f>
        <v>2168000</v>
      </c>
      <c r="Q10" s="10">
        <f>I10+P10</f>
        <v>28754000</v>
      </c>
      <c r="R10" s="11">
        <f>I10-Q9</f>
        <v>3582570</v>
      </c>
    </row>
    <row r="11" spans="1:18" x14ac:dyDescent="0.3">
      <c r="A11" s="29" t="s">
        <v>21</v>
      </c>
      <c r="B11" s="3">
        <f t="shared" si="0"/>
        <v>37256</v>
      </c>
      <c r="C11" s="20">
        <v>0.13500000000000001</v>
      </c>
      <c r="D11" s="19">
        <f t="shared" si="7"/>
        <v>5030</v>
      </c>
      <c r="E11" s="19">
        <f t="shared" si="4"/>
        <v>1006</v>
      </c>
      <c r="F11" s="4">
        <f t="shared" si="5"/>
        <v>32226</v>
      </c>
      <c r="G11" s="5">
        <v>1000</v>
      </c>
      <c r="H11" s="6">
        <f>15%</f>
        <v>0.15</v>
      </c>
      <c r="I11" s="8">
        <f t="shared" si="6"/>
        <v>33232000</v>
      </c>
      <c r="J11" s="5">
        <f t="shared" si="10"/>
        <v>32226000</v>
      </c>
      <c r="K11" s="7">
        <f t="shared" si="11"/>
        <v>37059900</v>
      </c>
      <c r="L11" s="7">
        <f t="shared" si="9"/>
        <v>4833900</v>
      </c>
      <c r="M11" s="8">
        <f t="shared" si="2"/>
        <v>1006000</v>
      </c>
      <c r="N11" s="5">
        <v>30</v>
      </c>
      <c r="O11" s="8">
        <f t="shared" si="3"/>
        <v>1117680</v>
      </c>
      <c r="P11" s="9">
        <f>L11-M11-O11</f>
        <v>2710220</v>
      </c>
      <c r="Q11" s="10">
        <f>I11+P11</f>
        <v>35942220</v>
      </c>
      <c r="R11" s="11">
        <f>I11-Q10</f>
        <v>4478000</v>
      </c>
    </row>
    <row r="12" spans="1:18" x14ac:dyDescent="0.3">
      <c r="A12" s="29" t="s">
        <v>22</v>
      </c>
      <c r="B12" s="3">
        <f t="shared" si="0"/>
        <v>46570</v>
      </c>
      <c r="C12" s="20">
        <v>0.13500000000000001</v>
      </c>
      <c r="D12" s="19">
        <f t="shared" si="7"/>
        <v>6287</v>
      </c>
      <c r="E12" s="19">
        <f t="shared" si="4"/>
        <v>1257</v>
      </c>
      <c r="F12" s="4">
        <f t="shared" si="5"/>
        <v>40283</v>
      </c>
      <c r="G12" s="5">
        <v>1000</v>
      </c>
      <c r="H12" s="6">
        <f>15%</f>
        <v>0.15</v>
      </c>
      <c r="I12" s="8">
        <f t="shared" si="6"/>
        <v>41540000</v>
      </c>
      <c r="J12" s="5">
        <f t="shared" si="10"/>
        <v>40283000</v>
      </c>
      <c r="K12" s="7">
        <f t="shared" si="11"/>
        <v>46325450</v>
      </c>
      <c r="L12" s="7">
        <f t="shared" si="9"/>
        <v>6042450</v>
      </c>
      <c r="M12" s="8">
        <f t="shared" si="2"/>
        <v>1257000</v>
      </c>
      <c r="N12" s="5">
        <v>30</v>
      </c>
      <c r="O12" s="8">
        <f t="shared" si="3"/>
        <v>1397100</v>
      </c>
      <c r="P12" s="9">
        <f>L12-M12-O12</f>
        <v>3388350</v>
      </c>
      <c r="Q12" s="10">
        <f>I12+P12</f>
        <v>44928350</v>
      </c>
      <c r="R12" s="11">
        <f>I12-Q11</f>
        <v>5597780</v>
      </c>
    </row>
    <row r="13" spans="1:18" ht="15" thickBot="1" x14ac:dyDescent="0.35">
      <c r="A13" s="37" t="s">
        <v>23</v>
      </c>
      <c r="B13" s="12">
        <f t="shared" si="0"/>
        <v>58213</v>
      </c>
      <c r="C13" s="13">
        <v>0.13500000000000001</v>
      </c>
      <c r="D13" s="14">
        <f t="shared" si="7"/>
        <v>7859</v>
      </c>
      <c r="E13" s="14">
        <f t="shared" si="4"/>
        <v>1572</v>
      </c>
      <c r="F13" s="4">
        <f t="shared" si="5"/>
        <v>50354</v>
      </c>
      <c r="G13" s="15">
        <v>1000</v>
      </c>
      <c r="H13" s="16">
        <f>15%</f>
        <v>0.15</v>
      </c>
      <c r="I13" s="18">
        <f t="shared" si="6"/>
        <v>51926000</v>
      </c>
      <c r="J13" s="15">
        <f t="shared" si="10"/>
        <v>50354000</v>
      </c>
      <c r="K13" s="17">
        <f t="shared" si="11"/>
        <v>57907100</v>
      </c>
      <c r="L13" s="17">
        <f>K13-J13</f>
        <v>7553100</v>
      </c>
      <c r="M13" s="18">
        <f t="shared" si="2"/>
        <v>1572000</v>
      </c>
      <c r="N13" s="15">
        <v>30</v>
      </c>
      <c r="O13" s="18">
        <f t="shared" si="3"/>
        <v>1746390</v>
      </c>
      <c r="P13" s="27">
        <f>L13-M13-O13</f>
        <v>4234710</v>
      </c>
      <c r="Q13" s="25">
        <f>I13+P13</f>
        <v>56160710</v>
      </c>
      <c r="R13" s="26">
        <f>I13-Q12</f>
        <v>6997650</v>
      </c>
    </row>
    <row r="14" spans="1:18" x14ac:dyDescent="0.3">
      <c r="A14" s="32"/>
      <c r="B14" s="19"/>
      <c r="C14" s="20"/>
      <c r="D14" s="19"/>
      <c r="E14" s="19"/>
      <c r="F14" s="19"/>
      <c r="G14" s="7"/>
      <c r="H14" s="6"/>
      <c r="I14" s="7"/>
      <c r="J14" s="7"/>
      <c r="K14" s="7"/>
      <c r="L14" s="7"/>
      <c r="M14" s="7"/>
      <c r="N14" s="7"/>
      <c r="O14" s="7"/>
      <c r="P14" s="7"/>
      <c r="Q14" s="33"/>
      <c r="R14" s="33"/>
    </row>
    <row r="15" spans="1:18" x14ac:dyDescent="0.3">
      <c r="A15" s="32"/>
      <c r="B15" s="19"/>
      <c r="C15" s="20"/>
      <c r="D15" s="19"/>
      <c r="E15" s="19"/>
      <c r="F15" s="19"/>
      <c r="G15" s="7"/>
      <c r="H15" s="6"/>
      <c r="I15" s="7"/>
      <c r="J15" s="7"/>
      <c r="K15" s="7"/>
      <c r="L15" s="7"/>
      <c r="M15" s="7"/>
      <c r="N15" s="7"/>
      <c r="O15" s="7"/>
      <c r="P15" s="7"/>
      <c r="Q15" s="33"/>
      <c r="R15" s="33"/>
    </row>
    <row r="16" spans="1:18" x14ac:dyDescent="0.3">
      <c r="A16" s="32"/>
      <c r="B16" s="19"/>
      <c r="C16" s="20"/>
      <c r="D16" s="19"/>
      <c r="E16" s="19"/>
      <c r="F16" s="19"/>
      <c r="G16" s="7"/>
      <c r="H16" s="6"/>
      <c r="I16" s="7"/>
      <c r="J16" s="7"/>
      <c r="K16" s="7"/>
      <c r="L16" s="7"/>
      <c r="M16" s="7"/>
      <c r="N16" s="7"/>
      <c r="O16" s="7"/>
      <c r="P16" s="7"/>
      <c r="Q16" s="33"/>
      <c r="R16" s="33"/>
    </row>
    <row r="17" spans="1:18" x14ac:dyDescent="0.3">
      <c r="A17" s="32"/>
      <c r="B17" s="19"/>
      <c r="C17" s="20"/>
      <c r="D17" s="19"/>
      <c r="E17" s="19"/>
      <c r="F17" s="19"/>
      <c r="G17" s="7"/>
      <c r="H17" s="6"/>
      <c r="I17" s="7"/>
      <c r="J17" s="7"/>
      <c r="K17" s="7"/>
      <c r="L17" s="7"/>
      <c r="M17" s="7"/>
      <c r="N17" s="7"/>
      <c r="O17" s="7"/>
      <c r="P17" s="7"/>
      <c r="Q17" s="33"/>
      <c r="R17" s="33"/>
    </row>
    <row r="18" spans="1:18" x14ac:dyDescent="0.3">
      <c r="A18" s="32"/>
      <c r="B18" s="19"/>
      <c r="C18" s="20"/>
      <c r="D18" s="19"/>
      <c r="E18" s="19"/>
      <c r="F18" s="19"/>
      <c r="G18" s="7"/>
      <c r="H18" s="6"/>
      <c r="I18" s="7"/>
      <c r="J18" s="7"/>
      <c r="K18" s="7"/>
      <c r="L18" s="7"/>
      <c r="M18" s="7"/>
      <c r="N18" s="7"/>
      <c r="O18" s="7"/>
      <c r="P18" s="7"/>
      <c r="Q18" s="33"/>
      <c r="R18" s="33"/>
    </row>
    <row r="19" spans="1:18" x14ac:dyDescent="0.3">
      <c r="A19" s="32"/>
      <c r="B19" s="19"/>
      <c r="C19" s="20"/>
      <c r="D19" s="19"/>
      <c r="E19" s="19"/>
      <c r="F19" s="19"/>
      <c r="G19" s="7"/>
      <c r="H19" s="6"/>
      <c r="I19" s="7"/>
      <c r="J19" s="7"/>
      <c r="K19" s="7"/>
      <c r="L19" s="7"/>
      <c r="M19" s="7"/>
      <c r="N19" s="7"/>
      <c r="O19" s="7"/>
      <c r="P19" s="7"/>
      <c r="Q19" s="33"/>
      <c r="R19" s="33"/>
    </row>
    <row r="20" spans="1:18" x14ac:dyDescent="0.3">
      <c r="A20" s="32"/>
      <c r="B20" s="19"/>
      <c r="C20" s="20"/>
      <c r="D20" s="19"/>
      <c r="E20" s="19"/>
      <c r="F20" s="19"/>
      <c r="G20" s="7"/>
      <c r="H20" s="6"/>
      <c r="I20" s="7"/>
      <c r="J20" s="7"/>
      <c r="K20" s="7"/>
      <c r="L20" s="7"/>
      <c r="M20" s="7"/>
      <c r="N20" s="7"/>
      <c r="O20" s="7"/>
      <c r="P20" s="7"/>
      <c r="Q20" s="33"/>
      <c r="R20" s="33"/>
    </row>
    <row r="21" spans="1:18" x14ac:dyDescent="0.3">
      <c r="A21" s="32"/>
      <c r="B21" s="19"/>
      <c r="C21" s="20"/>
      <c r="D21" s="19"/>
      <c r="E21" s="19"/>
      <c r="F21" s="19"/>
      <c r="G21" s="7"/>
      <c r="H21" s="6"/>
      <c r="I21" s="7"/>
      <c r="J21" s="7"/>
      <c r="K21" s="7"/>
      <c r="L21" s="7"/>
      <c r="M21" s="7"/>
      <c r="N21" s="7"/>
      <c r="O21" s="7"/>
      <c r="P21" s="7"/>
      <c r="Q21" s="33"/>
      <c r="R21" s="33"/>
    </row>
    <row r="22" spans="1:18" x14ac:dyDescent="0.3">
      <c r="A22" s="32"/>
      <c r="B22" s="19"/>
      <c r="C22" s="20"/>
      <c r="D22" s="19"/>
      <c r="E22" s="19"/>
      <c r="F22" s="19"/>
      <c r="G22" s="7"/>
      <c r="H22" s="6"/>
      <c r="I22" s="7"/>
      <c r="J22" s="7"/>
      <c r="K22" s="7"/>
      <c r="L22" s="7"/>
      <c r="M22" s="7"/>
      <c r="N22" s="7"/>
      <c r="O22" s="7"/>
      <c r="P22" s="7"/>
      <c r="Q22" s="33"/>
      <c r="R22" s="33"/>
    </row>
    <row r="23" spans="1:18" x14ac:dyDescent="0.3">
      <c r="A23" s="32"/>
      <c r="B23" s="19"/>
      <c r="C23" s="20"/>
      <c r="D23" s="19"/>
      <c r="E23" s="19"/>
      <c r="F23" s="19"/>
      <c r="G23" s="7"/>
      <c r="H23" s="6"/>
      <c r="I23" s="7"/>
      <c r="J23" s="7"/>
      <c r="K23" s="7"/>
      <c r="L23" s="7"/>
      <c r="M23" s="7"/>
      <c r="N23" s="7"/>
      <c r="O23" s="7"/>
      <c r="P23" s="7"/>
      <c r="Q23" s="33"/>
      <c r="R23" s="33"/>
    </row>
    <row r="24" spans="1:18" x14ac:dyDescent="0.3">
      <c r="A24" s="32"/>
      <c r="B24" s="19"/>
      <c r="C24" s="20"/>
      <c r="D24" s="19"/>
      <c r="E24" s="19"/>
      <c r="F24" s="19"/>
      <c r="G24" s="7"/>
      <c r="H24" s="6"/>
      <c r="I24" s="7"/>
      <c r="J24" s="7"/>
      <c r="K24" s="7"/>
      <c r="L24" s="7"/>
      <c r="M24" s="7"/>
      <c r="N24" s="7"/>
      <c r="O24" s="7"/>
      <c r="P24" s="7"/>
      <c r="Q24" s="33"/>
      <c r="R24" s="33"/>
    </row>
    <row r="25" spans="1:18" x14ac:dyDescent="0.3">
      <c r="A25" s="32"/>
      <c r="B25" s="19"/>
      <c r="C25" s="20"/>
      <c r="D25" s="19"/>
      <c r="E25" s="19"/>
      <c r="F25" s="19"/>
      <c r="G25" s="7"/>
      <c r="H25" s="6"/>
      <c r="I25" s="7"/>
      <c r="J25" s="7"/>
      <c r="K25" s="7"/>
      <c r="L25" s="7"/>
      <c r="M25" s="7"/>
      <c r="N25" s="7"/>
      <c r="O25" s="7"/>
      <c r="P25" s="7"/>
      <c r="Q25" s="33"/>
      <c r="R25" s="33"/>
    </row>
  </sheetData>
  <phoneticPr fontId="5" type="noConversion"/>
  <conditionalFormatting sqref="P2:P25">
    <cfRule type="colorScale" priority="4">
      <colorScale>
        <cfvo type="min"/>
        <cfvo type="percentile" val="50"/>
        <cfvo type="max"/>
        <color rgb="FFF8696B"/>
        <color rgb="FFFFEB84"/>
        <color rgb="FF63BE7B"/>
      </colorScale>
    </cfRule>
    <cfRule type="colorScale" priority="5">
      <colorScale>
        <cfvo type="min"/>
        <cfvo type="max"/>
        <color rgb="FFF8696B"/>
        <color rgb="FFFCFCFF"/>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6C8E-F5F6-4E97-9398-5A65B87EA2CF}">
  <dimension ref="A1:R25"/>
  <sheetViews>
    <sheetView zoomScale="71" zoomScaleNormal="70" workbookViewId="0">
      <selection activeCell="G39" sqref="G39"/>
    </sheetView>
  </sheetViews>
  <sheetFormatPr baseColWidth="10" defaultRowHeight="14.4" x14ac:dyDescent="0.3"/>
  <cols>
    <col min="1" max="1" width="11.6640625" customWidth="1"/>
    <col min="2" max="2" width="9.77734375" bestFit="1" customWidth="1"/>
    <col min="3" max="3" width="8.44140625" bestFit="1" customWidth="1"/>
    <col min="4" max="5" width="10.44140625" bestFit="1" customWidth="1"/>
    <col min="6" max="6" width="9.77734375" bestFit="1" customWidth="1"/>
    <col min="7" max="7" width="12.6640625" bestFit="1" customWidth="1"/>
    <col min="8" max="8" width="10.6640625" bestFit="1" customWidth="1"/>
    <col min="9" max="9" width="21.33203125" bestFit="1" customWidth="1"/>
    <col min="10" max="10" width="19.88671875" bestFit="1" customWidth="1"/>
    <col min="11" max="11" width="20.88671875" bestFit="1" customWidth="1"/>
    <col min="12" max="12" width="19.33203125" bestFit="1" customWidth="1"/>
    <col min="13" max="13" width="18.44140625" bestFit="1" customWidth="1"/>
    <col min="14" max="14" width="10.44140625" bestFit="1" customWidth="1"/>
    <col min="15" max="15" width="18.44140625" bestFit="1" customWidth="1"/>
    <col min="16" max="16" width="19.6640625" customWidth="1"/>
    <col min="17" max="17" width="21.33203125" bestFit="1" customWidth="1"/>
    <col min="18" max="18" width="19.33203125" bestFit="1" customWidth="1"/>
    <col min="19" max="19" width="18.44140625" bestFit="1" customWidth="1"/>
  </cols>
  <sheetData>
    <row r="1" spans="1:18" s="43" customFormat="1" ht="43.8" thickBot="1" x14ac:dyDescent="0.35">
      <c r="A1" s="38" t="s">
        <v>0</v>
      </c>
      <c r="B1" s="38" t="s">
        <v>50</v>
      </c>
      <c r="C1" s="39" t="s">
        <v>1</v>
      </c>
      <c r="D1" s="39" t="s">
        <v>47</v>
      </c>
      <c r="E1" s="39" t="s">
        <v>48</v>
      </c>
      <c r="F1" s="40" t="s">
        <v>49</v>
      </c>
      <c r="G1" s="41" t="s">
        <v>52</v>
      </c>
      <c r="H1" s="41" t="s">
        <v>51</v>
      </c>
      <c r="I1" s="41" t="s">
        <v>39</v>
      </c>
      <c r="J1" s="41" t="s">
        <v>44</v>
      </c>
      <c r="K1" s="41" t="s">
        <v>46</v>
      </c>
      <c r="L1" s="41" t="s">
        <v>45</v>
      </c>
      <c r="M1" s="42" t="s">
        <v>2</v>
      </c>
      <c r="N1" s="38" t="s">
        <v>3</v>
      </c>
      <c r="O1" s="40" t="s">
        <v>4</v>
      </c>
      <c r="P1" s="44" t="s">
        <v>5</v>
      </c>
      <c r="Q1" s="38" t="s">
        <v>6</v>
      </c>
      <c r="R1" s="40" t="s">
        <v>38</v>
      </c>
    </row>
    <row r="2" spans="1:18" x14ac:dyDescent="0.3">
      <c r="A2" s="28" t="s">
        <v>12</v>
      </c>
      <c r="B2" s="2">
        <v>10000</v>
      </c>
      <c r="C2" s="30">
        <v>0.08</v>
      </c>
      <c r="D2" s="1">
        <f>ROUND(B2*C2,0)</f>
        <v>800</v>
      </c>
      <c r="E2" s="1">
        <f>D2</f>
        <v>800</v>
      </c>
      <c r="F2" s="1">
        <f>ROUND(B2-D2,0)</f>
        <v>9200</v>
      </c>
      <c r="G2" s="21">
        <v>2000</v>
      </c>
      <c r="H2" s="22">
        <f>10%</f>
        <v>0.1</v>
      </c>
      <c r="I2" s="23">
        <f>G2*(E2+F2)</f>
        <v>20000000</v>
      </c>
      <c r="J2" s="21">
        <f>G2*F2</f>
        <v>18400000</v>
      </c>
      <c r="K2" s="24">
        <f>F2*(G2+G2*H2)</f>
        <v>20240000</v>
      </c>
      <c r="L2" s="24">
        <f>K2-J2</f>
        <v>1840000</v>
      </c>
      <c r="M2" s="23">
        <f>E2*G2</f>
        <v>1600000</v>
      </c>
      <c r="N2" s="21">
        <v>30</v>
      </c>
      <c r="O2" s="23">
        <f>N2*B2</f>
        <v>300000</v>
      </c>
      <c r="P2" s="34">
        <f>L2-M2-O2</f>
        <v>-60000</v>
      </c>
      <c r="Q2" s="35">
        <f>I2+P2</f>
        <v>19940000</v>
      </c>
      <c r="R2" s="36"/>
    </row>
    <row r="3" spans="1:18" x14ac:dyDescent="0.3">
      <c r="A3" s="29" t="s">
        <v>13</v>
      </c>
      <c r="B3" s="3">
        <f>ROUND(B2*1.1, 0)</f>
        <v>11000</v>
      </c>
      <c r="C3" s="20">
        <v>0.08</v>
      </c>
      <c r="D3" s="19">
        <f>ROUND(B3*C3,0)</f>
        <v>880</v>
      </c>
      <c r="E3" s="19">
        <f>D3-D2</f>
        <v>80</v>
      </c>
      <c r="F3" s="19">
        <f>ROUND(B3-D3,0)</f>
        <v>10120</v>
      </c>
      <c r="G3" s="5">
        <v>2000</v>
      </c>
      <c r="H3" s="6">
        <f>10%</f>
        <v>0.1</v>
      </c>
      <c r="I3" s="8">
        <f>G3*(E3+F3)</f>
        <v>20400000</v>
      </c>
      <c r="J3" s="5">
        <f>G3*F3</f>
        <v>20240000</v>
      </c>
      <c r="K3" s="7">
        <f>F3*(G3+G3*H3)</f>
        <v>22264000</v>
      </c>
      <c r="L3" s="7">
        <f>K3-J3</f>
        <v>2024000</v>
      </c>
      <c r="M3" s="8">
        <f>E3*G3</f>
        <v>160000</v>
      </c>
      <c r="N3" s="5">
        <v>30</v>
      </c>
      <c r="O3" s="8">
        <f t="shared" ref="O3:O25" si="0">N3*B3</f>
        <v>330000</v>
      </c>
      <c r="P3" s="9">
        <f>L3-M3-O3</f>
        <v>1534000</v>
      </c>
      <c r="Q3" s="10">
        <f>I3+P3</f>
        <v>21934000</v>
      </c>
      <c r="R3" s="11">
        <f>I3-Q2</f>
        <v>460000</v>
      </c>
    </row>
    <row r="4" spans="1:18" x14ac:dyDescent="0.3">
      <c r="A4" s="29" t="s">
        <v>14</v>
      </c>
      <c r="B4" s="3">
        <f t="shared" ref="B4:B13" si="1">ROUND(B3*1.1, 0)</f>
        <v>12100</v>
      </c>
      <c r="C4" s="20">
        <v>0.08</v>
      </c>
      <c r="D4" s="19">
        <f>ROUND(B4*C4,0)</f>
        <v>968</v>
      </c>
      <c r="E4" s="19">
        <f t="shared" ref="E4:E13" si="2">D4-D3</f>
        <v>88</v>
      </c>
      <c r="F4" s="19">
        <f t="shared" ref="F4:F13" si="3">ROUND(B4-D4,0)</f>
        <v>11132</v>
      </c>
      <c r="G4" s="5">
        <v>2000</v>
      </c>
      <c r="H4" s="6">
        <f>10%</f>
        <v>0.1</v>
      </c>
      <c r="I4" s="8">
        <f t="shared" ref="I4:I25" si="4">G4*(E4+F4)</f>
        <v>22440000</v>
      </c>
      <c r="J4" s="5">
        <f>G4*F4</f>
        <v>22264000</v>
      </c>
      <c r="K4" s="7">
        <f>F4*(G4+G4*H4)</f>
        <v>24490400</v>
      </c>
      <c r="L4" s="7">
        <f>K4-J4</f>
        <v>2226400</v>
      </c>
      <c r="M4" s="8">
        <f t="shared" ref="M3:M25" si="5">E4*G4</f>
        <v>176000</v>
      </c>
      <c r="N4" s="5">
        <v>30</v>
      </c>
      <c r="O4" s="8">
        <f t="shared" si="0"/>
        <v>363000</v>
      </c>
      <c r="P4" s="9">
        <f>L4-M4-O4</f>
        <v>1687400</v>
      </c>
      <c r="Q4" s="10">
        <f>I4+P4</f>
        <v>24127400</v>
      </c>
      <c r="R4" s="11">
        <f>I4-Q3</f>
        <v>506000</v>
      </c>
    </row>
    <row r="5" spans="1:18" x14ac:dyDescent="0.3">
      <c r="A5" s="29" t="s">
        <v>15</v>
      </c>
      <c r="B5" s="3">
        <f t="shared" si="1"/>
        <v>13310</v>
      </c>
      <c r="C5" s="20">
        <v>0.08</v>
      </c>
      <c r="D5" s="19">
        <f t="shared" ref="D5:D25" si="6">ROUND(B5*C5,0)</f>
        <v>1065</v>
      </c>
      <c r="E5" s="19">
        <f t="shared" si="2"/>
        <v>97</v>
      </c>
      <c r="F5" s="19">
        <f t="shared" si="3"/>
        <v>12245</v>
      </c>
      <c r="G5" s="5">
        <v>2000</v>
      </c>
      <c r="H5" s="6">
        <f>10%</f>
        <v>0.1</v>
      </c>
      <c r="I5" s="8">
        <f>G5*(E5+F5)</f>
        <v>24684000</v>
      </c>
      <c r="J5" s="5">
        <f>G5*F5</f>
        <v>24490000</v>
      </c>
      <c r="K5" s="7">
        <f t="shared" ref="K5:K8" si="7">F5*(G5+G5*H5)</f>
        <v>26939000</v>
      </c>
      <c r="L5" s="7">
        <f t="shared" ref="L5:L12" si="8">K5-J5</f>
        <v>2449000</v>
      </c>
      <c r="M5" s="8">
        <f t="shared" si="5"/>
        <v>194000</v>
      </c>
      <c r="N5" s="5">
        <v>30</v>
      </c>
      <c r="O5" s="8">
        <f t="shared" si="0"/>
        <v>399300</v>
      </c>
      <c r="P5" s="9">
        <f>L5-M5-O5</f>
        <v>1855700</v>
      </c>
      <c r="Q5" s="10">
        <f>I5+P5</f>
        <v>26539700</v>
      </c>
      <c r="R5" s="11">
        <f>I5-Q4</f>
        <v>556600</v>
      </c>
    </row>
    <row r="6" spans="1:18" x14ac:dyDescent="0.3">
      <c r="A6" s="29" t="s">
        <v>16</v>
      </c>
      <c r="B6" s="3">
        <f t="shared" si="1"/>
        <v>14641</v>
      </c>
      <c r="C6" s="20">
        <v>0.08</v>
      </c>
      <c r="D6" s="19">
        <f>ROUND(B6*C6,0)</f>
        <v>1171</v>
      </c>
      <c r="E6" s="19">
        <f t="shared" si="2"/>
        <v>106</v>
      </c>
      <c r="F6" s="19">
        <f t="shared" si="3"/>
        <v>13470</v>
      </c>
      <c r="G6" s="5">
        <v>2000</v>
      </c>
      <c r="H6" s="6">
        <f>10%</f>
        <v>0.1</v>
      </c>
      <c r="I6" s="8">
        <f t="shared" si="4"/>
        <v>27152000</v>
      </c>
      <c r="J6" s="5">
        <f t="shared" ref="J6:J25" si="9">G6*F6</f>
        <v>26940000</v>
      </c>
      <c r="K6" s="7">
        <f>F6*(G6+G6*H6)</f>
        <v>29634000</v>
      </c>
      <c r="L6" s="7">
        <f>K6-J6</f>
        <v>2694000</v>
      </c>
      <c r="M6" s="8">
        <f>E6*G6</f>
        <v>212000</v>
      </c>
      <c r="N6" s="5">
        <v>30</v>
      </c>
      <c r="O6" s="8">
        <f t="shared" si="0"/>
        <v>439230</v>
      </c>
      <c r="P6" s="9">
        <f>L6-M6-O6</f>
        <v>2042770</v>
      </c>
      <c r="Q6" s="10">
        <f>I6+P6</f>
        <v>29194770</v>
      </c>
      <c r="R6" s="11">
        <f>I6-Q5</f>
        <v>612300</v>
      </c>
    </row>
    <row r="7" spans="1:18" x14ac:dyDescent="0.3">
      <c r="A7" s="29" t="s">
        <v>17</v>
      </c>
      <c r="B7" s="3">
        <f t="shared" si="1"/>
        <v>16105</v>
      </c>
      <c r="C7" s="20">
        <v>0.08</v>
      </c>
      <c r="D7" s="19">
        <f t="shared" si="6"/>
        <v>1288</v>
      </c>
      <c r="E7" s="19">
        <f t="shared" si="2"/>
        <v>117</v>
      </c>
      <c r="F7" s="19">
        <f t="shared" si="3"/>
        <v>14817</v>
      </c>
      <c r="G7" s="5">
        <v>2000</v>
      </c>
      <c r="H7" s="6">
        <f>10%</f>
        <v>0.1</v>
      </c>
      <c r="I7" s="8">
        <f t="shared" si="4"/>
        <v>29868000</v>
      </c>
      <c r="J7" s="5">
        <f t="shared" si="9"/>
        <v>29634000</v>
      </c>
      <c r="K7" s="7">
        <f t="shared" si="7"/>
        <v>32597400</v>
      </c>
      <c r="L7" s="7">
        <f t="shared" si="8"/>
        <v>2963400</v>
      </c>
      <c r="M7" s="8">
        <f>E7*G7</f>
        <v>234000</v>
      </c>
      <c r="N7" s="5">
        <v>30</v>
      </c>
      <c r="O7" s="8">
        <f>N7*B7</f>
        <v>483150</v>
      </c>
      <c r="P7" s="9">
        <f>L7-M7-O7</f>
        <v>2246250</v>
      </c>
      <c r="Q7" s="10">
        <f>I7+P7</f>
        <v>32114250</v>
      </c>
      <c r="R7" s="11">
        <f>I7-Q6</f>
        <v>673230</v>
      </c>
    </row>
    <row r="8" spans="1:18" x14ac:dyDescent="0.3">
      <c r="A8" s="29" t="s">
        <v>18</v>
      </c>
      <c r="B8" s="3">
        <f t="shared" si="1"/>
        <v>17716</v>
      </c>
      <c r="C8" s="20">
        <v>0.08</v>
      </c>
      <c r="D8" s="19">
        <f t="shared" si="6"/>
        <v>1417</v>
      </c>
      <c r="E8" s="19">
        <f t="shared" si="2"/>
        <v>129</v>
      </c>
      <c r="F8" s="19">
        <f t="shared" si="3"/>
        <v>16299</v>
      </c>
      <c r="G8" s="5">
        <v>2000</v>
      </c>
      <c r="H8" s="6">
        <f>10%</f>
        <v>0.1</v>
      </c>
      <c r="I8" s="8">
        <f t="shared" si="4"/>
        <v>32856000</v>
      </c>
      <c r="J8" s="5">
        <f t="shared" si="9"/>
        <v>32598000</v>
      </c>
      <c r="K8" s="7">
        <f t="shared" si="7"/>
        <v>35857800</v>
      </c>
      <c r="L8" s="7">
        <f t="shared" si="8"/>
        <v>3259800</v>
      </c>
      <c r="M8" s="8">
        <f t="shared" si="5"/>
        <v>258000</v>
      </c>
      <c r="N8" s="5">
        <v>30</v>
      </c>
      <c r="O8" s="8">
        <f t="shared" si="0"/>
        <v>531480</v>
      </c>
      <c r="P8" s="9">
        <f>L8-M8-O8</f>
        <v>2470320</v>
      </c>
      <c r="Q8" s="10">
        <f>I8+P8</f>
        <v>35326320</v>
      </c>
      <c r="R8" s="11">
        <f>I8-Q7</f>
        <v>741750</v>
      </c>
    </row>
    <row r="9" spans="1:18" x14ac:dyDescent="0.3">
      <c r="A9" s="29" t="s">
        <v>19</v>
      </c>
      <c r="B9" s="3">
        <f t="shared" si="1"/>
        <v>19488</v>
      </c>
      <c r="C9" s="20">
        <v>0.08</v>
      </c>
      <c r="D9" s="19">
        <f t="shared" si="6"/>
        <v>1559</v>
      </c>
      <c r="E9" s="19">
        <f t="shared" si="2"/>
        <v>142</v>
      </c>
      <c r="F9" s="19">
        <f t="shared" si="3"/>
        <v>17929</v>
      </c>
      <c r="G9" s="5">
        <v>2000</v>
      </c>
      <c r="H9" s="6">
        <f>10%</f>
        <v>0.1</v>
      </c>
      <c r="I9" s="8">
        <f t="shared" si="4"/>
        <v>36142000</v>
      </c>
      <c r="J9" s="5">
        <f t="shared" si="9"/>
        <v>35858000</v>
      </c>
      <c r="K9" s="7">
        <f>F9*(G9+G9*H9)</f>
        <v>39443800</v>
      </c>
      <c r="L9" s="7">
        <f t="shared" si="8"/>
        <v>3585800</v>
      </c>
      <c r="M9" s="8">
        <f t="shared" si="5"/>
        <v>284000</v>
      </c>
      <c r="N9" s="5">
        <v>30</v>
      </c>
      <c r="O9" s="8">
        <f t="shared" si="0"/>
        <v>584640</v>
      </c>
      <c r="P9" s="9">
        <f>L9-M9-O9</f>
        <v>2717160</v>
      </c>
      <c r="Q9" s="10">
        <f>I9+P9</f>
        <v>38859160</v>
      </c>
      <c r="R9" s="11">
        <f>I9-Q8</f>
        <v>815680</v>
      </c>
    </row>
    <row r="10" spans="1:18" x14ac:dyDescent="0.3">
      <c r="A10" s="29" t="s">
        <v>20</v>
      </c>
      <c r="B10" s="3">
        <f t="shared" si="1"/>
        <v>21437</v>
      </c>
      <c r="C10" s="20">
        <v>0.08</v>
      </c>
      <c r="D10" s="19">
        <f t="shared" si="6"/>
        <v>1715</v>
      </c>
      <c r="E10" s="19">
        <f t="shared" si="2"/>
        <v>156</v>
      </c>
      <c r="F10" s="19">
        <f t="shared" si="3"/>
        <v>19722</v>
      </c>
      <c r="G10" s="5">
        <v>2000</v>
      </c>
      <c r="H10" s="6">
        <f>10%</f>
        <v>0.1</v>
      </c>
      <c r="I10" s="8">
        <f t="shared" si="4"/>
        <v>39756000</v>
      </c>
      <c r="J10" s="5">
        <f t="shared" si="9"/>
        <v>39444000</v>
      </c>
      <c r="K10" s="7">
        <f t="shared" ref="K10:K25" si="10">F10*(G10+G10*H10)</f>
        <v>43388400</v>
      </c>
      <c r="L10" s="7">
        <f t="shared" si="8"/>
        <v>3944400</v>
      </c>
      <c r="M10" s="8">
        <f t="shared" si="5"/>
        <v>312000</v>
      </c>
      <c r="N10" s="5">
        <v>30</v>
      </c>
      <c r="O10" s="8">
        <f t="shared" si="0"/>
        <v>643110</v>
      </c>
      <c r="P10" s="9">
        <f>L10-M10-O10</f>
        <v>2989290</v>
      </c>
      <c r="Q10" s="10">
        <f>I10+P10</f>
        <v>42745290</v>
      </c>
      <c r="R10" s="11">
        <f>I10-Q9</f>
        <v>896840</v>
      </c>
    </row>
    <row r="11" spans="1:18" x14ac:dyDescent="0.3">
      <c r="A11" s="29" t="s">
        <v>21</v>
      </c>
      <c r="B11" s="3">
        <f t="shared" si="1"/>
        <v>23581</v>
      </c>
      <c r="C11" s="20">
        <v>0.08</v>
      </c>
      <c r="D11" s="19">
        <f t="shared" si="6"/>
        <v>1886</v>
      </c>
      <c r="E11" s="19">
        <f t="shared" si="2"/>
        <v>171</v>
      </c>
      <c r="F11" s="19">
        <f t="shared" si="3"/>
        <v>21695</v>
      </c>
      <c r="G11" s="5">
        <v>2000</v>
      </c>
      <c r="H11" s="6">
        <f>10%</f>
        <v>0.1</v>
      </c>
      <c r="I11" s="8">
        <f t="shared" si="4"/>
        <v>43732000</v>
      </c>
      <c r="J11" s="5">
        <f t="shared" si="9"/>
        <v>43390000</v>
      </c>
      <c r="K11" s="7">
        <f t="shared" si="10"/>
        <v>47729000</v>
      </c>
      <c r="L11" s="7">
        <f t="shared" si="8"/>
        <v>4339000</v>
      </c>
      <c r="M11" s="8">
        <f t="shared" si="5"/>
        <v>342000</v>
      </c>
      <c r="N11" s="5">
        <v>30</v>
      </c>
      <c r="O11" s="8">
        <f t="shared" si="0"/>
        <v>707430</v>
      </c>
      <c r="P11" s="9">
        <f>L11-M11-O11</f>
        <v>3289570</v>
      </c>
      <c r="Q11" s="10">
        <f>I11+P11</f>
        <v>47021570</v>
      </c>
      <c r="R11" s="11">
        <f>I11-Q10</f>
        <v>986710</v>
      </c>
    </row>
    <row r="12" spans="1:18" x14ac:dyDescent="0.3">
      <c r="A12" s="29" t="s">
        <v>22</v>
      </c>
      <c r="B12" s="3">
        <f t="shared" si="1"/>
        <v>25939</v>
      </c>
      <c r="C12" s="20">
        <v>0.08</v>
      </c>
      <c r="D12" s="19">
        <f t="shared" si="6"/>
        <v>2075</v>
      </c>
      <c r="E12" s="19">
        <f t="shared" si="2"/>
        <v>189</v>
      </c>
      <c r="F12" s="19">
        <f t="shared" si="3"/>
        <v>23864</v>
      </c>
      <c r="G12" s="5">
        <v>2000</v>
      </c>
      <c r="H12" s="6">
        <f>10%</f>
        <v>0.1</v>
      </c>
      <c r="I12" s="8">
        <f t="shared" si="4"/>
        <v>48106000</v>
      </c>
      <c r="J12" s="5">
        <f t="shared" si="9"/>
        <v>47728000</v>
      </c>
      <c r="K12" s="7">
        <f t="shared" si="10"/>
        <v>52500800</v>
      </c>
      <c r="L12" s="7">
        <f t="shared" si="8"/>
        <v>4772800</v>
      </c>
      <c r="M12" s="8">
        <f t="shared" si="5"/>
        <v>378000</v>
      </c>
      <c r="N12" s="5">
        <v>30</v>
      </c>
      <c r="O12" s="8">
        <f t="shared" si="0"/>
        <v>778170</v>
      </c>
      <c r="P12" s="9">
        <f>L12-M12-O12</f>
        <v>3616630</v>
      </c>
      <c r="Q12" s="10">
        <f>I12+P12</f>
        <v>51722630</v>
      </c>
      <c r="R12" s="11">
        <f>I12-Q11</f>
        <v>1084430</v>
      </c>
    </row>
    <row r="13" spans="1:18" ht="15" thickBot="1" x14ac:dyDescent="0.35">
      <c r="A13" s="37" t="s">
        <v>23</v>
      </c>
      <c r="B13" s="3">
        <f t="shared" si="1"/>
        <v>28533</v>
      </c>
      <c r="C13" s="13">
        <v>0.08</v>
      </c>
      <c r="D13" s="14">
        <f t="shared" si="6"/>
        <v>2283</v>
      </c>
      <c r="E13" s="14">
        <f t="shared" si="2"/>
        <v>208</v>
      </c>
      <c r="F13" s="19">
        <f t="shared" si="3"/>
        <v>26250</v>
      </c>
      <c r="G13" s="15">
        <v>2000</v>
      </c>
      <c r="H13" s="16">
        <f>10%</f>
        <v>0.1</v>
      </c>
      <c r="I13" s="18">
        <f t="shared" si="4"/>
        <v>52916000</v>
      </c>
      <c r="J13" s="15">
        <f t="shared" si="9"/>
        <v>52500000</v>
      </c>
      <c r="K13" s="17">
        <f t="shared" si="10"/>
        <v>57750000</v>
      </c>
      <c r="L13" s="17">
        <f>K13-J13</f>
        <v>5250000</v>
      </c>
      <c r="M13" s="18">
        <f t="shared" si="5"/>
        <v>416000</v>
      </c>
      <c r="N13" s="15">
        <v>30</v>
      </c>
      <c r="O13" s="18">
        <f t="shared" si="0"/>
        <v>855990</v>
      </c>
      <c r="P13" s="27">
        <f>L13-M13-O13</f>
        <v>3978010</v>
      </c>
      <c r="Q13" s="25">
        <f>I13+P13</f>
        <v>56894010</v>
      </c>
      <c r="R13" s="26">
        <f>I13-Q12</f>
        <v>1193370</v>
      </c>
    </row>
    <row r="14" spans="1:18" x14ac:dyDescent="0.3">
      <c r="A14" s="32"/>
      <c r="B14" s="19"/>
      <c r="C14" s="20"/>
      <c r="D14" s="19"/>
      <c r="E14" s="19"/>
      <c r="F14" s="19"/>
      <c r="G14" s="7"/>
      <c r="H14" s="6"/>
      <c r="I14" s="7"/>
      <c r="J14" s="7"/>
      <c r="K14" s="7"/>
      <c r="L14" s="7"/>
      <c r="M14" s="7"/>
      <c r="N14" s="7"/>
      <c r="O14" s="7"/>
      <c r="P14" s="7"/>
      <c r="Q14" s="33"/>
      <c r="R14" s="33"/>
    </row>
    <row r="15" spans="1:18" x14ac:dyDescent="0.3">
      <c r="A15" s="32"/>
      <c r="B15" s="19"/>
      <c r="C15" s="20"/>
      <c r="D15" s="19"/>
      <c r="E15" s="19"/>
      <c r="F15" s="19"/>
      <c r="G15" s="7"/>
      <c r="H15" s="6"/>
      <c r="I15" s="7"/>
      <c r="J15" s="7"/>
      <c r="K15" s="7"/>
      <c r="L15" s="7"/>
      <c r="M15" s="7"/>
      <c r="N15" s="7"/>
      <c r="O15" s="7"/>
      <c r="P15" s="7"/>
      <c r="Q15" s="33"/>
      <c r="R15" s="33"/>
    </row>
    <row r="16" spans="1:18" x14ac:dyDescent="0.3">
      <c r="A16" s="32"/>
      <c r="B16" s="19"/>
      <c r="C16" s="20"/>
      <c r="D16" s="19"/>
      <c r="E16" s="19"/>
      <c r="F16" s="19"/>
      <c r="G16" s="7"/>
      <c r="H16" s="6"/>
      <c r="I16" s="7"/>
      <c r="J16" s="7"/>
      <c r="K16" s="7"/>
      <c r="L16" s="7"/>
      <c r="M16" s="7"/>
      <c r="N16" s="7"/>
      <c r="O16" s="7"/>
      <c r="P16" s="7"/>
      <c r="Q16" s="33"/>
      <c r="R16" s="33"/>
    </row>
    <row r="17" spans="1:18" x14ac:dyDescent="0.3">
      <c r="A17" s="32"/>
      <c r="B17" s="19"/>
      <c r="C17" s="20"/>
      <c r="D17" s="19"/>
      <c r="E17" s="19"/>
      <c r="F17" s="19"/>
      <c r="G17" s="7"/>
      <c r="H17" s="6"/>
      <c r="I17" s="7"/>
      <c r="J17" s="7"/>
      <c r="K17" s="7"/>
      <c r="L17" s="7"/>
      <c r="M17" s="7"/>
      <c r="N17" s="7"/>
      <c r="O17" s="7"/>
      <c r="P17" s="7"/>
      <c r="Q17" s="33"/>
      <c r="R17" s="33"/>
    </row>
    <row r="18" spans="1:18" x14ac:dyDescent="0.3">
      <c r="A18" s="32"/>
      <c r="B18" s="19"/>
      <c r="C18" s="20"/>
      <c r="D18" s="19"/>
      <c r="E18" s="19"/>
      <c r="F18" s="19"/>
      <c r="G18" s="7"/>
      <c r="H18" s="6"/>
      <c r="I18" s="7"/>
      <c r="J18" s="7"/>
      <c r="K18" s="7"/>
      <c r="L18" s="7"/>
      <c r="M18" s="7"/>
      <c r="N18" s="7"/>
      <c r="O18" s="7"/>
      <c r="P18" s="7"/>
      <c r="Q18" s="33"/>
      <c r="R18" s="33"/>
    </row>
    <row r="19" spans="1:18" x14ac:dyDescent="0.3">
      <c r="A19" s="32"/>
      <c r="B19" s="19"/>
      <c r="C19" s="20"/>
      <c r="D19" s="19"/>
      <c r="E19" s="19"/>
      <c r="F19" s="19"/>
      <c r="G19" s="7"/>
      <c r="H19" s="6"/>
      <c r="I19" s="7"/>
      <c r="J19" s="7"/>
      <c r="K19" s="7"/>
      <c r="L19" s="7"/>
      <c r="M19" s="7"/>
      <c r="N19" s="7"/>
      <c r="O19" s="7"/>
      <c r="P19" s="7"/>
      <c r="Q19" s="33"/>
      <c r="R19" s="33"/>
    </row>
    <row r="20" spans="1:18" x14ac:dyDescent="0.3">
      <c r="A20" s="32"/>
      <c r="B20" s="19"/>
      <c r="C20" s="20"/>
      <c r="D20" s="19"/>
      <c r="E20" s="19"/>
      <c r="F20" s="19"/>
      <c r="G20" s="7"/>
      <c r="H20" s="6"/>
      <c r="I20" s="7"/>
      <c r="J20" s="7"/>
      <c r="K20" s="7"/>
      <c r="L20" s="7"/>
      <c r="M20" s="7"/>
      <c r="N20" s="7"/>
      <c r="O20" s="7"/>
      <c r="P20" s="7"/>
      <c r="Q20" s="33"/>
      <c r="R20" s="33"/>
    </row>
    <row r="21" spans="1:18" x14ac:dyDescent="0.3">
      <c r="A21" s="32"/>
      <c r="B21" s="19"/>
      <c r="C21" s="20"/>
      <c r="D21" s="19"/>
      <c r="E21" s="19"/>
      <c r="F21" s="19"/>
      <c r="G21" s="7"/>
      <c r="H21" s="6"/>
      <c r="I21" s="7"/>
      <c r="J21" s="7"/>
      <c r="K21" s="7"/>
      <c r="L21" s="7"/>
      <c r="M21" s="7"/>
      <c r="N21" s="7"/>
      <c r="O21" s="7"/>
      <c r="P21" s="7"/>
      <c r="Q21" s="33"/>
      <c r="R21" s="33"/>
    </row>
    <row r="22" spans="1:18" x14ac:dyDescent="0.3">
      <c r="A22" s="32"/>
      <c r="B22" s="19"/>
      <c r="C22" s="20"/>
      <c r="D22" s="19"/>
      <c r="E22" s="19"/>
      <c r="F22" s="19"/>
      <c r="G22" s="7"/>
      <c r="H22" s="6"/>
      <c r="I22" s="7"/>
      <c r="J22" s="7"/>
      <c r="K22" s="7"/>
      <c r="L22" s="7"/>
      <c r="M22" s="7"/>
      <c r="N22" s="7"/>
      <c r="O22" s="7"/>
      <c r="P22" s="7"/>
      <c r="Q22" s="33"/>
      <c r="R22" s="33"/>
    </row>
    <row r="23" spans="1:18" x14ac:dyDescent="0.3">
      <c r="A23" s="32"/>
      <c r="B23" s="19"/>
      <c r="C23" s="20"/>
      <c r="D23" s="19"/>
      <c r="E23" s="19"/>
      <c r="F23" s="19"/>
      <c r="G23" s="7"/>
      <c r="H23" s="6"/>
      <c r="I23" s="7"/>
      <c r="J23" s="7"/>
      <c r="K23" s="7"/>
      <c r="L23" s="7"/>
      <c r="M23" s="7"/>
      <c r="N23" s="7"/>
      <c r="O23" s="7"/>
      <c r="P23" s="7"/>
      <c r="Q23" s="33"/>
      <c r="R23" s="33"/>
    </row>
    <row r="24" spans="1:18" x14ac:dyDescent="0.3">
      <c r="A24" s="32"/>
      <c r="B24" s="19"/>
      <c r="C24" s="20"/>
      <c r="D24" s="19"/>
      <c r="E24" s="19"/>
      <c r="F24" s="19"/>
      <c r="G24" s="7"/>
      <c r="H24" s="6"/>
      <c r="I24" s="7"/>
      <c r="J24" s="7"/>
      <c r="K24" s="7"/>
      <c r="L24" s="7"/>
      <c r="M24" s="7"/>
      <c r="N24" s="7"/>
      <c r="O24" s="7"/>
      <c r="P24" s="7"/>
      <c r="Q24" s="33"/>
      <c r="R24" s="33"/>
    </row>
    <row r="25" spans="1:18" x14ac:dyDescent="0.3">
      <c r="A25" s="32"/>
      <c r="B25" s="19"/>
      <c r="C25" s="20"/>
      <c r="D25" s="19"/>
      <c r="E25" s="19"/>
      <c r="F25" s="19"/>
      <c r="G25" s="7"/>
      <c r="H25" s="6"/>
      <c r="I25" s="7"/>
      <c r="J25" s="7"/>
      <c r="K25" s="7"/>
      <c r="L25" s="7"/>
      <c r="M25" s="7"/>
      <c r="N25" s="7"/>
      <c r="O25" s="7"/>
      <c r="P25" s="7"/>
      <c r="Q25" s="33"/>
      <c r="R25" s="33"/>
    </row>
  </sheetData>
  <conditionalFormatting sqref="P2:P25">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5CFD-C115-42B7-B879-782832BA3855}">
  <dimension ref="A1:X25"/>
  <sheetViews>
    <sheetView tabSelected="1" zoomScale="67" workbookViewId="0">
      <selection activeCell="M21" sqref="M21"/>
    </sheetView>
  </sheetViews>
  <sheetFormatPr baseColWidth="10" defaultRowHeight="14.4" x14ac:dyDescent="0.3"/>
  <cols>
    <col min="1" max="1" width="11.6640625" customWidth="1"/>
    <col min="2" max="2" width="9.77734375" bestFit="1" customWidth="1"/>
    <col min="3" max="3" width="8.44140625" bestFit="1" customWidth="1"/>
    <col min="4" max="5" width="10.44140625" bestFit="1" customWidth="1"/>
    <col min="6" max="6" width="9.77734375" bestFit="1" customWidth="1"/>
    <col min="7" max="7" width="12.6640625" bestFit="1" customWidth="1"/>
    <col min="8" max="8" width="10.6640625" bestFit="1" customWidth="1"/>
    <col min="9" max="9" width="21.33203125" bestFit="1" customWidth="1"/>
    <col min="10" max="10" width="19.88671875" bestFit="1" customWidth="1"/>
    <col min="11" max="11" width="20.88671875" bestFit="1" customWidth="1"/>
    <col min="12" max="12" width="19.33203125" bestFit="1" customWidth="1"/>
    <col min="13" max="13" width="18.44140625" bestFit="1" customWidth="1"/>
    <col min="14" max="14" width="10.44140625" bestFit="1" customWidth="1"/>
    <col min="15" max="15" width="18.44140625" bestFit="1" customWidth="1"/>
    <col min="16" max="18" width="18.44140625" customWidth="1"/>
    <col min="19" max="19" width="19.6640625" customWidth="1"/>
    <col min="20" max="20" width="18.44140625" bestFit="1" customWidth="1"/>
    <col min="22" max="22" width="11.5546875" customWidth="1"/>
  </cols>
  <sheetData>
    <row r="1" spans="1:24" s="43" customFormat="1" ht="43.8" thickBot="1" x14ac:dyDescent="0.35">
      <c r="A1" s="38" t="s">
        <v>0</v>
      </c>
      <c r="B1" s="38" t="s">
        <v>50</v>
      </c>
      <c r="C1" s="39" t="s">
        <v>1</v>
      </c>
      <c r="D1" s="39" t="s">
        <v>47</v>
      </c>
      <c r="E1" s="39" t="s">
        <v>48</v>
      </c>
      <c r="F1" s="40" t="s">
        <v>49</v>
      </c>
      <c r="G1" s="41" t="s">
        <v>52</v>
      </c>
      <c r="H1" s="41" t="s">
        <v>51</v>
      </c>
      <c r="I1" s="41" t="s">
        <v>39</v>
      </c>
      <c r="J1" s="41" t="s">
        <v>44</v>
      </c>
      <c r="K1" s="41" t="s">
        <v>46</v>
      </c>
      <c r="L1" s="41" t="s">
        <v>45</v>
      </c>
      <c r="M1" s="42" t="s">
        <v>2</v>
      </c>
      <c r="N1" s="38" t="s">
        <v>3</v>
      </c>
      <c r="O1" s="40" t="s">
        <v>4</v>
      </c>
      <c r="P1" s="42" t="s">
        <v>40</v>
      </c>
      <c r="Q1" s="42" t="s">
        <v>42</v>
      </c>
      <c r="R1" s="42" t="s">
        <v>41</v>
      </c>
      <c r="S1" s="48" t="s">
        <v>43</v>
      </c>
      <c r="T1" s="48" t="s">
        <v>5</v>
      </c>
    </row>
    <row r="2" spans="1:24" x14ac:dyDescent="0.3">
      <c r="A2" s="28" t="s">
        <v>12</v>
      </c>
      <c r="B2" s="2">
        <v>5000</v>
      </c>
      <c r="C2" s="30">
        <v>0.13500000000000001</v>
      </c>
      <c r="D2" s="1">
        <f>ROUND(B2*C2,0)</f>
        <v>675</v>
      </c>
      <c r="E2" s="1">
        <f>D2</f>
        <v>675</v>
      </c>
      <c r="F2" s="31">
        <f>ROUND(B2-D2,0)</f>
        <v>4325</v>
      </c>
      <c r="G2" s="21">
        <v>1000</v>
      </c>
      <c r="H2" s="22">
        <f>15%</f>
        <v>0.15</v>
      </c>
      <c r="I2" s="23">
        <f>G2*(E2+F2)</f>
        <v>5000000</v>
      </c>
      <c r="J2" s="21">
        <f>G2*F2</f>
        <v>4325000</v>
      </c>
      <c r="K2" s="24">
        <f>F2*(G2+G2*H2)</f>
        <v>4973750</v>
      </c>
      <c r="L2" s="24">
        <f>K2-J2</f>
        <v>648750</v>
      </c>
      <c r="M2" s="23">
        <f>E2*G2</f>
        <v>675000</v>
      </c>
      <c r="N2" s="21">
        <v>30</v>
      </c>
      <c r="O2" s="24">
        <f>N2*B2</f>
        <v>150000</v>
      </c>
      <c r="P2" s="21">
        <f>30*E2</f>
        <v>20250</v>
      </c>
      <c r="Q2" s="50">
        <f>ROUND(E2*0.5,0)</f>
        <v>338</v>
      </c>
      <c r="R2" s="24">
        <f>Q2*150</f>
        <v>50700</v>
      </c>
      <c r="S2" s="24">
        <f>L2-M2-O2-P2+R2</f>
        <v>-145800</v>
      </c>
      <c r="T2" s="51">
        <v>-176250</v>
      </c>
    </row>
    <row r="3" spans="1:24" x14ac:dyDescent="0.3">
      <c r="A3" s="29" t="s">
        <v>13</v>
      </c>
      <c r="B3" s="3">
        <f t="shared" ref="B3:B13" si="0">ROUND(B2*1.25, 0)</f>
        <v>6250</v>
      </c>
      <c r="C3" s="20">
        <v>0.13500000000000001</v>
      </c>
      <c r="D3" s="19">
        <f>ROUND(B3*C3,0)</f>
        <v>844</v>
      </c>
      <c r="E3" s="19">
        <f>D3-(D2-Q2)</f>
        <v>507</v>
      </c>
      <c r="F3" s="4">
        <f>ROUND(B3-D3,0)</f>
        <v>5406</v>
      </c>
      <c r="G3" s="5">
        <v>1000</v>
      </c>
      <c r="H3" s="6">
        <f>15%</f>
        <v>0.15</v>
      </c>
      <c r="I3" s="8">
        <f>G3*(E3+F3)</f>
        <v>5913000</v>
      </c>
      <c r="J3" s="5">
        <f>G3*F3</f>
        <v>5406000</v>
      </c>
      <c r="K3" s="7">
        <f t="shared" ref="K3" si="1">F3*(G3+G3*H3)</f>
        <v>6216900</v>
      </c>
      <c r="L3" s="7">
        <f>K3-J3</f>
        <v>810900</v>
      </c>
      <c r="M3" s="8">
        <f t="shared" ref="M3:M25" si="2">E3*G3</f>
        <v>507000</v>
      </c>
      <c r="N3" s="5">
        <v>30</v>
      </c>
      <c r="O3" s="7">
        <f t="shared" ref="O3:O25" si="3">N3*B3</f>
        <v>187500</v>
      </c>
      <c r="P3" s="5">
        <f t="shared" ref="P3:P13" si="4">30*E3</f>
        <v>15210</v>
      </c>
      <c r="Q3" s="49">
        <f t="shared" ref="Q3:Q13" si="5">ROUND(E3*0.5,0)</f>
        <v>254</v>
      </c>
      <c r="R3" s="7">
        <f t="shared" ref="R3:R12" si="6">Q3*150</f>
        <v>38100</v>
      </c>
      <c r="S3" s="7">
        <f t="shared" ref="S3:S13" si="7">L3-M3-O3-P3+R3</f>
        <v>139290</v>
      </c>
      <c r="T3" s="52">
        <v>454400</v>
      </c>
    </row>
    <row r="4" spans="1:24" x14ac:dyDescent="0.3">
      <c r="A4" s="29" t="s">
        <v>14</v>
      </c>
      <c r="B4" s="3">
        <f t="shared" si="0"/>
        <v>7813</v>
      </c>
      <c r="C4" s="20">
        <v>0.13500000000000001</v>
      </c>
      <c r="D4" s="19">
        <f>ROUND(B4*C4,0)</f>
        <v>1055</v>
      </c>
      <c r="E4" s="19">
        <f t="shared" ref="E4:E13" si="8">D4-(D3-Q3)</f>
        <v>465</v>
      </c>
      <c r="F4" s="4">
        <f t="shared" ref="F4:F13" si="9">ROUND(B4-D4,0)</f>
        <v>6758</v>
      </c>
      <c r="G4" s="5">
        <v>1000</v>
      </c>
      <c r="H4" s="6">
        <f>15%</f>
        <v>0.15</v>
      </c>
      <c r="I4" s="8">
        <f t="shared" ref="I4:I25" si="10">G4*(E4+F4)</f>
        <v>7223000</v>
      </c>
      <c r="J4" s="5">
        <f>G4*F4</f>
        <v>6758000</v>
      </c>
      <c r="K4" s="7">
        <f>F4*(G4+G4*H4)</f>
        <v>7771700</v>
      </c>
      <c r="L4" s="7">
        <f>K4-J4</f>
        <v>1013700</v>
      </c>
      <c r="M4" s="8">
        <f>E4*G4</f>
        <v>465000</v>
      </c>
      <c r="N4" s="5">
        <v>30</v>
      </c>
      <c r="O4" s="7">
        <f t="shared" si="3"/>
        <v>234390</v>
      </c>
      <c r="P4" s="5">
        <f t="shared" si="4"/>
        <v>13950</v>
      </c>
      <c r="Q4" s="49">
        <f t="shared" si="5"/>
        <v>233</v>
      </c>
      <c r="R4" s="7">
        <f t="shared" si="6"/>
        <v>34950</v>
      </c>
      <c r="S4" s="7">
        <f t="shared" si="7"/>
        <v>335310</v>
      </c>
      <c r="T4" s="52">
        <v>568310</v>
      </c>
      <c r="V4" s="46"/>
      <c r="W4" s="46"/>
      <c r="X4" s="46"/>
    </row>
    <row r="5" spans="1:24" x14ac:dyDescent="0.3">
      <c r="A5" s="29" t="s">
        <v>15</v>
      </c>
      <c r="B5" s="3">
        <f t="shared" si="0"/>
        <v>9766</v>
      </c>
      <c r="C5" s="20">
        <v>0.13500000000000001</v>
      </c>
      <c r="D5" s="19">
        <f>ROUND(B5*C5,0)</f>
        <v>1318</v>
      </c>
      <c r="E5" s="19">
        <f t="shared" si="8"/>
        <v>496</v>
      </c>
      <c r="F5" s="4">
        <f t="shared" si="9"/>
        <v>8448</v>
      </c>
      <c r="G5" s="5">
        <v>1000</v>
      </c>
      <c r="H5" s="6">
        <f>15%</f>
        <v>0.15</v>
      </c>
      <c r="I5" s="8">
        <f>G5*(E5+F5)</f>
        <v>8944000</v>
      </c>
      <c r="J5" s="5">
        <f>G5*F5</f>
        <v>8448000</v>
      </c>
      <c r="K5" s="7">
        <f t="shared" ref="K5:K8" si="11">F5*(G5+G5*H5)</f>
        <v>9715200</v>
      </c>
      <c r="L5" s="7">
        <f t="shared" ref="L5:L12" si="12">K5-J5</f>
        <v>1267200</v>
      </c>
      <c r="M5" s="8">
        <f t="shared" si="2"/>
        <v>496000</v>
      </c>
      <c r="N5" s="5">
        <v>30</v>
      </c>
      <c r="O5" s="7">
        <f>N5*B5</f>
        <v>292980</v>
      </c>
      <c r="P5" s="5">
        <f t="shared" si="4"/>
        <v>14880</v>
      </c>
      <c r="Q5" s="49">
        <f t="shared" si="5"/>
        <v>248</v>
      </c>
      <c r="R5" s="7">
        <f t="shared" si="6"/>
        <v>37200</v>
      </c>
      <c r="S5" s="7">
        <f t="shared" si="7"/>
        <v>500540</v>
      </c>
      <c r="T5" s="52">
        <v>711220</v>
      </c>
      <c r="V5" s="46"/>
      <c r="W5" s="46"/>
      <c r="X5" s="46"/>
    </row>
    <row r="6" spans="1:24" x14ac:dyDescent="0.3">
      <c r="A6" s="29" t="s">
        <v>16</v>
      </c>
      <c r="B6" s="3">
        <f t="shared" si="0"/>
        <v>12208</v>
      </c>
      <c r="C6" s="20">
        <v>0.13500000000000001</v>
      </c>
      <c r="D6" s="19">
        <f>ROUND(B6*C6,0)</f>
        <v>1648</v>
      </c>
      <c r="E6" s="19">
        <f t="shared" si="8"/>
        <v>578</v>
      </c>
      <c r="F6" s="4">
        <f>ROUND(B6-D6,0)</f>
        <v>10560</v>
      </c>
      <c r="G6" s="5">
        <v>1000</v>
      </c>
      <c r="H6" s="6">
        <f>15%</f>
        <v>0.15</v>
      </c>
      <c r="I6" s="8">
        <f>G6*(E6+F6)</f>
        <v>11138000</v>
      </c>
      <c r="J6" s="5">
        <f t="shared" ref="J6:J25" si="13">G6*F6</f>
        <v>10560000</v>
      </c>
      <c r="K6" s="7">
        <f>F6*(G6+G6*H6)</f>
        <v>12144000</v>
      </c>
      <c r="L6" s="7">
        <f>K6-J6</f>
        <v>1584000</v>
      </c>
      <c r="M6" s="8">
        <f>E6*G6</f>
        <v>578000</v>
      </c>
      <c r="N6" s="5">
        <v>30</v>
      </c>
      <c r="O6" s="7">
        <f t="shared" si="3"/>
        <v>366240</v>
      </c>
      <c r="P6" s="5">
        <f t="shared" si="4"/>
        <v>17340</v>
      </c>
      <c r="Q6" s="49">
        <f t="shared" si="5"/>
        <v>289</v>
      </c>
      <c r="R6" s="7">
        <f t="shared" si="6"/>
        <v>43350</v>
      </c>
      <c r="S6" s="7">
        <f t="shared" si="7"/>
        <v>665770</v>
      </c>
      <c r="T6" s="52">
        <v>887760</v>
      </c>
      <c r="V6" s="46"/>
      <c r="W6" s="46"/>
      <c r="X6" s="46"/>
    </row>
    <row r="7" spans="1:24" x14ac:dyDescent="0.3">
      <c r="A7" s="29" t="s">
        <v>17</v>
      </c>
      <c r="B7" s="3">
        <f t="shared" si="0"/>
        <v>15260</v>
      </c>
      <c r="C7" s="20">
        <v>0.13500000000000001</v>
      </c>
      <c r="D7" s="19">
        <f t="shared" ref="D7:D13" si="14">ROUND(B7*C7,0)</f>
        <v>2060</v>
      </c>
      <c r="E7" s="19">
        <f t="shared" si="8"/>
        <v>701</v>
      </c>
      <c r="F7" s="4">
        <f t="shared" si="9"/>
        <v>13200</v>
      </c>
      <c r="G7" s="5">
        <v>1000</v>
      </c>
      <c r="H7" s="6">
        <f>15%</f>
        <v>0.15</v>
      </c>
      <c r="I7" s="8">
        <f t="shared" si="10"/>
        <v>13901000</v>
      </c>
      <c r="J7" s="5">
        <f t="shared" si="13"/>
        <v>13200000</v>
      </c>
      <c r="K7" s="7">
        <f t="shared" si="11"/>
        <v>15180000</v>
      </c>
      <c r="L7" s="7">
        <f t="shared" si="12"/>
        <v>1980000</v>
      </c>
      <c r="M7" s="8">
        <f>E7*G7</f>
        <v>701000</v>
      </c>
      <c r="N7" s="5">
        <v>30</v>
      </c>
      <c r="O7" s="7">
        <f>N7*B7</f>
        <v>457800</v>
      </c>
      <c r="P7" s="5">
        <f t="shared" si="4"/>
        <v>21030</v>
      </c>
      <c r="Q7" s="49">
        <f t="shared" si="5"/>
        <v>351</v>
      </c>
      <c r="R7" s="7">
        <f t="shared" si="6"/>
        <v>52650</v>
      </c>
      <c r="S7" s="7">
        <f t="shared" si="7"/>
        <v>852820</v>
      </c>
      <c r="T7" s="52">
        <v>1110200</v>
      </c>
      <c r="V7" s="46"/>
      <c r="W7" s="46"/>
      <c r="X7" s="46"/>
    </row>
    <row r="8" spans="1:24" x14ac:dyDescent="0.3">
      <c r="A8" s="29" t="s">
        <v>18</v>
      </c>
      <c r="B8" s="3">
        <f t="shared" si="0"/>
        <v>19075</v>
      </c>
      <c r="C8" s="20">
        <v>0.13500000000000001</v>
      </c>
      <c r="D8" s="19">
        <f t="shared" si="14"/>
        <v>2575</v>
      </c>
      <c r="E8" s="19">
        <f t="shared" si="8"/>
        <v>866</v>
      </c>
      <c r="F8" s="4">
        <f t="shared" si="9"/>
        <v>16500</v>
      </c>
      <c r="G8" s="5">
        <v>1000</v>
      </c>
      <c r="H8" s="6">
        <f>15%</f>
        <v>0.15</v>
      </c>
      <c r="I8" s="8">
        <f t="shared" si="10"/>
        <v>17366000</v>
      </c>
      <c r="J8" s="5">
        <f t="shared" si="13"/>
        <v>16500000</v>
      </c>
      <c r="K8" s="7">
        <f t="shared" si="11"/>
        <v>18975000</v>
      </c>
      <c r="L8" s="7">
        <f t="shared" si="12"/>
        <v>2475000</v>
      </c>
      <c r="M8" s="8">
        <f t="shared" si="2"/>
        <v>866000</v>
      </c>
      <c r="N8" s="5">
        <v>30</v>
      </c>
      <c r="O8" s="7">
        <f t="shared" si="3"/>
        <v>572250</v>
      </c>
      <c r="P8" s="5">
        <f t="shared" si="4"/>
        <v>25980</v>
      </c>
      <c r="Q8" s="49">
        <f t="shared" si="5"/>
        <v>433</v>
      </c>
      <c r="R8" s="7">
        <f t="shared" si="6"/>
        <v>64950</v>
      </c>
      <c r="S8" s="7">
        <f t="shared" si="7"/>
        <v>1075720</v>
      </c>
      <c r="T8" s="52">
        <v>1387750</v>
      </c>
      <c r="V8" s="46"/>
      <c r="W8" s="46"/>
      <c r="X8" s="46"/>
    </row>
    <row r="9" spans="1:24" x14ac:dyDescent="0.3">
      <c r="A9" s="29" t="s">
        <v>19</v>
      </c>
      <c r="B9" s="3">
        <f t="shared" si="0"/>
        <v>23844</v>
      </c>
      <c r="C9" s="20">
        <v>0.13500000000000001</v>
      </c>
      <c r="D9" s="19">
        <f t="shared" si="14"/>
        <v>3219</v>
      </c>
      <c r="E9" s="19">
        <f t="shared" si="8"/>
        <v>1077</v>
      </c>
      <c r="F9" s="4">
        <f t="shared" si="9"/>
        <v>20625</v>
      </c>
      <c r="G9" s="5">
        <v>1000</v>
      </c>
      <c r="H9" s="6">
        <f>15%</f>
        <v>0.15</v>
      </c>
      <c r="I9" s="8">
        <f t="shared" si="10"/>
        <v>21702000</v>
      </c>
      <c r="J9" s="5">
        <f t="shared" si="13"/>
        <v>20625000</v>
      </c>
      <c r="K9" s="7">
        <f>F9*(G9+G9*H9)</f>
        <v>23718750</v>
      </c>
      <c r="L9" s="7">
        <f t="shared" si="12"/>
        <v>3093750</v>
      </c>
      <c r="M9" s="8">
        <f t="shared" si="2"/>
        <v>1077000</v>
      </c>
      <c r="N9" s="5">
        <v>30</v>
      </c>
      <c r="O9" s="7">
        <f t="shared" si="3"/>
        <v>715320</v>
      </c>
      <c r="P9" s="5">
        <f t="shared" si="4"/>
        <v>32310</v>
      </c>
      <c r="Q9" s="49">
        <f t="shared" si="5"/>
        <v>539</v>
      </c>
      <c r="R9" s="7">
        <f t="shared" si="6"/>
        <v>80850</v>
      </c>
      <c r="S9" s="7">
        <f t="shared" si="7"/>
        <v>1349970</v>
      </c>
      <c r="T9" s="52">
        <v>1734430</v>
      </c>
      <c r="V9" s="47"/>
      <c r="W9" s="46"/>
      <c r="X9" s="46"/>
    </row>
    <row r="10" spans="1:24" x14ac:dyDescent="0.3">
      <c r="A10" s="29" t="s">
        <v>20</v>
      </c>
      <c r="B10" s="3">
        <f t="shared" si="0"/>
        <v>29805</v>
      </c>
      <c r="C10" s="20">
        <v>0.13500000000000001</v>
      </c>
      <c r="D10" s="19">
        <f t="shared" si="14"/>
        <v>4024</v>
      </c>
      <c r="E10" s="19">
        <f t="shared" si="8"/>
        <v>1344</v>
      </c>
      <c r="F10" s="4">
        <f t="shared" si="9"/>
        <v>25781</v>
      </c>
      <c r="G10" s="5">
        <v>1000</v>
      </c>
      <c r="H10" s="6">
        <f>15%</f>
        <v>0.15</v>
      </c>
      <c r="I10" s="8">
        <f t="shared" si="10"/>
        <v>27125000</v>
      </c>
      <c r="J10" s="5">
        <f t="shared" si="13"/>
        <v>25781000</v>
      </c>
      <c r="K10" s="7">
        <f t="shared" ref="K10:K25" si="15">F10*(G10+G10*H10)</f>
        <v>29648150</v>
      </c>
      <c r="L10" s="7">
        <f t="shared" si="12"/>
        <v>3867150</v>
      </c>
      <c r="M10" s="8">
        <f t="shared" si="2"/>
        <v>1344000</v>
      </c>
      <c r="N10" s="5">
        <v>30</v>
      </c>
      <c r="O10" s="7">
        <f t="shared" si="3"/>
        <v>894150</v>
      </c>
      <c r="P10" s="5">
        <f t="shared" si="4"/>
        <v>40320</v>
      </c>
      <c r="Q10" s="49">
        <f t="shared" si="5"/>
        <v>672</v>
      </c>
      <c r="R10" s="7">
        <f t="shared" si="6"/>
        <v>100800</v>
      </c>
      <c r="S10" s="7">
        <f t="shared" si="7"/>
        <v>1689480</v>
      </c>
      <c r="T10" s="52">
        <v>2168000</v>
      </c>
      <c r="V10" s="46"/>
      <c r="W10" s="46"/>
      <c r="X10" s="46"/>
    </row>
    <row r="11" spans="1:24" x14ac:dyDescent="0.3">
      <c r="A11" s="29" t="s">
        <v>21</v>
      </c>
      <c r="B11" s="3">
        <f t="shared" si="0"/>
        <v>37256</v>
      </c>
      <c r="C11" s="20">
        <v>0.13500000000000001</v>
      </c>
      <c r="D11" s="19">
        <f t="shared" si="14"/>
        <v>5030</v>
      </c>
      <c r="E11" s="19">
        <f t="shared" si="8"/>
        <v>1678</v>
      </c>
      <c r="F11" s="4">
        <f t="shared" si="9"/>
        <v>32226</v>
      </c>
      <c r="G11" s="5">
        <v>1000</v>
      </c>
      <c r="H11" s="6">
        <f>15%</f>
        <v>0.15</v>
      </c>
      <c r="I11" s="8">
        <f t="shared" si="10"/>
        <v>33904000</v>
      </c>
      <c r="J11" s="5">
        <f t="shared" si="13"/>
        <v>32226000</v>
      </c>
      <c r="K11" s="7">
        <f t="shared" si="15"/>
        <v>37059900</v>
      </c>
      <c r="L11" s="7">
        <f t="shared" si="12"/>
        <v>4833900</v>
      </c>
      <c r="M11" s="8">
        <f t="shared" si="2"/>
        <v>1678000</v>
      </c>
      <c r="N11" s="5">
        <v>30</v>
      </c>
      <c r="O11" s="7">
        <f t="shared" si="3"/>
        <v>1117680</v>
      </c>
      <c r="P11" s="5">
        <f t="shared" si="4"/>
        <v>50340</v>
      </c>
      <c r="Q11" s="49">
        <f t="shared" si="5"/>
        <v>839</v>
      </c>
      <c r="R11" s="7">
        <f t="shared" si="6"/>
        <v>125850</v>
      </c>
      <c r="S11" s="7">
        <f t="shared" si="7"/>
        <v>2113730</v>
      </c>
      <c r="T11" s="52">
        <v>2710220</v>
      </c>
      <c r="V11" s="46"/>
      <c r="W11" s="46"/>
      <c r="X11" s="46"/>
    </row>
    <row r="12" spans="1:24" x14ac:dyDescent="0.3">
      <c r="A12" s="29" t="s">
        <v>22</v>
      </c>
      <c r="B12" s="3">
        <f t="shared" si="0"/>
        <v>46570</v>
      </c>
      <c r="C12" s="20">
        <v>0.13500000000000001</v>
      </c>
      <c r="D12" s="19">
        <f t="shared" si="14"/>
        <v>6287</v>
      </c>
      <c r="E12" s="19">
        <f t="shared" si="8"/>
        <v>2096</v>
      </c>
      <c r="F12" s="4">
        <f t="shared" si="9"/>
        <v>40283</v>
      </c>
      <c r="G12" s="5">
        <v>1000</v>
      </c>
      <c r="H12" s="6">
        <f>15%</f>
        <v>0.15</v>
      </c>
      <c r="I12" s="8">
        <f t="shared" si="10"/>
        <v>42379000</v>
      </c>
      <c r="J12" s="5">
        <f t="shared" si="13"/>
        <v>40283000</v>
      </c>
      <c r="K12" s="7">
        <f t="shared" si="15"/>
        <v>46325450</v>
      </c>
      <c r="L12" s="7">
        <f t="shared" si="12"/>
        <v>6042450</v>
      </c>
      <c r="M12" s="8">
        <f t="shared" si="2"/>
        <v>2096000</v>
      </c>
      <c r="N12" s="5">
        <v>30</v>
      </c>
      <c r="O12" s="7">
        <f t="shared" si="3"/>
        <v>1397100</v>
      </c>
      <c r="P12" s="5">
        <f t="shared" si="4"/>
        <v>62880</v>
      </c>
      <c r="Q12" s="49">
        <f t="shared" si="5"/>
        <v>1048</v>
      </c>
      <c r="R12" s="7">
        <f t="shared" si="6"/>
        <v>157200</v>
      </c>
      <c r="S12" s="7">
        <f t="shared" si="7"/>
        <v>2643670</v>
      </c>
      <c r="T12" s="52">
        <v>3388350</v>
      </c>
      <c r="V12" s="46"/>
      <c r="W12" s="46"/>
      <c r="X12" s="46"/>
    </row>
    <row r="13" spans="1:24" ht="15" thickBot="1" x14ac:dyDescent="0.35">
      <c r="A13" s="37" t="s">
        <v>23</v>
      </c>
      <c r="B13" s="12">
        <f t="shared" si="0"/>
        <v>58213</v>
      </c>
      <c r="C13" s="13">
        <v>0.13500000000000001</v>
      </c>
      <c r="D13" s="14">
        <f t="shared" si="14"/>
        <v>7859</v>
      </c>
      <c r="E13" s="19">
        <f t="shared" si="8"/>
        <v>2620</v>
      </c>
      <c r="F13" s="4">
        <f t="shared" si="9"/>
        <v>50354</v>
      </c>
      <c r="G13" s="15">
        <v>1000</v>
      </c>
      <c r="H13" s="16">
        <f>15%</f>
        <v>0.15</v>
      </c>
      <c r="I13" s="18">
        <f t="shared" si="10"/>
        <v>52974000</v>
      </c>
      <c r="J13" s="15">
        <f t="shared" si="13"/>
        <v>50354000</v>
      </c>
      <c r="K13" s="17">
        <f t="shared" si="15"/>
        <v>57907100</v>
      </c>
      <c r="L13" s="17">
        <f>K13-J13</f>
        <v>7553100</v>
      </c>
      <c r="M13" s="18">
        <f t="shared" si="2"/>
        <v>2620000</v>
      </c>
      <c r="N13" s="15">
        <v>30</v>
      </c>
      <c r="O13" s="17">
        <f t="shared" si="3"/>
        <v>1746390</v>
      </c>
      <c r="P13" s="15">
        <f t="shared" si="4"/>
        <v>78600</v>
      </c>
      <c r="Q13" s="53">
        <f t="shared" si="5"/>
        <v>1310</v>
      </c>
      <c r="R13" s="17">
        <f>Q13*150</f>
        <v>196500</v>
      </c>
      <c r="S13" s="17">
        <f t="shared" si="7"/>
        <v>3304610</v>
      </c>
      <c r="T13" s="54">
        <v>4234710</v>
      </c>
      <c r="V13" s="46"/>
      <c r="W13" s="46"/>
      <c r="X13" s="46"/>
    </row>
    <row r="14" spans="1:24" x14ac:dyDescent="0.3">
      <c r="A14" s="32"/>
      <c r="B14" s="19"/>
      <c r="C14" s="20"/>
      <c r="D14" s="19"/>
      <c r="E14" s="19"/>
      <c r="F14" s="19"/>
      <c r="G14" s="7"/>
      <c r="H14" s="6"/>
      <c r="I14" s="7"/>
      <c r="J14" s="7"/>
      <c r="K14" s="7"/>
      <c r="L14" s="7"/>
      <c r="M14" s="7"/>
      <c r="N14" s="7"/>
      <c r="O14" s="7"/>
      <c r="P14" s="7"/>
      <c r="Q14" s="7"/>
      <c r="R14" s="7"/>
      <c r="S14" s="7"/>
      <c r="V14" s="46"/>
      <c r="W14" s="46"/>
      <c r="X14" s="46"/>
    </row>
    <row r="15" spans="1:24" x14ac:dyDescent="0.3">
      <c r="A15" s="32"/>
      <c r="B15" s="19"/>
      <c r="C15" s="20"/>
      <c r="D15" s="19"/>
      <c r="E15" s="19"/>
      <c r="F15" s="19"/>
      <c r="G15" s="7"/>
      <c r="H15" s="6"/>
      <c r="I15" s="7"/>
      <c r="J15" s="7"/>
      <c r="K15" s="7"/>
      <c r="L15" s="7"/>
      <c r="M15" s="7"/>
      <c r="N15" s="7"/>
      <c r="O15" s="7"/>
      <c r="P15" s="7"/>
      <c r="Q15" s="7"/>
      <c r="R15" s="7"/>
      <c r="S15" s="7"/>
      <c r="V15" s="46"/>
      <c r="W15" s="46"/>
      <c r="X15" s="46"/>
    </row>
    <row r="16" spans="1:24" x14ac:dyDescent="0.3">
      <c r="A16" s="32"/>
      <c r="B16" s="19"/>
      <c r="C16" s="20"/>
      <c r="D16" s="19"/>
      <c r="E16" s="19"/>
      <c r="F16" s="19"/>
      <c r="G16" s="7"/>
      <c r="H16" s="6"/>
      <c r="I16" s="7"/>
      <c r="J16" s="7"/>
      <c r="K16" s="7"/>
      <c r="L16" s="7"/>
      <c r="M16" s="7"/>
      <c r="N16" s="7"/>
      <c r="O16" s="7"/>
      <c r="P16" s="7"/>
      <c r="Q16" s="7"/>
      <c r="R16" s="7"/>
      <c r="S16" s="7"/>
      <c r="V16" s="46"/>
      <c r="W16" s="46"/>
      <c r="X16" s="46"/>
    </row>
    <row r="17" spans="1:24" x14ac:dyDescent="0.3">
      <c r="A17" s="32"/>
      <c r="B17" s="19"/>
      <c r="C17" s="20"/>
      <c r="D17" s="19"/>
      <c r="E17" s="19"/>
      <c r="F17" s="19"/>
      <c r="G17" s="7"/>
      <c r="H17" s="6"/>
      <c r="I17" s="7"/>
      <c r="J17" s="7"/>
      <c r="K17" s="7"/>
      <c r="L17" s="7"/>
      <c r="M17" s="7"/>
      <c r="N17" s="7"/>
      <c r="O17" s="7"/>
      <c r="P17" s="45"/>
      <c r="Q17" s="7"/>
      <c r="R17" s="7"/>
      <c r="S17" s="7"/>
      <c r="U17" s="46"/>
      <c r="V17" s="46"/>
      <c r="W17" s="46"/>
      <c r="X17" s="46"/>
    </row>
    <row r="18" spans="1:24" x14ac:dyDescent="0.3">
      <c r="A18" s="32"/>
      <c r="B18" s="19"/>
      <c r="C18" s="20"/>
      <c r="D18" s="19"/>
      <c r="E18" s="19"/>
      <c r="F18" s="19"/>
      <c r="G18" s="7"/>
      <c r="H18" s="6"/>
      <c r="I18" s="7"/>
      <c r="J18" s="7"/>
      <c r="K18" s="7"/>
      <c r="L18" s="7"/>
      <c r="M18" s="7"/>
      <c r="N18" s="7"/>
      <c r="O18" s="7"/>
      <c r="P18" s="7"/>
      <c r="Q18" s="7"/>
      <c r="R18" s="7"/>
      <c r="S18" s="7"/>
      <c r="V18" s="46"/>
      <c r="W18" s="46"/>
      <c r="X18" s="46"/>
    </row>
    <row r="19" spans="1:24" x14ac:dyDescent="0.3">
      <c r="A19" s="32"/>
      <c r="B19" s="19"/>
      <c r="C19" s="20"/>
      <c r="D19" s="19"/>
      <c r="E19" s="19"/>
      <c r="F19" s="19"/>
      <c r="G19" s="7"/>
      <c r="H19" s="6"/>
      <c r="I19" s="7"/>
      <c r="J19" s="7"/>
      <c r="K19" s="7"/>
      <c r="L19" s="7"/>
      <c r="M19" s="7"/>
      <c r="N19" s="7"/>
      <c r="O19" s="7"/>
      <c r="P19" s="7"/>
      <c r="Q19" s="7"/>
      <c r="R19" s="7"/>
      <c r="S19" s="7"/>
      <c r="V19" s="46"/>
      <c r="W19" s="46"/>
      <c r="X19" s="46"/>
    </row>
    <row r="20" spans="1:24" x14ac:dyDescent="0.3">
      <c r="A20" s="32"/>
      <c r="B20" s="19"/>
      <c r="C20" s="20"/>
      <c r="D20" s="19"/>
      <c r="E20" s="19"/>
      <c r="F20" s="19"/>
      <c r="G20" s="7"/>
      <c r="H20" s="6"/>
      <c r="I20" s="7"/>
      <c r="J20" s="7"/>
      <c r="K20" s="7"/>
      <c r="L20" s="7"/>
      <c r="M20" s="7"/>
      <c r="N20" s="7"/>
      <c r="O20" s="7"/>
      <c r="P20" s="7"/>
      <c r="Q20" s="7"/>
      <c r="R20" s="7"/>
      <c r="S20" s="7"/>
      <c r="V20" s="46"/>
      <c r="W20" s="46"/>
      <c r="X20" s="46"/>
    </row>
    <row r="21" spans="1:24" x14ac:dyDescent="0.3">
      <c r="A21" s="32"/>
      <c r="B21" s="19"/>
      <c r="C21" s="20"/>
      <c r="D21" s="19"/>
      <c r="E21" s="19"/>
      <c r="F21" s="19"/>
      <c r="G21" s="7"/>
      <c r="H21" s="6"/>
      <c r="I21" s="7"/>
      <c r="J21" s="7"/>
      <c r="K21" s="7"/>
      <c r="L21" s="7"/>
      <c r="M21" s="7"/>
      <c r="N21" s="7"/>
      <c r="O21" s="7"/>
      <c r="P21" s="7"/>
      <c r="Q21" s="7"/>
      <c r="R21" s="7"/>
      <c r="S21" s="7"/>
      <c r="V21" s="46"/>
      <c r="W21" s="46"/>
      <c r="X21" s="46"/>
    </row>
    <row r="22" spans="1:24" x14ac:dyDescent="0.3">
      <c r="A22" s="32"/>
      <c r="B22" s="19"/>
      <c r="C22" s="20"/>
      <c r="D22" s="19"/>
      <c r="E22" s="19"/>
      <c r="F22" s="19"/>
      <c r="G22" s="7"/>
      <c r="H22" s="6"/>
      <c r="I22" s="7"/>
      <c r="J22" s="7"/>
      <c r="K22" s="7"/>
      <c r="L22" s="7"/>
      <c r="M22" s="7"/>
      <c r="N22" s="7"/>
      <c r="O22" s="7"/>
      <c r="P22" s="7"/>
      <c r="Q22" s="7"/>
      <c r="R22" s="7"/>
      <c r="S22" s="7"/>
    </row>
    <row r="23" spans="1:24" x14ac:dyDescent="0.3">
      <c r="A23" s="32"/>
      <c r="B23" s="19"/>
      <c r="C23" s="20"/>
      <c r="D23" s="19"/>
      <c r="E23" s="19"/>
      <c r="F23" s="19"/>
      <c r="G23" s="7"/>
      <c r="H23" s="6"/>
      <c r="I23" s="7"/>
      <c r="J23" s="7"/>
      <c r="K23" s="7"/>
      <c r="L23" s="7"/>
      <c r="M23" s="7"/>
      <c r="N23" s="7"/>
      <c r="O23" s="7"/>
      <c r="P23" s="7"/>
      <c r="Q23" s="7"/>
      <c r="R23" s="7"/>
      <c r="S23" s="7"/>
    </row>
    <row r="24" spans="1:24" x14ac:dyDescent="0.3">
      <c r="A24" s="32"/>
      <c r="B24" s="19"/>
      <c r="C24" s="20"/>
      <c r="D24" s="19"/>
      <c r="E24" s="19"/>
      <c r="F24" s="19"/>
      <c r="G24" s="7"/>
      <c r="H24" s="6"/>
      <c r="I24" s="7"/>
      <c r="J24" s="7"/>
      <c r="K24" s="7"/>
      <c r="L24" s="7"/>
      <c r="M24" s="7"/>
      <c r="N24" s="7"/>
      <c r="O24" s="7"/>
      <c r="P24" s="7"/>
      <c r="Q24" s="7"/>
      <c r="R24" s="7"/>
      <c r="S24" s="7"/>
    </row>
    <row r="25" spans="1:24" x14ac:dyDescent="0.3">
      <c r="A25" s="32"/>
      <c r="B25" s="19"/>
      <c r="C25" s="20"/>
      <c r="D25" s="19"/>
      <c r="E25" s="19"/>
      <c r="F25" s="19"/>
      <c r="G25" s="7"/>
      <c r="H25" s="6"/>
      <c r="I25" s="7"/>
      <c r="J25" s="7"/>
      <c r="K25" s="7"/>
      <c r="L25" s="7"/>
      <c r="M25" s="7"/>
      <c r="N25" s="7"/>
      <c r="O25" s="7"/>
      <c r="P25" s="7"/>
      <c r="Q25" s="7"/>
      <c r="R25" s="7"/>
      <c r="S25" s="7"/>
    </row>
  </sheetData>
  <conditionalFormatting sqref="S2:S25">
    <cfRule type="colorScale" priority="2">
      <colorScale>
        <cfvo type="min"/>
        <cfvo type="percentile" val="50"/>
        <cfvo type="max"/>
        <color rgb="FFF8696B"/>
        <color rgb="FFFFEB84"/>
        <color rgb="FF63BE7B"/>
      </colorScale>
    </cfRule>
    <cfRule type="colorScale" priority="3">
      <colorScale>
        <cfvo type="min"/>
        <cfvo type="max"/>
        <color rgb="FFF8696B"/>
        <color rgb="FFFCFCFF"/>
      </colorScale>
    </cfRule>
  </conditionalFormatting>
  <conditionalFormatting sqref="T1:T1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CEB57-152D-4BD6-AD8E-CB4CB0EDC1C7}">
  <dimension ref="RB22688:WLI994289"/>
  <sheetViews>
    <sheetView workbookViewId="0"/>
  </sheetViews>
  <sheetFormatPr baseColWidth="10" defaultRowHeight="14.4" x14ac:dyDescent="0.3"/>
  <sheetData>
    <row r="22688" spans="14879:14879" x14ac:dyDescent="0.3">
      <c r="UZG22688" t="s">
        <v>35</v>
      </c>
    </row>
    <row r="94844" spans="12277:12277" x14ac:dyDescent="0.3">
      <c r="RDE94844" t="s">
        <v>28</v>
      </c>
    </row>
    <row r="104361" spans="14463:14463" x14ac:dyDescent="0.3">
      <c r="UJG104361" t="s">
        <v>11</v>
      </c>
    </row>
    <row r="132282" spans="12692:12692" x14ac:dyDescent="0.3">
      <c r="RTD132282" t="s">
        <v>31</v>
      </c>
    </row>
    <row r="199149" spans="5636:5636" x14ac:dyDescent="0.3">
      <c r="HHT199149" t="s">
        <v>33</v>
      </c>
    </row>
    <row r="214120" spans="12945:12945" x14ac:dyDescent="0.3">
      <c r="SCW214120" t="s">
        <v>26</v>
      </c>
    </row>
    <row r="234683" spans="15869:15869" x14ac:dyDescent="0.3">
      <c r="WLI234683" t="s">
        <v>32</v>
      </c>
    </row>
    <row r="353049" spans="2158:2158" x14ac:dyDescent="0.3">
      <c r="CDZ353049" t="s">
        <v>25</v>
      </c>
    </row>
    <row r="448760" spans="1867:1867" x14ac:dyDescent="0.3">
      <c r="BSU448760" t="s">
        <v>29</v>
      </c>
    </row>
    <row r="677318" spans="6902:6902" x14ac:dyDescent="0.3">
      <c r="JEL677318" t="s">
        <v>36</v>
      </c>
    </row>
    <row r="723696" spans="4913:4913" x14ac:dyDescent="0.3">
      <c r="GFY723696" t="s">
        <v>34</v>
      </c>
    </row>
    <row r="767293" spans="15570:15570" x14ac:dyDescent="0.3">
      <c r="VZV767293" t="s">
        <v>7</v>
      </c>
    </row>
    <row r="789665" spans="4962:4962" x14ac:dyDescent="0.3">
      <c r="GHV789665" t="s">
        <v>8</v>
      </c>
    </row>
    <row r="833398" spans="14253:14253" x14ac:dyDescent="0.3">
      <c r="UBE833398" t="s">
        <v>24</v>
      </c>
    </row>
    <row r="855483" spans="11313:11313" x14ac:dyDescent="0.3">
      <c r="PSC855483" t="s">
        <v>27</v>
      </c>
    </row>
    <row r="895184" spans="9905:9905" x14ac:dyDescent="0.3">
      <c r="NPY895184" t="s">
        <v>37</v>
      </c>
    </row>
    <row r="948737" spans="470:470" x14ac:dyDescent="0.3">
      <c r="RB948737" t="s">
        <v>10</v>
      </c>
    </row>
    <row r="965003" spans="8023:8023" x14ac:dyDescent="0.3">
      <c r="KVO965003" t="s">
        <v>30</v>
      </c>
    </row>
    <row r="994289" spans="7836:7836" x14ac:dyDescent="0.3">
      <c r="KOJ994289"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Contigo A Part 1</vt:lpstr>
      <vt:lpstr>Contigo B Part 1</vt:lpstr>
      <vt:lpstr>Contigo A 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de Jesús Bernal Mercado</dc:creator>
  <cp:lastModifiedBy>José de Jesús Bernal Mercado</cp:lastModifiedBy>
  <dcterms:created xsi:type="dcterms:W3CDTF">2024-03-04T06:06:43Z</dcterms:created>
  <dcterms:modified xsi:type="dcterms:W3CDTF">2024-03-05T23:52:18Z</dcterms:modified>
</cp:coreProperties>
</file>