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ividades academicas\Contaduria\Unipamplona\2024-I\Costos III- B\Sesion VI\"/>
    </mc:Choice>
  </mc:AlternateContent>
  <xr:revisionPtr revIDLastSave="0" documentId="8_{9E339156-33D1-4F08-B569-7D6F9ED205D0}" xr6:coauthVersionLast="47" xr6:coauthVersionMax="47" xr10:uidLastSave="{00000000-0000-0000-0000-000000000000}"/>
  <bookViews>
    <workbookView xWindow="-120" yWindow="-120" windowWidth="20730" windowHeight="11160" firstSheet="1" activeTab="5" xr2:uid="{3BFADDF5-A9BD-4108-8DF2-91274DB0B6F7}"/>
  </bookViews>
  <sheets>
    <sheet name="MP" sheetId="1" r:id="rId1"/>
    <sheet name="MOD" sheetId="2" r:id="rId2"/>
    <sheet name="CIF" sheetId="3" r:id="rId3"/>
    <sheet name="PV" sheetId="4" r:id="rId4"/>
    <sheet name="Contabilización" sheetId="5" r:id="rId5"/>
    <sheet name="Mayorización" sheetId="6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C40" i="3"/>
  <c r="C3" i="4"/>
  <c r="F24" i="6"/>
  <c r="E23" i="6"/>
  <c r="E38" i="5"/>
  <c r="D37" i="5"/>
  <c r="D44" i="3"/>
  <c r="D97" i="5"/>
  <c r="D37" i="3"/>
  <c r="C37" i="3"/>
  <c r="D43" i="3"/>
  <c r="C43" i="3"/>
  <c r="H30" i="6"/>
  <c r="C4" i="4"/>
  <c r="C21" i="6"/>
  <c r="E106" i="5"/>
  <c r="L6" i="6"/>
  <c r="E105" i="5"/>
  <c r="E22" i="6"/>
  <c r="E98" i="5"/>
  <c r="E21" i="6"/>
  <c r="E92" i="5"/>
  <c r="D3" i="3"/>
  <c r="E85" i="5"/>
  <c r="D84" i="5"/>
  <c r="E20" i="6" s="1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10" i="2"/>
  <c r="D10" i="2"/>
  <c r="C30" i="2"/>
  <c r="C28" i="2"/>
  <c r="C26" i="2"/>
  <c r="C24" i="2"/>
  <c r="C10" i="2"/>
  <c r="C9" i="2"/>
  <c r="C8" i="2"/>
  <c r="D3" i="2"/>
  <c r="G3" i="2"/>
  <c r="I6" i="6"/>
  <c r="E67" i="5"/>
  <c r="H5" i="6"/>
  <c r="E52" i="5"/>
  <c r="D51" i="5"/>
  <c r="B6" i="6" s="1"/>
  <c r="E23" i="5"/>
  <c r="D22" i="5"/>
  <c r="C12" i="1"/>
  <c r="D7" i="1"/>
  <c r="C25" i="1" s="1"/>
  <c r="E4" i="1"/>
  <c r="D42" i="3"/>
  <c r="D41" i="3"/>
  <c r="D40" i="3"/>
  <c r="D39" i="3"/>
  <c r="D38" i="3"/>
  <c r="K4" i="1"/>
  <c r="L4" i="1"/>
  <c r="D100" i="5"/>
  <c r="E100" i="5"/>
  <c r="D86" i="5"/>
  <c r="E86" i="5"/>
  <c r="D54" i="5"/>
  <c r="D47" i="5"/>
  <c r="D40" i="5"/>
  <c r="D33" i="5"/>
  <c r="D25" i="5"/>
  <c r="I28" i="6"/>
  <c r="C28" i="6"/>
  <c r="F28" i="6"/>
  <c r="E28" i="6"/>
  <c r="E107" i="5" s="1"/>
  <c r="L13" i="6"/>
  <c r="I13" i="6"/>
  <c r="F13" i="6"/>
  <c r="H13" i="6"/>
  <c r="E108" i="5" l="1"/>
  <c r="D104" i="5"/>
  <c r="H14" i="6"/>
  <c r="E25" i="5"/>
  <c r="E33" i="5"/>
  <c r="E40" i="5"/>
  <c r="E47" i="5"/>
  <c r="E54" i="5"/>
  <c r="E29" i="6"/>
  <c r="H20" i="6" l="1"/>
  <c r="H28" i="6" s="1"/>
  <c r="H29" i="6" s="1"/>
  <c r="H31" i="6" s="1"/>
  <c r="D108" i="5"/>
  <c r="G46" i="3"/>
  <c r="G48" i="3" s="1"/>
  <c r="G50" i="3" s="1"/>
  <c r="C6" i="3"/>
  <c r="G3" i="3"/>
  <c r="F3" i="3"/>
  <c r="H3" i="3" s="1"/>
  <c r="C4" i="2"/>
  <c r="G4" i="2"/>
  <c r="F3" i="2"/>
  <c r="H3" i="2" s="1"/>
  <c r="C7" i="1"/>
  <c r="E7" i="1" l="1"/>
  <c r="D25" i="1"/>
  <c r="C26" i="1"/>
  <c r="D26" i="1" s="1"/>
  <c r="D14" i="5"/>
  <c r="B5" i="6" s="1"/>
  <c r="B13" i="6" s="1"/>
  <c r="C27" i="1"/>
  <c r="D27" i="1"/>
  <c r="F4" i="2"/>
  <c r="H4" i="2"/>
  <c r="H6" i="3"/>
  <c r="C23" i="3"/>
  <c r="C21" i="3"/>
  <c r="C22" i="3"/>
  <c r="F6" i="3"/>
  <c r="G6" i="3"/>
  <c r="C11" i="3" s="1"/>
  <c r="C20" i="2" l="1"/>
  <c r="E77" i="5" s="1"/>
  <c r="C19" i="2"/>
  <c r="E76" i="5" s="1"/>
  <c r="C17" i="2"/>
  <c r="C13" i="2"/>
  <c r="C12" i="2"/>
  <c r="E59" i="5"/>
  <c r="E15" i="5"/>
  <c r="E17" i="5" s="1"/>
  <c r="D17" i="5"/>
  <c r="C21" i="2"/>
  <c r="E78" i="5" s="1"/>
  <c r="C22" i="2"/>
  <c r="E79" i="5" s="1"/>
  <c r="C24" i="3"/>
  <c r="C25" i="3" s="1"/>
  <c r="C14" i="3"/>
  <c r="C10" i="3"/>
  <c r="C12" i="3" s="1"/>
  <c r="C19" i="3"/>
  <c r="C20" i="3" s="1"/>
  <c r="C15" i="3"/>
  <c r="C14" i="2" l="1"/>
  <c r="C18" i="2"/>
  <c r="E75" i="5"/>
  <c r="D58" i="5"/>
  <c r="C7" i="6"/>
  <c r="C13" i="6" s="1"/>
  <c r="B14" i="6" s="1"/>
  <c r="E61" i="5"/>
  <c r="C16" i="3"/>
  <c r="C23" i="2"/>
  <c r="C26" i="3"/>
  <c r="C28" i="3" s="1"/>
  <c r="C30" i="3" s="1"/>
  <c r="D91" i="5" s="1"/>
  <c r="D93" i="5" l="1"/>
  <c r="E93" i="5"/>
  <c r="E74" i="5"/>
  <c r="E80" i="5" s="1"/>
  <c r="E5" i="6"/>
  <c r="D61" i="5"/>
  <c r="C32" i="3"/>
  <c r="D73" i="5" l="1"/>
  <c r="E13" i="6"/>
  <c r="E14" i="6" s="1"/>
  <c r="E66" i="5"/>
  <c r="D45" i="3"/>
  <c r="C5" i="4" l="1"/>
  <c r="C6" i="4" s="1"/>
  <c r="B20" i="6"/>
  <c r="B28" i="6" s="1"/>
  <c r="B29" i="6" s="1"/>
  <c r="D80" i="5"/>
  <c r="D68" i="5"/>
  <c r="E69" i="5"/>
  <c r="C8" i="4" l="1"/>
  <c r="D6" i="4"/>
  <c r="K5" i="6"/>
  <c r="K13" i="6" s="1"/>
  <c r="K14" i="6" s="1"/>
  <c r="D69" i="5"/>
</calcChain>
</file>

<file path=xl/sharedStrings.xml><?xml version="1.0" encoding="utf-8"?>
<sst xmlns="http://schemas.openxmlformats.org/spreadsheetml/2006/main" count="271" uniqueCount="128">
  <si>
    <t>PRODUCTO</t>
  </si>
  <si>
    <t>Mercancia</t>
  </si>
  <si>
    <t>Cantidad</t>
  </si>
  <si>
    <t>Vr Und</t>
  </si>
  <si>
    <t>Total</t>
  </si>
  <si>
    <t>La cifra de Vr Unidad estaba mal</t>
  </si>
  <si>
    <t>Erronea</t>
  </si>
  <si>
    <t>Correcta</t>
  </si>
  <si>
    <t>Producto</t>
  </si>
  <si>
    <t>TRM 15 enero</t>
  </si>
  <si>
    <t>Vr Und $</t>
  </si>
  <si>
    <t>Total $</t>
  </si>
  <si>
    <t>Componente</t>
  </si>
  <si>
    <t>Robro</t>
  </si>
  <si>
    <t>Valor</t>
  </si>
  <si>
    <t>Costo Componente</t>
  </si>
  <si>
    <t>MATERIA PRIMA</t>
  </si>
  <si>
    <t>Material</t>
  </si>
  <si>
    <t>VR Und</t>
  </si>
  <si>
    <t>Cargo</t>
  </si>
  <si>
    <t>Puestos</t>
  </si>
  <si>
    <t>Asignación</t>
  </si>
  <si>
    <t>Aux. Transporte</t>
  </si>
  <si>
    <t>Subtotal Asig.</t>
  </si>
  <si>
    <t>Subtotal Aux.</t>
  </si>
  <si>
    <t>Operarios A</t>
  </si>
  <si>
    <t>Nominal mes</t>
  </si>
  <si>
    <t>Vr dia</t>
  </si>
  <si>
    <t>Costo</t>
  </si>
  <si>
    <t>Asignaciones</t>
  </si>
  <si>
    <t>Subtotal Sueldo</t>
  </si>
  <si>
    <t>Salud</t>
  </si>
  <si>
    <t>Pension</t>
  </si>
  <si>
    <t>ARL</t>
  </si>
  <si>
    <t>Subtotal Seguridad Soc.</t>
  </si>
  <si>
    <t>SENA</t>
  </si>
  <si>
    <t>ICBF</t>
  </si>
  <si>
    <t>Caja</t>
  </si>
  <si>
    <t>Subtotal Parafiscales</t>
  </si>
  <si>
    <t>Cesantias</t>
  </si>
  <si>
    <t>Intereses Cesantias</t>
  </si>
  <si>
    <t>Primas</t>
  </si>
  <si>
    <t>Vacaciones</t>
  </si>
  <si>
    <t>Subtotal Prestaciones Soc.</t>
  </si>
  <si>
    <t>Total Nomina</t>
  </si>
  <si>
    <t>Dias mes</t>
  </si>
  <si>
    <t>Vr Nomina x Dia</t>
  </si>
  <si>
    <t>Dias en produccion</t>
  </si>
  <si>
    <t xml:space="preserve">Como no se indica cuánto tiempo se tardan en la producción asumimos que será un mes </t>
  </si>
  <si>
    <t>VR MOD TOTAL</t>
  </si>
  <si>
    <t>Unidades producidas</t>
  </si>
  <si>
    <t>Vr MOD Und</t>
  </si>
  <si>
    <t>Total Nomina mes</t>
  </si>
  <si>
    <t>VR Supervisor TOTAL</t>
  </si>
  <si>
    <t>Vr Supervisor Und</t>
  </si>
  <si>
    <t>CIF</t>
  </si>
  <si>
    <t>Rubro</t>
  </si>
  <si>
    <t>Vr Total</t>
  </si>
  <si>
    <t xml:space="preserve">Und </t>
  </si>
  <si>
    <t>Mano de obra indirecta</t>
  </si>
  <si>
    <t>Flete al puerto Sta Marta</t>
  </si>
  <si>
    <t>Seguro</t>
  </si>
  <si>
    <t>Arriendo</t>
  </si>
  <si>
    <t>Aranceles</t>
  </si>
  <si>
    <t>Transporte puerto - empresa</t>
  </si>
  <si>
    <t>Depreciación planta</t>
  </si>
  <si>
    <t>Servicios publicos</t>
  </si>
  <si>
    <t>Servicios Publicos</t>
  </si>
  <si>
    <t>Vr</t>
  </si>
  <si>
    <t>% produccion</t>
  </si>
  <si>
    <t>Vr planta</t>
  </si>
  <si>
    <t>Ser.Publicos x dia</t>
  </si>
  <si>
    <t>Dias produccion</t>
  </si>
  <si>
    <t>Servicios en produccion</t>
  </si>
  <si>
    <t>Elemento</t>
  </si>
  <si>
    <t>MP</t>
  </si>
  <si>
    <t>MOD</t>
  </si>
  <si>
    <t>Costo Und producto</t>
  </si>
  <si>
    <t>Margen utilidad</t>
  </si>
  <si>
    <t>Precio de venta Und</t>
  </si>
  <si>
    <t>Activos</t>
  </si>
  <si>
    <t>Costos de Produccion</t>
  </si>
  <si>
    <t>Inventarios</t>
  </si>
  <si>
    <t>Materia Prima</t>
  </si>
  <si>
    <t>Productos en Proceso</t>
  </si>
  <si>
    <t>Productos Terminados</t>
  </si>
  <si>
    <t>Prestacion de Serv.</t>
  </si>
  <si>
    <t>Inventario en Transito</t>
  </si>
  <si>
    <t>Compra de mercancia desde en Bogotá</t>
  </si>
  <si>
    <t>Código</t>
  </si>
  <si>
    <t>Cuenta</t>
  </si>
  <si>
    <t>Debito</t>
  </si>
  <si>
    <t>Credito</t>
  </si>
  <si>
    <t>Banco</t>
  </si>
  <si>
    <t>Sumas Iguales</t>
  </si>
  <si>
    <t>Pago de flete o envío</t>
  </si>
  <si>
    <t>Pago seguro</t>
  </si>
  <si>
    <t>Arrendamientos</t>
  </si>
  <si>
    <t>Pago de aranceles</t>
  </si>
  <si>
    <t>Transporte a la empresa</t>
  </si>
  <si>
    <t>Eliminación de Cuenta de transito</t>
  </si>
  <si>
    <t>MP - Mercancia</t>
  </si>
  <si>
    <t>Traslado a produccion</t>
  </si>
  <si>
    <t>MP - Componente X</t>
  </si>
  <si>
    <t>Costos de Produccion MP</t>
  </si>
  <si>
    <t>Mano de obra directa</t>
  </si>
  <si>
    <t>Mano de Obra directa</t>
  </si>
  <si>
    <t>Retenciones y Aportes de nomina</t>
  </si>
  <si>
    <t>Salarios por pagar</t>
  </si>
  <si>
    <t>Interes Cesantias</t>
  </si>
  <si>
    <t>primas</t>
  </si>
  <si>
    <t>Costos Indirectos - Depreciacion</t>
  </si>
  <si>
    <t>CIF - Depreciación</t>
  </si>
  <si>
    <t>Depreciacion Acumulada</t>
  </si>
  <si>
    <t>Costos Indirectos - Mano de Obra indirecta</t>
  </si>
  <si>
    <t>CIF - MO Ind.</t>
  </si>
  <si>
    <t>23xx</t>
  </si>
  <si>
    <t>MOD Indirecta por pagar</t>
  </si>
  <si>
    <t>Costos Indirectos - Servcios Publicos</t>
  </si>
  <si>
    <t>CIF - Servicios Publicos</t>
  </si>
  <si>
    <t>Costos y Gastos por Pagar</t>
  </si>
  <si>
    <t>Traslado de Producción a almacen</t>
  </si>
  <si>
    <t>MP  - Mercancia</t>
  </si>
  <si>
    <t>MP - Componente</t>
  </si>
  <si>
    <t>D</t>
  </si>
  <si>
    <t>C</t>
  </si>
  <si>
    <t>Und</t>
  </si>
  <si>
    <t>Costo 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</si>
</sst>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_([$$-409]* #,##0_);_([$$-409]* \(#,##0\);_([$$-409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/>
    </xf>
    <xf numFmtId="165" fontId="0" fillId="0" borderId="1" xfId="1" applyNumberFormat="1" applyFont="1" applyBorder="1"/>
    <xf numFmtId="165" fontId="2" fillId="3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5" fontId="2" fillId="0" borderId="1" xfId="1" applyNumberFormat="1" applyFont="1" applyBorder="1"/>
    <xf numFmtId="43" fontId="2" fillId="0" borderId="1" xfId="1" applyFont="1" applyBorder="1"/>
    <xf numFmtId="43" fontId="0" fillId="4" borderId="1" xfId="1" applyFont="1" applyFill="1" applyBorder="1"/>
    <xf numFmtId="165" fontId="2" fillId="0" borderId="1" xfId="1" applyNumberFormat="1" applyFont="1" applyBorder="1" applyAlignment="1">
      <alignment horizontal="center" vertical="center"/>
    </xf>
    <xf numFmtId="165" fontId="2" fillId="4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/>
    <xf numFmtId="165" fontId="2" fillId="2" borderId="1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65" fontId="2" fillId="4" borderId="1" xfId="1" applyNumberFormat="1" applyFont="1" applyFill="1" applyBorder="1"/>
    <xf numFmtId="164" fontId="2" fillId="4" borderId="1" xfId="1" applyNumberFormat="1" applyFont="1" applyFill="1" applyBorder="1"/>
    <xf numFmtId="43" fontId="2" fillId="4" borderId="1" xfId="1" applyFont="1" applyFill="1" applyBorder="1"/>
    <xf numFmtId="9" fontId="0" fillId="0" borderId="1" xfId="2" applyFont="1" applyBorder="1"/>
    <xf numFmtId="164" fontId="2" fillId="0" borderId="1" xfId="1" applyNumberFormat="1" applyFont="1" applyBorder="1"/>
    <xf numFmtId="165" fontId="2" fillId="5" borderId="1" xfId="1" applyNumberFormat="1" applyFont="1" applyFill="1" applyBorder="1"/>
    <xf numFmtId="9" fontId="2" fillId="5" borderId="1" xfId="2" applyFont="1" applyFill="1" applyBorder="1"/>
    <xf numFmtId="0" fontId="0" fillId="0" borderId="2" xfId="1" applyNumberFormat="1" applyFont="1" applyBorder="1"/>
    <xf numFmtId="165" fontId="0" fillId="0" borderId="3" xfId="1" applyNumberFormat="1" applyFont="1" applyBorder="1"/>
    <xf numFmtId="0" fontId="0" fillId="0" borderId="4" xfId="1" applyNumberFormat="1" applyFont="1" applyBorder="1"/>
    <xf numFmtId="165" fontId="0" fillId="0" borderId="5" xfId="1" applyNumberFormat="1" applyFont="1" applyBorder="1"/>
    <xf numFmtId="165" fontId="0" fillId="6" borderId="0" xfId="1" applyNumberFormat="1" applyFont="1" applyFill="1"/>
    <xf numFmtId="0" fontId="0" fillId="0" borderId="1" xfId="1" applyNumberFormat="1" applyFont="1" applyBorder="1"/>
    <xf numFmtId="165" fontId="2" fillId="0" borderId="0" xfId="1" applyNumberFormat="1" applyFont="1"/>
    <xf numFmtId="0" fontId="0" fillId="0" borderId="0" xfId="1" applyNumberFormat="1" applyFont="1"/>
    <xf numFmtId="165" fontId="0" fillId="4" borderId="1" xfId="1" applyNumberFormat="1" applyFont="1" applyFill="1" applyBorder="1" applyAlignment="1">
      <alignment horizontal="center"/>
    </xf>
    <xf numFmtId="165" fontId="0" fillId="0" borderId="11" xfId="1" applyNumberFormat="1" applyFont="1" applyBorder="1"/>
    <xf numFmtId="165" fontId="0" fillId="0" borderId="12" xfId="1" applyNumberFormat="1" applyFont="1" applyBorder="1"/>
    <xf numFmtId="165" fontId="0" fillId="0" borderId="13" xfId="1" applyNumberFormat="1" applyFont="1" applyBorder="1"/>
    <xf numFmtId="165" fontId="0" fillId="0" borderId="8" xfId="1" applyNumberFormat="1" applyFont="1" applyBorder="1"/>
    <xf numFmtId="165" fontId="0" fillId="0" borderId="10" xfId="1" applyNumberFormat="1" applyFont="1" applyBorder="1"/>
    <xf numFmtId="165" fontId="0" fillId="0" borderId="14" xfId="1" applyNumberFormat="1" applyFont="1" applyBorder="1"/>
    <xf numFmtId="165" fontId="3" fillId="4" borderId="0" xfId="1" applyNumberFormat="1" applyFont="1" applyFill="1"/>
    <xf numFmtId="165" fontId="0" fillId="8" borderId="2" xfId="1" applyNumberFormat="1" applyFont="1" applyFill="1" applyBorder="1"/>
    <xf numFmtId="165" fontId="0" fillId="8" borderId="3" xfId="1" applyNumberFormat="1" applyFont="1" applyFill="1" applyBorder="1"/>
    <xf numFmtId="165" fontId="0" fillId="8" borderId="4" xfId="1" applyNumberFormat="1" applyFont="1" applyFill="1" applyBorder="1"/>
    <xf numFmtId="165" fontId="0" fillId="8" borderId="5" xfId="1" applyNumberFormat="1" applyFont="1" applyFill="1" applyBorder="1"/>
    <xf numFmtId="0" fontId="4" fillId="0" borderId="6" xfId="1" applyNumberFormat="1" applyFont="1" applyBorder="1"/>
    <xf numFmtId="165" fontId="4" fillId="0" borderId="7" xfId="1" applyNumberFormat="1" applyFont="1" applyBorder="1"/>
    <xf numFmtId="165" fontId="0" fillId="8" borderId="6" xfId="1" applyNumberFormat="1" applyFont="1" applyFill="1" applyBorder="1"/>
    <xf numFmtId="165" fontId="0" fillId="8" borderId="7" xfId="1" applyNumberFormat="1" applyFont="1" applyFill="1" applyBorder="1"/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Border="1"/>
    <xf numFmtId="165" fontId="0" fillId="0" borderId="1" xfId="1" applyNumberFormat="1" applyFont="1" applyFill="1" applyBorder="1"/>
    <xf numFmtId="166" fontId="0" fillId="0" borderId="1" xfId="1" applyNumberFormat="1" applyFont="1" applyBorder="1"/>
    <xf numFmtId="167" fontId="0" fillId="0" borderId="0" xfId="1" applyNumberFormat="1" applyFont="1"/>
    <xf numFmtId="165" fontId="2" fillId="0" borderId="0" xfId="1" applyNumberFormat="1" applyFont="1" applyFill="1" applyAlignment="1"/>
    <xf numFmtId="165" fontId="2" fillId="0" borderId="0" xfId="1" applyNumberFormat="1" applyFont="1" applyBorder="1" applyAlignment="1">
      <alignment horizontal="center" vertical="center"/>
    </xf>
    <xf numFmtId="165" fontId="1" fillId="0" borderId="0" xfId="1" applyNumberFormat="1" applyFont="1" applyBorder="1" applyAlignment="1">
      <alignment vertical="center"/>
    </xf>
    <xf numFmtId="43" fontId="1" fillId="0" borderId="0" xfId="1" applyFont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5" fontId="0" fillId="9" borderId="1" xfId="1" applyNumberFormat="1" applyFont="1" applyFill="1" applyBorder="1"/>
    <xf numFmtId="164" fontId="0" fillId="9" borderId="1" xfId="1" applyNumberFormat="1" applyFont="1" applyFill="1" applyBorder="1"/>
    <xf numFmtId="164" fontId="0" fillId="0" borderId="1" xfId="1" applyNumberFormat="1" applyFont="1" applyFill="1" applyBorder="1"/>
    <xf numFmtId="0" fontId="0" fillId="0" borderId="15" xfId="1" applyNumberFormat="1" applyFont="1" applyFill="1" applyBorder="1"/>
    <xf numFmtId="165" fontId="2" fillId="2" borderId="1" xfId="1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/>
    </xf>
    <xf numFmtId="165" fontId="2" fillId="5" borderId="8" xfId="1" applyNumberFormat="1" applyFont="1" applyFill="1" applyBorder="1" applyAlignment="1">
      <alignment horizontal="left"/>
    </xf>
    <xf numFmtId="165" fontId="2" fillId="0" borderId="9" xfId="1" applyNumberFormat="1" applyFont="1" applyBorder="1" applyAlignment="1">
      <alignment horizontal="center"/>
    </xf>
    <xf numFmtId="165" fontId="2" fillId="0" borderId="10" xfId="1" applyNumberFormat="1" applyFont="1" applyBorder="1" applyAlignment="1">
      <alignment horizontal="center"/>
    </xf>
    <xf numFmtId="165" fontId="0" fillId="5" borderId="8" xfId="1" applyNumberFormat="1" applyFont="1" applyFill="1" applyBorder="1" applyAlignment="1">
      <alignment horizontal="left"/>
    </xf>
    <xf numFmtId="165" fontId="2" fillId="0" borderId="16" xfId="1" applyNumberFormat="1" applyFont="1" applyBorder="1" applyAlignment="1">
      <alignment horizontal="center"/>
    </xf>
    <xf numFmtId="165" fontId="2" fillId="6" borderId="1" xfId="1" applyNumberFormat="1" applyFont="1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/>
    </xf>
    <xf numFmtId="165" fontId="0" fillId="0" borderId="15" xfId="1" applyNumberFormat="1" applyFont="1" applyFill="1" applyBorder="1"/>
    <xf numFmtId="165" fontId="0" fillId="0" borderId="0" xfId="1" applyNumberFormat="1" applyFont="1" applyFill="1" applyBorder="1"/>
    <xf numFmtId="165" fontId="2" fillId="0" borderId="13" xfId="1" applyNumberFormat="1" applyFont="1" applyBorder="1" applyAlignment="1">
      <alignment horizontal="center"/>
    </xf>
    <xf numFmtId="165" fontId="2" fillId="0" borderId="17" xfId="1" applyNumberFormat="1" applyFont="1" applyBorder="1"/>
    <xf numFmtId="0" fontId="0" fillId="0" borderId="1" xfId="1" applyNumberFormat="1" applyFont="1" applyFill="1" applyBorder="1"/>
    <xf numFmtId="165" fontId="0" fillId="0" borderId="0" xfId="1" applyNumberFormat="1" applyFont="1" applyAlignment="1">
      <alignment horizontal="center"/>
    </xf>
    <xf numFmtId="43" fontId="0" fillId="9" borderId="1" xfId="1" applyFont="1" applyFill="1" applyBorder="1"/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ctividades%20academicas\Contaduria\Unipamplona\2024-I\Costos%20III-A\Sesion%20VI\Ejercicio%20en%20clase%20-%20Contabilizaci&#243;n%20Resuelto.xlsx" TargetMode="External"/><Relationship Id="rId1" Type="http://schemas.openxmlformats.org/officeDocument/2006/relationships/externalLinkPath" Target="Ejercicio%20en%20clase%20-%20Contabilizaci&#243;n%20Resuel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P"/>
      <sheetName val="MOD"/>
      <sheetName val="CIF"/>
      <sheetName val="Costo y PV"/>
      <sheetName val="Contabilización"/>
      <sheetName val="Mayorizar"/>
    </sheetNames>
    <sheetDataSet>
      <sheetData sheetId="0">
        <row r="3">
          <cell r="C3">
            <v>20700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2881-F136-4461-A4EB-88D83F30F6CF}">
  <sheetPr>
    <tabColor rgb="FF92D050"/>
  </sheetPr>
  <dimension ref="B2:L27"/>
  <sheetViews>
    <sheetView topLeftCell="A10" zoomScale="130" zoomScaleNormal="130" workbookViewId="0">
      <selection activeCell="C27" sqref="C27"/>
    </sheetView>
  </sheetViews>
  <sheetFormatPr defaultColWidth="11.42578125" defaultRowHeight="15"/>
  <cols>
    <col min="1" max="1" width="3.85546875" style="1" customWidth="1"/>
    <col min="2" max="2" width="24.5703125" style="1" customWidth="1"/>
    <col min="3" max="3" width="14.7109375" style="1" customWidth="1"/>
    <col min="4" max="5" width="18.7109375" style="1" bestFit="1" customWidth="1"/>
    <col min="6" max="10" width="11.42578125" style="1"/>
    <col min="11" max="11" width="16.85546875" style="1" bestFit="1" customWidth="1"/>
    <col min="12" max="12" width="13" style="1" bestFit="1" customWidth="1"/>
    <col min="13" max="16384" width="11.42578125" style="1"/>
  </cols>
  <sheetData>
    <row r="2" spans="2:12">
      <c r="B2" s="61" t="s">
        <v>0</v>
      </c>
      <c r="C2" s="61"/>
      <c r="D2" s="61"/>
      <c r="E2" s="61"/>
    </row>
    <row r="3" spans="2:12">
      <c r="B3" s="4" t="s">
        <v>1</v>
      </c>
      <c r="C3" s="4" t="s">
        <v>2</v>
      </c>
      <c r="D3" s="4" t="s">
        <v>3</v>
      </c>
      <c r="E3" s="4" t="s">
        <v>4</v>
      </c>
      <c r="H3" s="1" t="s">
        <v>5</v>
      </c>
      <c r="K3" s="1" t="s">
        <v>6</v>
      </c>
      <c r="L3" s="1" t="s">
        <v>7</v>
      </c>
    </row>
    <row r="4" spans="2:12">
      <c r="B4" s="3" t="s">
        <v>8</v>
      </c>
      <c r="C4" s="3">
        <v>900</v>
      </c>
      <c r="D4" s="50">
        <v>120000</v>
      </c>
      <c r="E4" s="5">
        <f>+C4*D4</f>
        <v>108000000</v>
      </c>
      <c r="K4" s="51">
        <f>1200000</f>
        <v>1200000</v>
      </c>
      <c r="L4" s="51">
        <f>D4</f>
        <v>120000</v>
      </c>
    </row>
    <row r="5" spans="2:12">
      <c r="B5" s="6" t="s">
        <v>9</v>
      </c>
      <c r="C5" s="7">
        <v>3901.38</v>
      </c>
      <c r="D5" s="3"/>
      <c r="E5" s="3"/>
    </row>
    <row r="6" spans="2:12">
      <c r="B6" s="4" t="s">
        <v>1</v>
      </c>
      <c r="C6" s="4" t="s">
        <v>2</v>
      </c>
      <c r="D6" s="4" t="s">
        <v>10</v>
      </c>
      <c r="E6" s="4" t="s">
        <v>11</v>
      </c>
    </row>
    <row r="7" spans="2:12">
      <c r="B7" s="3" t="s">
        <v>8</v>
      </c>
      <c r="C7" s="3">
        <f>+C4</f>
        <v>900</v>
      </c>
      <c r="D7" s="8">
        <f>D4</f>
        <v>120000</v>
      </c>
      <c r="E7" s="3">
        <f>+C7*D7</f>
        <v>108000000</v>
      </c>
    </row>
    <row r="10" spans="2:12">
      <c r="B10" s="62" t="s">
        <v>12</v>
      </c>
      <c r="C10" s="62"/>
      <c r="E10" s="52"/>
      <c r="F10" s="52"/>
    </row>
    <row r="11" spans="2:12">
      <c r="B11" s="9" t="s">
        <v>13</v>
      </c>
      <c r="C11" s="9" t="s">
        <v>14</v>
      </c>
    </row>
    <row r="12" spans="2:12">
      <c r="B12" s="10" t="s">
        <v>15</v>
      </c>
      <c r="C12" s="11">
        <f>38000000</f>
        <v>38000000</v>
      </c>
    </row>
    <row r="14" spans="2:12">
      <c r="B14" s="56"/>
      <c r="C14" s="56"/>
    </row>
    <row r="15" spans="2:12">
      <c r="B15" s="53"/>
      <c r="C15" s="53"/>
    </row>
    <row r="16" spans="2:12">
      <c r="B16" s="54"/>
      <c r="C16" s="54"/>
    </row>
    <row r="17" spans="2:4">
      <c r="B17" s="54"/>
      <c r="C17" s="54"/>
    </row>
    <row r="18" spans="2:4">
      <c r="B18" s="54"/>
      <c r="C18" s="54"/>
    </row>
    <row r="19" spans="2:4">
      <c r="B19" s="54"/>
      <c r="C19" s="55"/>
    </row>
    <row r="20" spans="2:4">
      <c r="B20" s="54"/>
      <c r="C20" s="54"/>
    </row>
    <row r="21" spans="2:4">
      <c r="B21" s="56"/>
      <c r="C21" s="56"/>
    </row>
    <row r="23" spans="2:4">
      <c r="B23" s="61" t="s">
        <v>16</v>
      </c>
      <c r="C23" s="61"/>
      <c r="D23" s="61"/>
    </row>
    <row r="24" spans="2:4">
      <c r="B24" s="12" t="s">
        <v>17</v>
      </c>
      <c r="C24" s="12" t="s">
        <v>18</v>
      </c>
      <c r="D24" s="12" t="s">
        <v>4</v>
      </c>
    </row>
    <row r="25" spans="2:4">
      <c r="B25" s="3" t="s">
        <v>1</v>
      </c>
      <c r="C25" s="3">
        <f>+D7</f>
        <v>120000</v>
      </c>
      <c r="D25" s="3">
        <f>+C25*C7</f>
        <v>108000000</v>
      </c>
    </row>
    <row r="26" spans="2:4">
      <c r="B26" s="3" t="s">
        <v>12</v>
      </c>
      <c r="C26" s="3">
        <f>C12/C7</f>
        <v>42222.222222222219</v>
      </c>
      <c r="D26" s="3">
        <f>+C26*C7</f>
        <v>38000000</v>
      </c>
    </row>
    <row r="27" spans="2:4">
      <c r="B27" s="6" t="s">
        <v>4</v>
      </c>
      <c r="C27" s="6">
        <f>+C25+C26</f>
        <v>162222.22222222222</v>
      </c>
      <c r="D27" s="6">
        <f>+D25+D26</f>
        <v>146000000</v>
      </c>
    </row>
  </sheetData>
  <mergeCells count="3">
    <mergeCell ref="B2:E2"/>
    <mergeCell ref="B10:C10"/>
    <mergeCell ref="B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4D95-E012-4EE6-A6DA-62CF1004EF32}">
  <sheetPr>
    <tabColor rgb="FFFFC000"/>
  </sheetPr>
  <dimension ref="B2:M30"/>
  <sheetViews>
    <sheetView topLeftCell="A9" zoomScale="160" zoomScaleNormal="160" workbookViewId="0">
      <selection activeCell="C30" sqref="C30"/>
    </sheetView>
  </sheetViews>
  <sheetFormatPr defaultColWidth="11.42578125" defaultRowHeight="15"/>
  <cols>
    <col min="1" max="1" width="4.42578125" style="1" customWidth="1"/>
    <col min="2" max="2" width="24.140625" style="1" customWidth="1"/>
    <col min="3" max="3" width="14.5703125" style="1" customWidth="1"/>
    <col min="4" max="4" width="13.85546875" style="1" customWidth="1"/>
    <col min="5" max="5" width="12.5703125" style="1" customWidth="1"/>
    <col min="6" max="6" width="10.7109375" style="1" customWidth="1"/>
    <col min="7" max="7" width="11.140625" style="1" customWidth="1"/>
    <col min="8" max="16384" width="11.42578125" style="1"/>
  </cols>
  <sheetData>
    <row r="2" spans="2:8" s="15" customFormat="1" ht="30">
      <c r="B2" s="14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4</v>
      </c>
    </row>
    <row r="3" spans="2:8">
      <c r="B3" s="3" t="s">
        <v>25</v>
      </c>
      <c r="C3" s="3">
        <v>1</v>
      </c>
      <c r="D3" s="3">
        <f>2700*900</f>
        <v>2430000</v>
      </c>
      <c r="E3" s="3">
        <v>162000</v>
      </c>
      <c r="F3" s="3">
        <f>+C3*D3</f>
        <v>2430000</v>
      </c>
      <c r="G3" s="3">
        <f>+C3*E3</f>
        <v>162000</v>
      </c>
      <c r="H3" s="3">
        <f>+F3+G3</f>
        <v>2592000</v>
      </c>
    </row>
    <row r="4" spans="2:8">
      <c r="B4" s="6" t="s">
        <v>4</v>
      </c>
      <c r="C4" s="6">
        <f>SUM(C3:C3)</f>
        <v>1</v>
      </c>
      <c r="D4" s="6"/>
      <c r="E4" s="6"/>
      <c r="F4" s="6">
        <f>SUM(F3:F3)</f>
        <v>2430000</v>
      </c>
      <c r="G4" s="6">
        <f>SUM(G3:G3)</f>
        <v>162000</v>
      </c>
      <c r="H4" s="6">
        <f>SUM(H3:H3)</f>
        <v>2592000</v>
      </c>
    </row>
    <row r="7" spans="2:8">
      <c r="B7" s="61" t="s">
        <v>26</v>
      </c>
      <c r="C7" s="61"/>
      <c r="D7" s="1" t="s">
        <v>27</v>
      </c>
      <c r="E7" s="1" t="s">
        <v>28</v>
      </c>
    </row>
    <row r="8" spans="2:8">
      <c r="B8" s="3" t="s">
        <v>29</v>
      </c>
      <c r="C8" s="3">
        <f>+F4</f>
        <v>2430000</v>
      </c>
    </row>
    <row r="9" spans="2:8">
      <c r="B9" s="3" t="s">
        <v>22</v>
      </c>
      <c r="C9" s="3">
        <f>+G4</f>
        <v>162000</v>
      </c>
    </row>
    <row r="10" spans="2:8">
      <c r="B10" s="6" t="s">
        <v>30</v>
      </c>
      <c r="C10" s="6">
        <f>SUM(C8:C9)</f>
        <v>2592000</v>
      </c>
      <c r="D10" s="1">
        <f>C10/30</f>
        <v>86400</v>
      </c>
      <c r="E10" s="1">
        <f>D10*30</f>
        <v>2592000</v>
      </c>
    </row>
    <row r="11" spans="2:8">
      <c r="B11" s="3" t="s">
        <v>31</v>
      </c>
      <c r="C11" s="3">
        <v>0</v>
      </c>
      <c r="D11" s="1">
        <f t="shared" ref="D11:D23" si="0">C11/30</f>
        <v>0</v>
      </c>
      <c r="E11" s="1">
        <f t="shared" ref="E11:E23" si="1">D11*30</f>
        <v>0</v>
      </c>
    </row>
    <row r="12" spans="2:8">
      <c r="B12" s="3" t="s">
        <v>32</v>
      </c>
      <c r="C12" s="3">
        <f>+F4*12%</f>
        <v>291600</v>
      </c>
      <c r="D12" s="1">
        <f t="shared" si="0"/>
        <v>9720</v>
      </c>
      <c r="E12" s="1">
        <f t="shared" si="1"/>
        <v>291600</v>
      </c>
    </row>
    <row r="13" spans="2:8">
      <c r="B13" s="3" t="s">
        <v>33</v>
      </c>
      <c r="C13" s="3">
        <f>+F4*0.522%</f>
        <v>12684.6</v>
      </c>
      <c r="D13" s="1">
        <f t="shared" si="0"/>
        <v>422.82</v>
      </c>
      <c r="E13" s="1">
        <f t="shared" si="1"/>
        <v>12684.6</v>
      </c>
    </row>
    <row r="14" spans="2:8">
      <c r="B14" s="6" t="s">
        <v>34</v>
      </c>
      <c r="C14" s="6">
        <f>SUM(C11:C13)</f>
        <v>304284.59999999998</v>
      </c>
      <c r="D14" s="1">
        <f t="shared" si="0"/>
        <v>10142.82</v>
      </c>
      <c r="E14" s="1">
        <f t="shared" si="1"/>
        <v>304284.59999999998</v>
      </c>
    </row>
    <row r="15" spans="2:8">
      <c r="B15" s="3" t="s">
        <v>35</v>
      </c>
      <c r="C15" s="3">
        <v>0</v>
      </c>
      <c r="D15" s="1">
        <f t="shared" si="0"/>
        <v>0</v>
      </c>
      <c r="E15" s="1">
        <f t="shared" si="1"/>
        <v>0</v>
      </c>
    </row>
    <row r="16" spans="2:8">
      <c r="B16" s="3" t="s">
        <v>36</v>
      </c>
      <c r="C16" s="3">
        <v>0</v>
      </c>
      <c r="D16" s="1">
        <f t="shared" si="0"/>
        <v>0</v>
      </c>
      <c r="E16" s="1">
        <f t="shared" si="1"/>
        <v>0</v>
      </c>
    </row>
    <row r="17" spans="2:13">
      <c r="B17" s="3" t="s">
        <v>37</v>
      </c>
      <c r="C17" s="3">
        <f>+F4*4%</f>
        <v>97200</v>
      </c>
      <c r="D17" s="1">
        <f t="shared" si="0"/>
        <v>3240</v>
      </c>
      <c r="E17" s="1">
        <f t="shared" si="1"/>
        <v>97200</v>
      </c>
    </row>
    <row r="18" spans="2:13">
      <c r="B18" s="6" t="s">
        <v>38</v>
      </c>
      <c r="C18" s="6">
        <f>SUM(C15:C17)</f>
        <v>97200</v>
      </c>
      <c r="D18" s="1">
        <f t="shared" si="0"/>
        <v>3240</v>
      </c>
      <c r="E18" s="1">
        <f t="shared" si="1"/>
        <v>97200</v>
      </c>
    </row>
    <row r="19" spans="2:13">
      <c r="B19" s="3" t="s">
        <v>39</v>
      </c>
      <c r="C19" s="3">
        <f>+H4*8.33%</f>
        <v>215913.60000000001</v>
      </c>
      <c r="D19" s="1">
        <f t="shared" si="0"/>
        <v>7197.12</v>
      </c>
      <c r="E19" s="1">
        <f t="shared" si="1"/>
        <v>215913.60000000001</v>
      </c>
    </row>
    <row r="20" spans="2:13">
      <c r="B20" s="3" t="s">
        <v>40</v>
      </c>
      <c r="C20" s="3">
        <f>+H4*1%</f>
        <v>25920</v>
      </c>
      <c r="D20" s="1">
        <f t="shared" si="0"/>
        <v>864</v>
      </c>
      <c r="E20" s="1">
        <f t="shared" si="1"/>
        <v>25920</v>
      </c>
    </row>
    <row r="21" spans="2:13">
      <c r="B21" s="3" t="s">
        <v>41</v>
      </c>
      <c r="C21" s="3">
        <f>+H4*8.33%</f>
        <v>215913.60000000001</v>
      </c>
      <c r="D21" s="1">
        <f t="shared" si="0"/>
        <v>7197.12</v>
      </c>
      <c r="E21" s="1">
        <f t="shared" si="1"/>
        <v>215913.60000000001</v>
      </c>
    </row>
    <row r="22" spans="2:13">
      <c r="B22" s="3" t="s">
        <v>42</v>
      </c>
      <c r="C22" s="3">
        <f>+F4*4.17%</f>
        <v>101331</v>
      </c>
      <c r="D22" s="1">
        <f t="shared" si="0"/>
        <v>3377.7</v>
      </c>
      <c r="E22" s="1">
        <f t="shared" si="1"/>
        <v>101331</v>
      </c>
    </row>
    <row r="23" spans="2:13">
      <c r="B23" s="6" t="s">
        <v>43</v>
      </c>
      <c r="C23" s="6">
        <f>SUM(C19:C22)</f>
        <v>559078.19999999995</v>
      </c>
      <c r="D23" s="1">
        <f t="shared" si="0"/>
        <v>18635.939999999999</v>
      </c>
      <c r="E23" s="1">
        <f t="shared" si="1"/>
        <v>559078.19999999995</v>
      </c>
    </row>
    <row r="24" spans="2:13">
      <c r="B24" s="13" t="s">
        <v>44</v>
      </c>
      <c r="C24" s="13">
        <f>+C10+C14+C18+C23</f>
        <v>3552562.8</v>
      </c>
    </row>
    <row r="25" spans="2:13">
      <c r="B25" s="3" t="s">
        <v>45</v>
      </c>
      <c r="C25" s="3">
        <v>30</v>
      </c>
    </row>
    <row r="26" spans="2:13">
      <c r="B26" s="6" t="s">
        <v>46</v>
      </c>
      <c r="C26" s="6">
        <f>+C24/C25</f>
        <v>118418.76</v>
      </c>
    </row>
    <row r="27" spans="2:13">
      <c r="B27" s="3" t="s">
        <v>47</v>
      </c>
      <c r="C27" s="3">
        <v>30</v>
      </c>
      <c r="E27" s="76" t="s">
        <v>48</v>
      </c>
      <c r="F27" s="76"/>
      <c r="G27" s="76"/>
      <c r="H27" s="76"/>
      <c r="I27" s="76"/>
      <c r="J27" s="76"/>
      <c r="K27" s="76"/>
      <c r="L27" s="76"/>
      <c r="M27" s="76"/>
    </row>
    <row r="28" spans="2:13">
      <c r="B28" s="16" t="s">
        <v>49</v>
      </c>
      <c r="C28" s="16">
        <f>C26*C27</f>
        <v>3552562.8</v>
      </c>
    </row>
    <row r="29" spans="2:13">
      <c r="B29" s="3" t="s">
        <v>50</v>
      </c>
      <c r="C29" s="3">
        <v>900</v>
      </c>
    </row>
    <row r="30" spans="2:13">
      <c r="B30" s="18" t="s">
        <v>51</v>
      </c>
      <c r="C30" s="18">
        <f>+C28/C29</f>
        <v>3947.2919999999999</v>
      </c>
    </row>
  </sheetData>
  <mergeCells count="2">
    <mergeCell ref="B7:C7"/>
    <mergeCell ref="E27:M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2A2D-BEC8-409A-9B88-DDEAECA56DAF}">
  <sheetPr>
    <tabColor theme="5" tint="0.39997558519241921"/>
  </sheetPr>
  <dimension ref="B2:H50"/>
  <sheetViews>
    <sheetView topLeftCell="A33" zoomScale="130" zoomScaleNormal="130" workbookViewId="0">
      <selection activeCell="F39" sqref="F39"/>
    </sheetView>
  </sheetViews>
  <sheetFormatPr defaultColWidth="11.42578125" defaultRowHeight="15"/>
  <cols>
    <col min="1" max="1" width="4.42578125" style="1" customWidth="1"/>
    <col min="2" max="2" width="24.140625" style="1" customWidth="1"/>
    <col min="3" max="3" width="14.5703125" style="1" customWidth="1"/>
    <col min="4" max="4" width="13.85546875" style="1" customWidth="1"/>
    <col min="5" max="5" width="12.5703125" style="1" customWidth="1"/>
    <col min="6" max="6" width="20.28515625" style="1" customWidth="1"/>
    <col min="7" max="7" width="13.42578125" style="1" customWidth="1"/>
    <col min="8" max="16384" width="11.42578125" style="1"/>
  </cols>
  <sheetData>
    <row r="2" spans="2:8" s="15" customFormat="1" ht="30">
      <c r="B2" s="14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4</v>
      </c>
    </row>
    <row r="3" spans="2:8">
      <c r="B3" s="3" t="s">
        <v>25</v>
      </c>
      <c r="C3" s="3">
        <v>1</v>
      </c>
      <c r="D3" s="3">
        <f>800*900</f>
        <v>720000</v>
      </c>
      <c r="E3" s="3">
        <v>162000</v>
      </c>
      <c r="F3" s="3">
        <f>+C3*D3</f>
        <v>720000</v>
      </c>
      <c r="G3" s="3">
        <f>+C3*E3</f>
        <v>162000</v>
      </c>
      <c r="H3" s="3">
        <f>+F3+G3</f>
        <v>882000</v>
      </c>
    </row>
    <row r="4" spans="2:8">
      <c r="B4" s="3"/>
      <c r="C4" s="3"/>
      <c r="D4" s="3"/>
      <c r="E4" s="3"/>
      <c r="F4" s="3"/>
      <c r="G4" s="3"/>
      <c r="H4" s="3"/>
    </row>
    <row r="5" spans="2:8">
      <c r="B5" s="3"/>
      <c r="C5" s="3"/>
      <c r="D5" s="3"/>
      <c r="E5" s="3"/>
      <c r="F5" s="3"/>
      <c r="G5" s="3"/>
      <c r="H5" s="3"/>
    </row>
    <row r="6" spans="2:8">
      <c r="B6" s="6" t="s">
        <v>4</v>
      </c>
      <c r="C6" s="6">
        <f>SUM(C3:C5)</f>
        <v>1</v>
      </c>
      <c r="D6" s="6"/>
      <c r="E6" s="6"/>
      <c r="F6" s="6">
        <f>SUM(F3:F5)</f>
        <v>720000</v>
      </c>
      <c r="G6" s="6">
        <f t="shared" ref="G6:H6" si="0">SUM(G3:G5)</f>
        <v>162000</v>
      </c>
      <c r="H6" s="6">
        <f t="shared" si="0"/>
        <v>882000</v>
      </c>
    </row>
    <row r="9" spans="2:8">
      <c r="B9" s="61" t="s">
        <v>26</v>
      </c>
      <c r="C9" s="61"/>
    </row>
    <row r="10" spans="2:8">
      <c r="B10" s="3" t="s">
        <v>29</v>
      </c>
      <c r="C10" s="3">
        <f>+F6</f>
        <v>720000</v>
      </c>
    </row>
    <row r="11" spans="2:8">
      <c r="B11" s="3" t="s">
        <v>22</v>
      </c>
      <c r="C11" s="3">
        <f>+G6</f>
        <v>162000</v>
      </c>
    </row>
    <row r="12" spans="2:8">
      <c r="B12" s="6" t="s">
        <v>30</v>
      </c>
      <c r="C12" s="6">
        <f>SUM(C10:C11)</f>
        <v>882000</v>
      </c>
    </row>
    <row r="13" spans="2:8">
      <c r="B13" s="3" t="s">
        <v>31</v>
      </c>
      <c r="C13" s="3">
        <v>0</v>
      </c>
    </row>
    <row r="14" spans="2:8">
      <c r="B14" s="3" t="s">
        <v>32</v>
      </c>
      <c r="C14" s="3">
        <f>+F6*12%</f>
        <v>86400</v>
      </c>
    </row>
    <row r="15" spans="2:8">
      <c r="B15" s="3" t="s">
        <v>33</v>
      </c>
      <c r="C15" s="3">
        <f>+F6*0.522%</f>
        <v>3758.4</v>
      </c>
    </row>
    <row r="16" spans="2:8">
      <c r="B16" s="6" t="s">
        <v>34</v>
      </c>
      <c r="C16" s="6">
        <f>SUM(C13:C15)</f>
        <v>90158.399999999994</v>
      </c>
    </row>
    <row r="17" spans="2:3">
      <c r="B17" s="3" t="s">
        <v>35</v>
      </c>
      <c r="C17" s="3">
        <v>0</v>
      </c>
    </row>
    <row r="18" spans="2:3">
      <c r="B18" s="3" t="s">
        <v>36</v>
      </c>
      <c r="C18" s="3">
        <v>0</v>
      </c>
    </row>
    <row r="19" spans="2:3">
      <c r="B19" s="3" t="s">
        <v>37</v>
      </c>
      <c r="C19" s="3">
        <f>+F6*4%</f>
        <v>28800</v>
      </c>
    </row>
    <row r="20" spans="2:3">
      <c r="B20" s="6" t="s">
        <v>38</v>
      </c>
      <c r="C20" s="6">
        <f>SUM(C17:C19)</f>
        <v>28800</v>
      </c>
    </row>
    <row r="21" spans="2:3">
      <c r="B21" s="3" t="s">
        <v>39</v>
      </c>
      <c r="C21" s="3">
        <f>+H6*8.33%</f>
        <v>73470.600000000006</v>
      </c>
    </row>
    <row r="22" spans="2:3">
      <c r="B22" s="3" t="s">
        <v>40</v>
      </c>
      <c r="C22" s="3">
        <f>+H6*1%</f>
        <v>8820</v>
      </c>
    </row>
    <row r="23" spans="2:3">
      <c r="B23" s="3" t="s">
        <v>41</v>
      </c>
      <c r="C23" s="3">
        <f>+H6*8.33%</f>
        <v>73470.600000000006</v>
      </c>
    </row>
    <row r="24" spans="2:3">
      <c r="B24" s="3" t="s">
        <v>42</v>
      </c>
      <c r="C24" s="3">
        <f>+F6*4.17%</f>
        <v>30024</v>
      </c>
    </row>
    <row r="25" spans="2:3">
      <c r="B25" s="6" t="s">
        <v>43</v>
      </c>
      <c r="C25" s="6">
        <f>SUM(C21:C24)</f>
        <v>185785.2</v>
      </c>
    </row>
    <row r="26" spans="2:3">
      <c r="B26" s="13" t="s">
        <v>52</v>
      </c>
      <c r="C26" s="13">
        <f>+C12+C16+C20+C25</f>
        <v>1186743.6000000001</v>
      </c>
    </row>
    <row r="27" spans="2:3">
      <c r="B27" s="3" t="s">
        <v>45</v>
      </c>
      <c r="C27" s="3">
        <v>30</v>
      </c>
    </row>
    <row r="28" spans="2:3">
      <c r="B28" s="6" t="s">
        <v>46</v>
      </c>
      <c r="C28" s="6">
        <f>+C26/C27</f>
        <v>39558.120000000003</v>
      </c>
    </row>
    <row r="29" spans="2:3">
      <c r="B29" s="3" t="s">
        <v>47</v>
      </c>
      <c r="C29" s="3">
        <v>30</v>
      </c>
    </row>
    <row r="30" spans="2:3">
      <c r="B30" s="16" t="s">
        <v>53</v>
      </c>
      <c r="C30" s="16">
        <f>+C28*C29</f>
        <v>1186743.6000000001</v>
      </c>
    </row>
    <row r="31" spans="2:3">
      <c r="B31" s="3" t="s">
        <v>50</v>
      </c>
      <c r="C31" s="3">
        <v>21000</v>
      </c>
    </row>
    <row r="32" spans="2:3">
      <c r="B32" s="18" t="s">
        <v>54</v>
      </c>
      <c r="C32" s="18">
        <f>+C30/C31</f>
        <v>56.511600000000001</v>
      </c>
    </row>
    <row r="35" spans="2:7">
      <c r="B35" s="61" t="s">
        <v>55</v>
      </c>
      <c r="C35" s="61"/>
      <c r="D35" s="61"/>
      <c r="F35" s="78"/>
      <c r="G35" s="78"/>
    </row>
    <row r="36" spans="2:7">
      <c r="B36" s="4" t="s">
        <v>56</v>
      </c>
      <c r="C36" s="4" t="s">
        <v>57</v>
      </c>
      <c r="D36" s="4" t="s">
        <v>58</v>
      </c>
      <c r="F36" s="72"/>
      <c r="G36" s="72"/>
    </row>
    <row r="37" spans="2:7">
      <c r="B37" s="57" t="s">
        <v>59</v>
      </c>
      <c r="C37" s="57">
        <f>+C30</f>
        <v>1186743.6000000001</v>
      </c>
      <c r="D37" s="58">
        <f>+C37/900</f>
        <v>1318.604</v>
      </c>
      <c r="F37" s="72"/>
      <c r="G37" s="72"/>
    </row>
    <row r="38" spans="2:7">
      <c r="B38" s="49" t="s">
        <v>60</v>
      </c>
      <c r="C38" s="49">
        <v>0</v>
      </c>
      <c r="D38" s="59">
        <f>+C38/900</f>
        <v>0</v>
      </c>
      <c r="F38" s="72"/>
      <c r="G38" s="72"/>
    </row>
    <row r="39" spans="2:7">
      <c r="B39" s="3" t="s">
        <v>61</v>
      </c>
      <c r="C39" s="3">
        <v>0</v>
      </c>
      <c r="D39" s="5">
        <f>+C39/900</f>
        <v>0</v>
      </c>
      <c r="F39" s="79"/>
      <c r="G39" s="79"/>
    </row>
    <row r="40" spans="2:7">
      <c r="B40" s="57" t="s">
        <v>62</v>
      </c>
      <c r="C40" s="57">
        <f>Contabilización!D37</f>
        <v>360000</v>
      </c>
      <c r="D40" s="58">
        <f>+C40/900</f>
        <v>400</v>
      </c>
      <c r="F40" s="72"/>
      <c r="G40" s="72"/>
    </row>
    <row r="41" spans="2:7">
      <c r="B41" s="3" t="s">
        <v>63</v>
      </c>
      <c r="C41" s="3">
        <v>0</v>
      </c>
      <c r="D41" s="5">
        <f>+C41/900</f>
        <v>0</v>
      </c>
      <c r="F41" s="79"/>
      <c r="G41" s="79"/>
    </row>
    <row r="42" spans="2:7">
      <c r="B42" s="57" t="s">
        <v>64</v>
      </c>
      <c r="C42" s="57">
        <v>2500000</v>
      </c>
      <c r="D42" s="58">
        <f>+C42/900</f>
        <v>2777.7777777777778</v>
      </c>
    </row>
    <row r="43" spans="2:7">
      <c r="B43" s="57" t="s">
        <v>65</v>
      </c>
      <c r="C43" s="57">
        <f>D43*900</f>
        <v>72000</v>
      </c>
      <c r="D43" s="58">
        <f>80</f>
        <v>80</v>
      </c>
      <c r="F43" s="63" t="s">
        <v>66</v>
      </c>
      <c r="G43" s="63"/>
    </row>
    <row r="44" spans="2:7">
      <c r="B44" s="57" t="s">
        <v>67</v>
      </c>
      <c r="C44" s="57">
        <v>2300000</v>
      </c>
      <c r="D44" s="77">
        <f>+C44/900</f>
        <v>2555.5555555555557</v>
      </c>
      <c r="F44" s="3" t="s">
        <v>68</v>
      </c>
      <c r="G44" s="3">
        <v>2700000</v>
      </c>
    </row>
    <row r="45" spans="2:7">
      <c r="B45" s="16" t="s">
        <v>4</v>
      </c>
      <c r="C45" s="16"/>
      <c r="D45" s="17">
        <f>SUM(D37:D44)</f>
        <v>7131.9373333333333</v>
      </c>
      <c r="F45" s="3" t="s">
        <v>69</v>
      </c>
      <c r="G45" s="19">
        <v>0.7</v>
      </c>
    </row>
    <row r="46" spans="2:7">
      <c r="F46" s="6" t="s">
        <v>70</v>
      </c>
      <c r="G46" s="6">
        <f>+G44*G45</f>
        <v>1889999.9999999998</v>
      </c>
    </row>
    <row r="47" spans="2:7">
      <c r="F47" s="3" t="s">
        <v>45</v>
      </c>
      <c r="G47" s="3">
        <v>30</v>
      </c>
    </row>
    <row r="48" spans="2:7">
      <c r="F48" s="6" t="s">
        <v>71</v>
      </c>
      <c r="G48" s="6">
        <f>+G46/G47</f>
        <v>62999.999999999993</v>
      </c>
    </row>
    <row r="49" spans="6:7">
      <c r="F49" s="3" t="s">
        <v>72</v>
      </c>
      <c r="G49" s="3">
        <v>18</v>
      </c>
    </row>
    <row r="50" spans="6:7">
      <c r="F50" s="6" t="s">
        <v>73</v>
      </c>
      <c r="G50" s="6">
        <f>+G48*G49</f>
        <v>1133999.9999999998</v>
      </c>
    </row>
  </sheetData>
  <mergeCells count="4">
    <mergeCell ref="B9:C9"/>
    <mergeCell ref="B35:D35"/>
    <mergeCell ref="F35:G35"/>
    <mergeCell ref="F43:G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765B-6B92-410B-A070-3E8A8F884C72}">
  <sheetPr>
    <tabColor rgb="FF7030A0"/>
  </sheetPr>
  <dimension ref="B2:D8"/>
  <sheetViews>
    <sheetView zoomScale="160" zoomScaleNormal="160" workbookViewId="0">
      <selection activeCell="F7" sqref="F7"/>
    </sheetView>
  </sheetViews>
  <sheetFormatPr defaultColWidth="11.42578125" defaultRowHeight="15"/>
  <cols>
    <col min="1" max="1" width="2.85546875" style="1" customWidth="1"/>
    <col min="2" max="2" width="28.28515625" style="1" customWidth="1"/>
    <col min="3" max="3" width="11.42578125" style="1"/>
    <col min="4" max="4" width="13" style="1" bestFit="1" customWidth="1"/>
    <col min="5" max="16384" width="11.42578125" style="1"/>
  </cols>
  <sheetData>
    <row r="2" spans="2:4">
      <c r="B2" s="12" t="s">
        <v>74</v>
      </c>
      <c r="C2" s="12" t="s">
        <v>3</v>
      </c>
    </row>
    <row r="3" spans="2:4">
      <c r="B3" s="3" t="s">
        <v>75</v>
      </c>
      <c r="C3" s="5">
        <f>+MP!C27</f>
        <v>162222.22222222222</v>
      </c>
    </row>
    <row r="4" spans="2:4">
      <c r="B4" s="3" t="s">
        <v>76</v>
      </c>
      <c r="C4" s="5">
        <f>+MOD!C30</f>
        <v>3947.2919999999999</v>
      </c>
    </row>
    <row r="5" spans="2:4">
      <c r="B5" s="3" t="s">
        <v>55</v>
      </c>
      <c r="C5" s="5">
        <f>+CIF!D45</f>
        <v>7131.9373333333333</v>
      </c>
    </row>
    <row r="6" spans="2:4">
      <c r="B6" s="6" t="s">
        <v>77</v>
      </c>
      <c r="C6" s="20">
        <f>SUM(C3:C5)</f>
        <v>173301.45155555554</v>
      </c>
      <c r="D6" s="1">
        <f>C6*900</f>
        <v>155971306.39999998</v>
      </c>
    </row>
    <row r="7" spans="2:4">
      <c r="B7" s="21" t="s">
        <v>78</v>
      </c>
      <c r="C7" s="22">
        <v>0.28999999999999998</v>
      </c>
    </row>
    <row r="8" spans="2:4">
      <c r="B8" s="13" t="s">
        <v>79</v>
      </c>
      <c r="C8" s="13">
        <f>+C6/(1-C7)</f>
        <v>244086.55148669795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A7D7-EC2A-4DDA-89D0-51BCAA5F7330}">
  <sheetPr>
    <tabColor rgb="FF00B0F0"/>
  </sheetPr>
  <dimension ref="A4:F108"/>
  <sheetViews>
    <sheetView topLeftCell="A24" workbookViewId="0">
      <selection activeCell="E39" sqref="E39"/>
    </sheetView>
  </sheetViews>
  <sheetFormatPr defaultColWidth="11.42578125" defaultRowHeight="15"/>
  <cols>
    <col min="1" max="1" width="5.42578125" style="1" customWidth="1"/>
    <col min="2" max="2" width="11.42578125" style="1"/>
    <col min="3" max="3" width="33" style="1" customWidth="1"/>
    <col min="4" max="4" width="20.42578125" style="1" customWidth="1"/>
    <col min="5" max="5" width="20" style="1" customWidth="1"/>
    <col min="6" max="6" width="21.85546875" style="1" customWidth="1"/>
    <col min="7" max="16384" width="11.42578125" style="1"/>
  </cols>
  <sheetData>
    <row r="4" spans="1:6" ht="15.75" thickBot="1"/>
    <row r="5" spans="1:6">
      <c r="B5" s="23">
        <v>1</v>
      </c>
      <c r="C5" s="24" t="s">
        <v>80</v>
      </c>
      <c r="E5" s="39">
        <v>7</v>
      </c>
      <c r="F5" s="40" t="s">
        <v>81</v>
      </c>
    </row>
    <row r="6" spans="1:6">
      <c r="B6" s="25">
        <v>14</v>
      </c>
      <c r="C6" s="26" t="s">
        <v>82</v>
      </c>
      <c r="E6" s="41">
        <v>71</v>
      </c>
      <c r="F6" s="42" t="s">
        <v>83</v>
      </c>
    </row>
    <row r="7" spans="1:6">
      <c r="B7" s="25">
        <v>1405</v>
      </c>
      <c r="C7" s="26" t="s">
        <v>83</v>
      </c>
      <c r="E7" s="41">
        <v>72</v>
      </c>
      <c r="F7" s="42" t="s">
        <v>76</v>
      </c>
    </row>
    <row r="8" spans="1:6">
      <c r="B8" s="25">
        <v>1410</v>
      </c>
      <c r="C8" s="26" t="s">
        <v>84</v>
      </c>
      <c r="E8" s="41">
        <v>73</v>
      </c>
      <c r="F8" s="42" t="s">
        <v>55</v>
      </c>
    </row>
    <row r="9" spans="1:6">
      <c r="B9" s="25">
        <v>1430</v>
      </c>
      <c r="C9" s="26" t="s">
        <v>85</v>
      </c>
      <c r="E9" s="41">
        <v>74</v>
      </c>
      <c r="F9" s="42" t="s">
        <v>86</v>
      </c>
    </row>
    <row r="10" spans="1:6" ht="15.75" thickBot="1">
      <c r="B10" s="43">
        <v>1465</v>
      </c>
      <c r="C10" s="44" t="s">
        <v>87</v>
      </c>
      <c r="E10" s="45"/>
      <c r="F10" s="46"/>
    </row>
    <row r="12" spans="1:6">
      <c r="A12" s="27">
        <v>1</v>
      </c>
      <c r="B12" s="67" t="s">
        <v>88</v>
      </c>
      <c r="C12" s="67"/>
      <c r="D12" s="67"/>
      <c r="E12" s="67"/>
    </row>
    <row r="13" spans="1:6">
      <c r="B13" s="2" t="s">
        <v>89</v>
      </c>
      <c r="C13" s="2" t="s">
        <v>90</v>
      </c>
      <c r="D13" s="2" t="s">
        <v>91</v>
      </c>
      <c r="E13" s="2" t="s">
        <v>92</v>
      </c>
    </row>
    <row r="14" spans="1:6">
      <c r="B14" s="28">
        <v>1465</v>
      </c>
      <c r="C14" s="3" t="s">
        <v>87</v>
      </c>
      <c r="D14" s="3">
        <f>MP!E7</f>
        <v>108000000</v>
      </c>
      <c r="E14" s="3"/>
    </row>
    <row r="15" spans="1:6">
      <c r="B15" s="28">
        <v>1110</v>
      </c>
      <c r="C15" s="3" t="s">
        <v>93</v>
      </c>
      <c r="D15" s="3"/>
      <c r="E15" s="3">
        <f>+D14</f>
        <v>108000000</v>
      </c>
    </row>
    <row r="16" spans="1:6">
      <c r="B16" s="28"/>
      <c r="C16" s="3"/>
      <c r="D16" s="3"/>
      <c r="E16" s="3"/>
    </row>
    <row r="17" spans="1:5">
      <c r="B17" s="65" t="s">
        <v>94</v>
      </c>
      <c r="C17" s="66"/>
      <c r="D17" s="6">
        <f>SUM(D14:D16)</f>
        <v>108000000</v>
      </c>
      <c r="E17" s="6">
        <f>SUM(E14:E16)</f>
        <v>108000000</v>
      </c>
    </row>
    <row r="20" spans="1:5">
      <c r="A20" s="27">
        <v>2</v>
      </c>
      <c r="B20" s="67" t="s">
        <v>95</v>
      </c>
      <c r="C20" s="67"/>
      <c r="D20" s="67"/>
      <c r="E20" s="67"/>
    </row>
    <row r="21" spans="1:5">
      <c r="B21" s="2" t="s">
        <v>89</v>
      </c>
      <c r="C21" s="2" t="s">
        <v>90</v>
      </c>
      <c r="D21" s="2" t="s">
        <v>91</v>
      </c>
      <c r="E21" s="2" t="s">
        <v>92</v>
      </c>
    </row>
    <row r="22" spans="1:5">
      <c r="B22" s="28">
        <v>1465</v>
      </c>
      <c r="C22" s="3" t="s">
        <v>87</v>
      </c>
      <c r="D22" s="3">
        <f>CIF!C38</f>
        <v>0</v>
      </c>
      <c r="E22" s="3"/>
    </row>
    <row r="23" spans="1:5">
      <c r="B23" s="28">
        <v>1110</v>
      </c>
      <c r="C23" s="3" t="s">
        <v>93</v>
      </c>
      <c r="D23" s="3"/>
      <c r="E23" s="3">
        <f>CIF!C38</f>
        <v>0</v>
      </c>
    </row>
    <row r="24" spans="1:5">
      <c r="B24" s="28"/>
      <c r="C24" s="3"/>
      <c r="D24" s="3"/>
      <c r="E24" s="3"/>
    </row>
    <row r="25" spans="1:5">
      <c r="B25" s="65" t="s">
        <v>94</v>
      </c>
      <c r="C25" s="66"/>
      <c r="D25" s="6">
        <f>SUM(D22:D24)</f>
        <v>0</v>
      </c>
      <c r="E25" s="6">
        <f>SUM(E22:E24)</f>
        <v>0</v>
      </c>
    </row>
    <row r="26" spans="1:5">
      <c r="B26" s="47"/>
      <c r="C26" s="47"/>
      <c r="D26" s="48"/>
      <c r="E26" s="48"/>
    </row>
    <row r="27" spans="1:5">
      <c r="B27" s="47"/>
      <c r="C27" s="47"/>
      <c r="D27" s="48"/>
      <c r="E27" s="48"/>
    </row>
    <row r="28" spans="1:5">
      <c r="A28" s="27">
        <v>3</v>
      </c>
      <c r="B28" s="64" t="s">
        <v>96</v>
      </c>
      <c r="C28" s="64"/>
      <c r="D28" s="64"/>
      <c r="E28" s="64"/>
    </row>
    <row r="29" spans="1:5">
      <c r="B29" s="2" t="s">
        <v>89</v>
      </c>
      <c r="C29" s="2" t="s">
        <v>90</v>
      </c>
      <c r="D29" s="2" t="s">
        <v>91</v>
      </c>
      <c r="E29" s="2" t="s">
        <v>92</v>
      </c>
    </row>
    <row r="30" spans="1:5">
      <c r="B30" s="28">
        <v>1465</v>
      </c>
      <c r="C30" s="3" t="s">
        <v>87</v>
      </c>
      <c r="D30" s="3"/>
      <c r="E30" s="3"/>
    </row>
    <row r="31" spans="1:5">
      <c r="B31" s="28">
        <v>1110</v>
      </c>
      <c r="C31" s="3" t="s">
        <v>93</v>
      </c>
      <c r="D31" s="3"/>
      <c r="E31" s="3"/>
    </row>
    <row r="32" spans="1:5">
      <c r="B32" s="28"/>
      <c r="C32" s="3"/>
      <c r="D32" s="3"/>
      <c r="E32" s="3"/>
    </row>
    <row r="33" spans="1:5">
      <c r="B33" s="65" t="s">
        <v>94</v>
      </c>
      <c r="C33" s="66"/>
      <c r="D33" s="6">
        <f>SUM(D30:D32)</f>
        <v>0</v>
      </c>
      <c r="E33" s="6">
        <f>SUM(E30:E32)</f>
        <v>0</v>
      </c>
    </row>
    <row r="35" spans="1:5">
      <c r="A35" s="27">
        <v>4</v>
      </c>
      <c r="B35" s="64" t="s">
        <v>62</v>
      </c>
      <c r="C35" s="64"/>
      <c r="D35" s="64"/>
      <c r="E35" s="64"/>
    </row>
    <row r="36" spans="1:5">
      <c r="B36" s="2" t="s">
        <v>89</v>
      </c>
      <c r="C36" s="2" t="s">
        <v>90</v>
      </c>
      <c r="D36" s="2" t="s">
        <v>91</v>
      </c>
      <c r="E36" s="2" t="s">
        <v>92</v>
      </c>
    </row>
    <row r="37" spans="1:5">
      <c r="B37" s="28">
        <v>5120</v>
      </c>
      <c r="C37" s="3" t="s">
        <v>97</v>
      </c>
      <c r="D37" s="3">
        <f>400*900</f>
        <v>360000</v>
      </c>
      <c r="E37" s="3"/>
    </row>
    <row r="38" spans="1:5">
      <c r="B38" s="28">
        <v>1110</v>
      </c>
      <c r="C38" s="3" t="s">
        <v>93</v>
      </c>
      <c r="D38" s="3"/>
      <c r="E38" s="3">
        <f>D37</f>
        <v>360000</v>
      </c>
    </row>
    <row r="39" spans="1:5">
      <c r="B39" s="28"/>
      <c r="C39" s="3"/>
      <c r="D39" s="3"/>
      <c r="E39" s="3"/>
    </row>
    <row r="40" spans="1:5">
      <c r="B40" s="65" t="s">
        <v>94</v>
      </c>
      <c r="C40" s="66"/>
      <c r="D40" s="6">
        <f>SUM(D37:D39)</f>
        <v>360000</v>
      </c>
      <c r="E40" s="6">
        <f>SUM(E37:E39)</f>
        <v>360000</v>
      </c>
    </row>
    <row r="42" spans="1:5">
      <c r="A42" s="27">
        <v>5</v>
      </c>
      <c r="B42" s="64" t="s">
        <v>98</v>
      </c>
      <c r="C42" s="64"/>
      <c r="D42" s="64"/>
      <c r="E42" s="64"/>
    </row>
    <row r="43" spans="1:5">
      <c r="B43" s="2" t="s">
        <v>89</v>
      </c>
      <c r="C43" s="2" t="s">
        <v>90</v>
      </c>
      <c r="D43" s="2" t="s">
        <v>91</v>
      </c>
      <c r="E43" s="2" t="s">
        <v>92</v>
      </c>
    </row>
    <row r="44" spans="1:5">
      <c r="B44" s="28">
        <v>1465</v>
      </c>
      <c r="C44" s="3" t="s">
        <v>87</v>
      </c>
      <c r="D44" s="3"/>
      <c r="E44" s="3"/>
    </row>
    <row r="45" spans="1:5">
      <c r="B45" s="28">
        <v>1110</v>
      </c>
      <c r="C45" s="3" t="s">
        <v>93</v>
      </c>
      <c r="D45" s="3"/>
      <c r="E45" s="3"/>
    </row>
    <row r="46" spans="1:5">
      <c r="B46" s="28"/>
      <c r="C46" s="3"/>
      <c r="D46" s="3"/>
      <c r="E46" s="3"/>
    </row>
    <row r="47" spans="1:5">
      <c r="B47" s="65" t="s">
        <v>94</v>
      </c>
      <c r="C47" s="66"/>
      <c r="D47" s="6">
        <f>SUM(D44:D46)</f>
        <v>0</v>
      </c>
      <c r="E47" s="6">
        <f>SUM(E44:E46)</f>
        <v>0</v>
      </c>
    </row>
    <row r="49" spans="1:5">
      <c r="A49" s="27">
        <v>6</v>
      </c>
      <c r="B49" s="64" t="s">
        <v>99</v>
      </c>
      <c r="C49" s="64"/>
      <c r="D49" s="64"/>
      <c r="E49" s="64"/>
    </row>
    <row r="50" spans="1:5">
      <c r="B50" s="2" t="s">
        <v>89</v>
      </c>
      <c r="C50" s="2" t="s">
        <v>90</v>
      </c>
      <c r="D50" s="2" t="s">
        <v>91</v>
      </c>
      <c r="E50" s="2" t="s">
        <v>92</v>
      </c>
    </row>
    <row r="51" spans="1:5">
      <c r="B51" s="28">
        <v>1465</v>
      </c>
      <c r="C51" s="3" t="s">
        <v>87</v>
      </c>
      <c r="D51" s="3">
        <f>CIF!C42</f>
        <v>2500000</v>
      </c>
      <c r="E51" s="3"/>
    </row>
    <row r="52" spans="1:5">
      <c r="B52" s="28">
        <v>1110</v>
      </c>
      <c r="C52" s="3" t="s">
        <v>93</v>
      </c>
      <c r="D52" s="3"/>
      <c r="E52" s="3">
        <f>CIF!C42</f>
        <v>2500000</v>
      </c>
    </row>
    <row r="53" spans="1:5">
      <c r="B53" s="28"/>
      <c r="C53" s="3"/>
      <c r="D53" s="3"/>
      <c r="E53" s="3"/>
    </row>
    <row r="54" spans="1:5">
      <c r="B54" s="65" t="s">
        <v>94</v>
      </c>
      <c r="C54" s="66"/>
      <c r="D54" s="6">
        <f>SUM(D51:D53)</f>
        <v>2500000</v>
      </c>
      <c r="E54" s="6">
        <f>SUM(E51:E53)</f>
        <v>2500000</v>
      </c>
    </row>
    <row r="56" spans="1:5">
      <c r="A56" s="27">
        <v>6</v>
      </c>
      <c r="B56" s="64" t="s">
        <v>100</v>
      </c>
      <c r="C56" s="64"/>
      <c r="D56" s="64"/>
      <c r="E56" s="64"/>
    </row>
    <row r="57" spans="1:5">
      <c r="B57" s="2" t="s">
        <v>89</v>
      </c>
      <c r="C57" s="2" t="s">
        <v>90</v>
      </c>
      <c r="D57" s="2" t="s">
        <v>91</v>
      </c>
      <c r="E57" s="2" t="s">
        <v>92</v>
      </c>
    </row>
    <row r="58" spans="1:5">
      <c r="B58" s="28">
        <v>140501</v>
      </c>
      <c r="C58" s="3" t="s">
        <v>101</v>
      </c>
      <c r="D58" s="3">
        <f>E59</f>
        <v>110500000</v>
      </c>
      <c r="E58" s="3"/>
    </row>
    <row r="59" spans="1:5">
      <c r="B59" s="28">
        <v>1465</v>
      </c>
      <c r="C59" s="3" t="s">
        <v>87</v>
      </c>
      <c r="D59" s="3"/>
      <c r="E59" s="3">
        <f>Mayorización!B13</f>
        <v>110500000</v>
      </c>
    </row>
    <row r="60" spans="1:5">
      <c r="B60" s="28"/>
      <c r="C60" s="3"/>
      <c r="D60" s="3"/>
      <c r="E60" s="3"/>
    </row>
    <row r="61" spans="1:5">
      <c r="B61" s="65" t="s">
        <v>94</v>
      </c>
      <c r="C61" s="66"/>
      <c r="D61" s="6">
        <f>SUM(D58:D60)</f>
        <v>110500000</v>
      </c>
      <c r="E61" s="6">
        <f>SUM(E58:E60)</f>
        <v>110500000</v>
      </c>
    </row>
    <row r="64" spans="1:5">
      <c r="A64" s="27">
        <v>8</v>
      </c>
      <c r="B64" s="64" t="s">
        <v>102</v>
      </c>
      <c r="C64" s="64"/>
      <c r="D64" s="64"/>
      <c r="E64" s="64"/>
    </row>
    <row r="65" spans="1:5">
      <c r="B65" s="2" t="s">
        <v>89</v>
      </c>
      <c r="C65" s="2" t="s">
        <v>90</v>
      </c>
      <c r="D65" s="2" t="s">
        <v>91</v>
      </c>
      <c r="E65" s="2" t="s">
        <v>92</v>
      </c>
    </row>
    <row r="66" spans="1:5">
      <c r="B66" s="28">
        <v>140501</v>
      </c>
      <c r="C66" s="3" t="s">
        <v>101</v>
      </c>
      <c r="D66" s="3"/>
      <c r="E66" s="3">
        <f>Mayorización!E5</f>
        <v>110500000</v>
      </c>
    </row>
    <row r="67" spans="1:5">
      <c r="B67" s="28">
        <v>140502</v>
      </c>
      <c r="C67" s="3" t="s">
        <v>103</v>
      </c>
      <c r="D67" s="3"/>
      <c r="E67" s="3">
        <f>Mayorización!H5</f>
        <v>38000000</v>
      </c>
    </row>
    <row r="68" spans="1:5">
      <c r="B68" s="28">
        <v>7105</v>
      </c>
      <c r="C68" s="3" t="s">
        <v>104</v>
      </c>
      <c r="D68" s="3">
        <f>E66+E67</f>
        <v>148500000</v>
      </c>
      <c r="E68" s="3"/>
    </row>
    <row r="69" spans="1:5">
      <c r="B69" s="65" t="s">
        <v>94</v>
      </c>
      <c r="C69" s="66"/>
      <c r="D69" s="6">
        <f>SUM(D66:D68)</f>
        <v>148500000</v>
      </c>
      <c r="E69" s="6">
        <f>SUM(E66:E68)</f>
        <v>148500000</v>
      </c>
    </row>
    <row r="71" spans="1:5">
      <c r="A71" s="27">
        <v>9</v>
      </c>
      <c r="B71" s="64" t="s">
        <v>105</v>
      </c>
      <c r="C71" s="64"/>
      <c r="D71" s="64"/>
      <c r="E71" s="64"/>
    </row>
    <row r="72" spans="1:5">
      <c r="B72" s="2" t="s">
        <v>89</v>
      </c>
      <c r="C72" s="2" t="s">
        <v>90</v>
      </c>
      <c r="D72" s="2" t="s">
        <v>91</v>
      </c>
      <c r="E72" s="2" t="s">
        <v>92</v>
      </c>
    </row>
    <row r="73" spans="1:5">
      <c r="B73" s="60">
        <v>7205</v>
      </c>
      <c r="C73" s="71" t="s">
        <v>106</v>
      </c>
      <c r="D73" s="71">
        <f>MOD!C28</f>
        <v>3552562.8</v>
      </c>
      <c r="E73" s="71"/>
    </row>
    <row r="74" spans="1:5">
      <c r="B74" s="75">
        <v>2370</v>
      </c>
      <c r="C74" s="49" t="s">
        <v>107</v>
      </c>
      <c r="D74" s="49"/>
      <c r="E74" s="49">
        <f>MOD!E14+MOD!E18</f>
        <v>401484.6</v>
      </c>
    </row>
    <row r="75" spans="1:5">
      <c r="B75" s="75">
        <v>2505</v>
      </c>
      <c r="C75" s="49" t="s">
        <v>108</v>
      </c>
      <c r="D75" s="49"/>
      <c r="E75" s="49">
        <f>MOD!E10</f>
        <v>2592000</v>
      </c>
    </row>
    <row r="76" spans="1:5">
      <c r="B76" s="75">
        <v>2510</v>
      </c>
      <c r="C76" s="49" t="s">
        <v>39</v>
      </c>
      <c r="D76" s="49"/>
      <c r="E76" s="49">
        <f>MOD!E19</f>
        <v>215913.60000000001</v>
      </c>
    </row>
    <row r="77" spans="1:5">
      <c r="B77" s="75">
        <v>2515</v>
      </c>
      <c r="C77" s="49" t="s">
        <v>109</v>
      </c>
      <c r="D77" s="49"/>
      <c r="E77" s="49">
        <f>MOD!E20</f>
        <v>25920</v>
      </c>
    </row>
    <row r="78" spans="1:5">
      <c r="B78" s="75">
        <v>2520</v>
      </c>
      <c r="C78" s="49" t="s">
        <v>110</v>
      </c>
      <c r="D78" s="49"/>
      <c r="E78" s="49">
        <f>MOD!E21</f>
        <v>215913.60000000001</v>
      </c>
    </row>
    <row r="79" spans="1:5">
      <c r="B79" s="75">
        <v>2525</v>
      </c>
      <c r="C79" s="49" t="s">
        <v>42</v>
      </c>
      <c r="D79" s="49"/>
      <c r="E79" s="49">
        <f>MOD!E22</f>
        <v>101331</v>
      </c>
    </row>
    <row r="80" spans="1:5">
      <c r="B80" s="68" t="s">
        <v>94</v>
      </c>
      <c r="C80" s="73"/>
      <c r="D80" s="74">
        <f>SUM(D73:D73)</f>
        <v>3552562.8</v>
      </c>
      <c r="E80" s="74">
        <f>SUM(E73:E79)</f>
        <v>3552562.8000000003</v>
      </c>
    </row>
    <row r="82" spans="1:5">
      <c r="A82" s="27">
        <v>10</v>
      </c>
      <c r="B82" s="64" t="s">
        <v>111</v>
      </c>
      <c r="C82" s="64"/>
      <c r="D82" s="64"/>
      <c r="E82" s="64"/>
    </row>
    <row r="83" spans="1:5">
      <c r="B83" s="2" t="s">
        <v>89</v>
      </c>
      <c r="C83" s="2" t="s">
        <v>90</v>
      </c>
      <c r="D83" s="2" t="s">
        <v>91</v>
      </c>
      <c r="E83" s="2" t="s">
        <v>92</v>
      </c>
    </row>
    <row r="84" spans="1:5">
      <c r="B84" s="28">
        <v>730501</v>
      </c>
      <c r="C84" s="3" t="s">
        <v>112</v>
      </c>
      <c r="D84" s="3">
        <f>CIF!C43</f>
        <v>72000</v>
      </c>
      <c r="E84" s="3"/>
    </row>
    <row r="85" spans="1:5">
      <c r="B85" s="28">
        <v>1592</v>
      </c>
      <c r="C85" s="3" t="s">
        <v>113</v>
      </c>
      <c r="D85" s="3"/>
      <c r="E85" s="3">
        <f>CIF!C43</f>
        <v>72000</v>
      </c>
    </row>
    <row r="86" spans="1:5">
      <c r="B86" s="65" t="s">
        <v>94</v>
      </c>
      <c r="C86" s="66"/>
      <c r="D86" s="6">
        <f>SUM(D84:D85)</f>
        <v>72000</v>
      </c>
      <c r="E86" s="6">
        <f>SUM(E84:E85)</f>
        <v>72000</v>
      </c>
    </row>
    <row r="89" spans="1:5">
      <c r="A89" s="27">
        <v>12</v>
      </c>
      <c r="B89" s="64" t="s">
        <v>114</v>
      </c>
      <c r="C89" s="64"/>
      <c r="D89" s="64"/>
      <c r="E89" s="64"/>
    </row>
    <row r="90" spans="1:5">
      <c r="B90" s="2" t="s">
        <v>89</v>
      </c>
      <c r="C90" s="2" t="s">
        <v>90</v>
      </c>
      <c r="D90" s="2" t="s">
        <v>91</v>
      </c>
      <c r="E90" s="2" t="s">
        <v>92</v>
      </c>
    </row>
    <row r="91" spans="1:5">
      <c r="B91" s="28">
        <v>730502</v>
      </c>
      <c r="C91" s="3" t="s">
        <v>115</v>
      </c>
      <c r="D91" s="3">
        <f>CIF!C30</f>
        <v>1186743.6000000001</v>
      </c>
      <c r="E91" s="3"/>
    </row>
    <row r="92" spans="1:5">
      <c r="B92" s="28" t="s">
        <v>116</v>
      </c>
      <c r="C92" s="3" t="s">
        <v>117</v>
      </c>
      <c r="D92" s="3"/>
      <c r="E92" s="3">
        <f>CIF!C12+CIF!C16+CIF!C20+CIF!C21+CIF!C22+CIF!C23+CIF!C24</f>
        <v>1186743.6000000001</v>
      </c>
    </row>
    <row r="93" spans="1:5">
      <c r="B93" s="65" t="s">
        <v>94</v>
      </c>
      <c r="C93" s="66"/>
      <c r="D93" s="6">
        <f>SUM(D91:D92)</f>
        <v>1186743.6000000001</v>
      </c>
      <c r="E93" s="6">
        <f>SUM(E91:E92)</f>
        <v>1186743.6000000001</v>
      </c>
    </row>
    <row r="95" spans="1:5">
      <c r="A95" s="27">
        <v>11</v>
      </c>
      <c r="B95" s="64" t="s">
        <v>118</v>
      </c>
      <c r="C95" s="64"/>
      <c r="D95" s="64"/>
      <c r="E95" s="64"/>
    </row>
    <row r="96" spans="1:5">
      <c r="B96" s="2" t="s">
        <v>89</v>
      </c>
      <c r="C96" s="2" t="s">
        <v>90</v>
      </c>
      <c r="D96" s="2" t="s">
        <v>91</v>
      </c>
      <c r="E96" s="2" t="s">
        <v>92</v>
      </c>
    </row>
    <row r="97" spans="1:5">
      <c r="B97" s="28">
        <v>730503</v>
      </c>
      <c r="C97" s="3" t="s">
        <v>119</v>
      </c>
      <c r="D97" s="3">
        <f>CIF!C44</f>
        <v>2300000</v>
      </c>
      <c r="E97" s="3"/>
    </row>
    <row r="98" spans="1:5">
      <c r="B98" s="28">
        <v>2335</v>
      </c>
      <c r="C98" s="3" t="s">
        <v>120</v>
      </c>
      <c r="D98" s="3"/>
      <c r="E98" s="3">
        <f>D97</f>
        <v>2300000</v>
      </c>
    </row>
    <row r="99" spans="1:5">
      <c r="B99" s="28"/>
      <c r="C99" s="3"/>
      <c r="D99" s="3"/>
      <c r="E99" s="3"/>
    </row>
    <row r="100" spans="1:5">
      <c r="B100" s="65" t="s">
        <v>94</v>
      </c>
      <c r="C100" s="66"/>
      <c r="D100" s="6">
        <f>SUM(D97:D99)</f>
        <v>2300000</v>
      </c>
      <c r="E100" s="6">
        <f>SUM(E97:E99)</f>
        <v>2300000</v>
      </c>
    </row>
    <row r="102" spans="1:5">
      <c r="A102" s="27">
        <v>11</v>
      </c>
      <c r="B102" s="64" t="s">
        <v>121</v>
      </c>
      <c r="C102" s="64"/>
      <c r="D102" s="64"/>
      <c r="E102" s="64"/>
    </row>
    <row r="103" spans="1:5">
      <c r="B103" s="2" t="s">
        <v>89</v>
      </c>
      <c r="C103" s="2" t="s">
        <v>90</v>
      </c>
      <c r="D103" s="2" t="s">
        <v>91</v>
      </c>
      <c r="E103" s="2" t="s">
        <v>92</v>
      </c>
    </row>
    <row r="104" spans="1:5">
      <c r="B104" s="28">
        <v>1430</v>
      </c>
      <c r="C104" s="3" t="s">
        <v>85</v>
      </c>
      <c r="D104" s="3">
        <f>SUM(E105:E107)</f>
        <v>155971306.40000001</v>
      </c>
      <c r="E104" s="3"/>
    </row>
    <row r="105" spans="1:5">
      <c r="B105" s="28">
        <v>7105</v>
      </c>
      <c r="C105" s="3" t="s">
        <v>83</v>
      </c>
      <c r="D105" s="3"/>
      <c r="E105" s="3">
        <f>Mayorización!K5</f>
        <v>148500000</v>
      </c>
    </row>
    <row r="106" spans="1:5">
      <c r="B106" s="28">
        <v>7205</v>
      </c>
      <c r="C106" s="3" t="s">
        <v>76</v>
      </c>
      <c r="D106" s="3"/>
      <c r="E106" s="3">
        <f>Mayorización!B20</f>
        <v>3552562.8</v>
      </c>
    </row>
    <row r="107" spans="1:5">
      <c r="B107" s="28">
        <v>7305</v>
      </c>
      <c r="C107" s="3" t="s">
        <v>55</v>
      </c>
      <c r="D107" s="3"/>
      <c r="E107" s="3">
        <f>Mayorización!E28</f>
        <v>3918743.6</v>
      </c>
    </row>
    <row r="108" spans="1:5">
      <c r="B108" s="65" t="s">
        <v>94</v>
      </c>
      <c r="C108" s="66"/>
      <c r="D108" s="6">
        <f>SUM(D104:D107)</f>
        <v>155971306.40000001</v>
      </c>
      <c r="E108" s="6">
        <f>SUM(E104:E107)</f>
        <v>155971306.40000001</v>
      </c>
    </row>
  </sheetData>
  <mergeCells count="26">
    <mergeCell ref="B100:C100"/>
    <mergeCell ref="B102:E102"/>
    <mergeCell ref="B108:C108"/>
    <mergeCell ref="B64:E64"/>
    <mergeCell ref="B69:C69"/>
    <mergeCell ref="B71:E71"/>
    <mergeCell ref="B80:C80"/>
    <mergeCell ref="B82:E82"/>
    <mergeCell ref="B86:C86"/>
    <mergeCell ref="B89:E89"/>
    <mergeCell ref="B93:C93"/>
    <mergeCell ref="B95:E95"/>
    <mergeCell ref="B49:E49"/>
    <mergeCell ref="B54:C54"/>
    <mergeCell ref="B56:E56"/>
    <mergeCell ref="B61:C61"/>
    <mergeCell ref="B12:E12"/>
    <mergeCell ref="B17:C17"/>
    <mergeCell ref="B20:E20"/>
    <mergeCell ref="B25:C25"/>
    <mergeCell ref="B28:E28"/>
    <mergeCell ref="B33:C33"/>
    <mergeCell ref="B35:E35"/>
    <mergeCell ref="B40:C40"/>
    <mergeCell ref="B42:E42"/>
    <mergeCell ref="B47:C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0FE7-AFDC-43DE-BF6B-886373235957}">
  <sheetPr>
    <tabColor rgb="FFFF0000"/>
  </sheetPr>
  <dimension ref="B2:L31"/>
  <sheetViews>
    <sheetView tabSelected="1" workbookViewId="0">
      <selection activeCell="F7" sqref="F7"/>
    </sheetView>
  </sheetViews>
  <sheetFormatPr defaultColWidth="11.42578125" defaultRowHeight="15"/>
  <cols>
    <col min="1" max="1" width="4.7109375" style="1" customWidth="1"/>
    <col min="2" max="3" width="15.7109375" style="1" customWidth="1"/>
    <col min="4" max="4" width="7.85546875" style="1" customWidth="1"/>
    <col min="5" max="6" width="14.140625" style="1" customWidth="1"/>
    <col min="7" max="7" width="7.42578125" style="1" customWidth="1"/>
    <col min="8" max="8" width="17.7109375" style="1" customWidth="1"/>
    <col min="9" max="9" width="12.85546875" style="1" customWidth="1"/>
    <col min="10" max="10" width="7.140625" style="1" customWidth="1"/>
    <col min="11" max="12" width="13.42578125" style="1" customWidth="1"/>
    <col min="13" max="16384" width="11.42578125" style="1"/>
  </cols>
  <sheetData>
    <row r="2" spans="2:12" s="29" customFormat="1">
      <c r="B2" s="69" t="s">
        <v>87</v>
      </c>
      <c r="C2" s="69"/>
      <c r="E2" s="69" t="s">
        <v>122</v>
      </c>
      <c r="F2" s="69"/>
      <c r="H2" s="69" t="s">
        <v>123</v>
      </c>
      <c r="I2" s="69"/>
      <c r="K2" s="69" t="s">
        <v>83</v>
      </c>
      <c r="L2" s="69"/>
    </row>
    <row r="3" spans="2:12" s="30" customFormat="1">
      <c r="B3" s="70">
        <v>1465</v>
      </c>
      <c r="C3" s="70"/>
      <c r="E3" s="70">
        <v>140501</v>
      </c>
      <c r="F3" s="70"/>
      <c r="H3" s="70">
        <v>140502</v>
      </c>
      <c r="I3" s="70"/>
      <c r="K3" s="70">
        <v>7105</v>
      </c>
      <c r="L3" s="70"/>
    </row>
    <row r="4" spans="2:12">
      <c r="B4" s="31" t="s">
        <v>124</v>
      </c>
      <c r="C4" s="31" t="s">
        <v>125</v>
      </c>
      <c r="E4" s="31" t="s">
        <v>124</v>
      </c>
      <c r="F4" s="31" t="s">
        <v>125</v>
      </c>
      <c r="H4" s="31" t="s">
        <v>124</v>
      </c>
      <c r="I4" s="31" t="s">
        <v>125</v>
      </c>
      <c r="K4" s="31" t="s">
        <v>124</v>
      </c>
      <c r="L4" s="31" t="s">
        <v>125</v>
      </c>
    </row>
    <row r="5" spans="2:12">
      <c r="B5" s="32">
        <f>Contabilización!D14</f>
        <v>108000000</v>
      </c>
      <c r="E5" s="32">
        <f>Contabilización!D58</f>
        <v>110500000</v>
      </c>
      <c r="H5" s="32">
        <f>MP!C12</f>
        <v>38000000</v>
      </c>
      <c r="K5" s="32">
        <f>Contabilización!D68</f>
        <v>148500000</v>
      </c>
    </row>
    <row r="6" spans="2:12">
      <c r="B6" s="33">
        <f>Contabilización!D51</f>
        <v>2500000</v>
      </c>
      <c r="E6" s="33"/>
      <c r="F6" s="1">
        <f>E5</f>
        <v>110500000</v>
      </c>
      <c r="H6" s="33"/>
      <c r="I6" s="1">
        <f>H5</f>
        <v>38000000</v>
      </c>
      <c r="K6" s="33"/>
      <c r="L6" s="1">
        <f>K5</f>
        <v>148500000</v>
      </c>
    </row>
    <row r="7" spans="2:12">
      <c r="B7" s="33"/>
      <c r="C7" s="1">
        <f>Contabilización!E59</f>
        <v>110500000</v>
      </c>
      <c r="E7" s="33"/>
      <c r="H7" s="33"/>
      <c r="K7" s="33"/>
    </row>
    <row r="8" spans="2:12">
      <c r="B8" s="33"/>
      <c r="E8" s="33"/>
      <c r="H8" s="33"/>
      <c r="K8" s="33"/>
    </row>
    <row r="9" spans="2:12">
      <c r="B9" s="33"/>
      <c r="E9" s="33"/>
      <c r="H9" s="33"/>
      <c r="K9" s="33"/>
    </row>
    <row r="10" spans="2:12">
      <c r="B10" s="33"/>
      <c r="E10" s="33"/>
      <c r="H10" s="33"/>
      <c r="K10" s="33"/>
    </row>
    <row r="11" spans="2:12">
      <c r="B11" s="33"/>
      <c r="E11" s="33"/>
      <c r="H11" s="33"/>
      <c r="K11" s="33"/>
    </row>
    <row r="12" spans="2:12">
      <c r="B12" s="34"/>
      <c r="C12" s="35"/>
      <c r="E12" s="34"/>
      <c r="F12" s="35"/>
      <c r="H12" s="34"/>
      <c r="I12" s="35"/>
      <c r="K12" s="34"/>
      <c r="L12" s="35"/>
    </row>
    <row r="13" spans="2:12">
      <c r="B13" s="36">
        <f>SUM(B5:B12)</f>
        <v>110500000</v>
      </c>
      <c r="C13" s="37">
        <f>SUM(C5:C12)</f>
        <v>110500000</v>
      </c>
      <c r="E13" s="36">
        <f>SUM(E5:E12)</f>
        <v>110500000</v>
      </c>
      <c r="F13" s="37">
        <f>SUM(F5:F12)</f>
        <v>110500000</v>
      </c>
      <c r="H13" s="36">
        <f>SUM(H5:H12)</f>
        <v>38000000</v>
      </c>
      <c r="I13" s="37">
        <f>SUM(I5:I12)</f>
        <v>38000000</v>
      </c>
      <c r="K13" s="36">
        <f>SUM(K5:K12)</f>
        <v>148500000</v>
      </c>
      <c r="L13" s="37">
        <f>SUM(L5:L12)</f>
        <v>148500000</v>
      </c>
    </row>
    <row r="14" spans="2:12">
      <c r="B14" s="38">
        <f>+B13-C13</f>
        <v>0</v>
      </c>
      <c r="E14" s="38">
        <f>+E13-F13</f>
        <v>0</v>
      </c>
      <c r="H14" s="38">
        <f>+H13-I13</f>
        <v>0</v>
      </c>
      <c r="K14" s="38">
        <f>+K13-L13</f>
        <v>0</v>
      </c>
    </row>
    <row r="17" spans="2:9">
      <c r="B17" s="69" t="s">
        <v>76</v>
      </c>
      <c r="C17" s="69"/>
      <c r="E17" s="69" t="s">
        <v>55</v>
      </c>
      <c r="F17" s="69"/>
      <c r="H17" s="69" t="s">
        <v>85</v>
      </c>
      <c r="I17" s="69"/>
    </row>
    <row r="18" spans="2:9">
      <c r="B18" s="70">
        <v>7205</v>
      </c>
      <c r="C18" s="70"/>
      <c r="E18" s="70">
        <v>7305</v>
      </c>
      <c r="F18" s="70"/>
      <c r="H18" s="70">
        <v>1430</v>
      </c>
      <c r="I18" s="70"/>
    </row>
    <row r="19" spans="2:9">
      <c r="B19" s="31" t="s">
        <v>124</v>
      </c>
      <c r="C19" s="31" t="s">
        <v>125</v>
      </c>
      <c r="E19" s="31" t="s">
        <v>124</v>
      </c>
      <c r="F19" s="31" t="s">
        <v>125</v>
      </c>
      <c r="H19" s="31" t="s">
        <v>124</v>
      </c>
      <c r="I19" s="31" t="s">
        <v>125</v>
      </c>
    </row>
    <row r="20" spans="2:9">
      <c r="B20" s="32">
        <f>Contabilización!D73</f>
        <v>3552562.8</v>
      </c>
      <c r="E20" s="32">
        <f>Contabilización!D84</f>
        <v>72000</v>
      </c>
      <c r="H20" s="32">
        <f>Contabilización!D104</f>
        <v>155971306.40000001</v>
      </c>
    </row>
    <row r="21" spans="2:9">
      <c r="B21" s="33"/>
      <c r="C21" s="1">
        <f>B20</f>
        <v>3552562.8</v>
      </c>
      <c r="E21" s="33">
        <f>Contabilización!D91</f>
        <v>1186743.6000000001</v>
      </c>
      <c r="H21" s="33"/>
    </row>
    <row r="22" spans="2:9">
      <c r="B22" s="33"/>
      <c r="E22" s="33">
        <f>Contabilización!D97</f>
        <v>2300000</v>
      </c>
      <c r="H22" s="33"/>
    </row>
    <row r="23" spans="2:9">
      <c r="B23" s="33"/>
      <c r="E23" s="33">
        <f>Contabilización!D37</f>
        <v>360000</v>
      </c>
      <c r="H23" s="33"/>
    </row>
    <row r="24" spans="2:9">
      <c r="B24" s="33"/>
      <c r="E24" s="33"/>
      <c r="F24" s="1">
        <f>SUM(E20:E23)</f>
        <v>3918743.6</v>
      </c>
      <c r="H24" s="33"/>
    </row>
    <row r="25" spans="2:9">
      <c r="B25" s="33"/>
      <c r="E25" s="33"/>
      <c r="H25" s="33"/>
    </row>
    <row r="26" spans="2:9">
      <c r="B26" s="33"/>
      <c r="E26" s="33"/>
      <c r="H26" s="33"/>
    </row>
    <row r="27" spans="2:9">
      <c r="B27" s="34"/>
      <c r="C27" s="35"/>
      <c r="E27" s="34"/>
      <c r="F27" s="35"/>
      <c r="H27" s="34"/>
      <c r="I27" s="35"/>
    </row>
    <row r="28" spans="2:9">
      <c r="B28" s="36">
        <f>SUM(B20:B27)</f>
        <v>3552562.8</v>
      </c>
      <c r="C28" s="37">
        <f>SUM(C20:C27)</f>
        <v>3552562.8</v>
      </c>
      <c r="E28" s="36">
        <f>SUM(E20:E27)</f>
        <v>3918743.6</v>
      </c>
      <c r="F28" s="37">
        <f>SUM(F20:F27)</f>
        <v>3918743.6</v>
      </c>
      <c r="H28" s="36">
        <f>SUM(H20:H27)</f>
        <v>155971306.40000001</v>
      </c>
      <c r="I28" s="37">
        <f>SUM(I20:I27)</f>
        <v>0</v>
      </c>
    </row>
    <row r="29" spans="2:9">
      <c r="B29" s="38">
        <f>+B28-C28</f>
        <v>0</v>
      </c>
      <c r="E29" s="38">
        <f>+E28-F28</f>
        <v>0</v>
      </c>
      <c r="H29" s="38">
        <f>+H28-I28</f>
        <v>155971306.40000001</v>
      </c>
    </row>
    <row r="30" spans="2:9">
      <c r="H30" s="1">
        <f>+[1]MP!C3</f>
        <v>20700</v>
      </c>
      <c r="I30" s="1" t="s">
        <v>126</v>
      </c>
    </row>
    <row r="31" spans="2:9">
      <c r="H31" s="1">
        <f>+H29/H30</f>
        <v>7534.8457198067636</v>
      </c>
      <c r="I31" s="1" t="s">
        <v>127</v>
      </c>
    </row>
  </sheetData>
  <mergeCells count="14">
    <mergeCell ref="B17:C17"/>
    <mergeCell ref="E17:F17"/>
    <mergeCell ref="H17:I17"/>
    <mergeCell ref="B18:C18"/>
    <mergeCell ref="E18:F18"/>
    <mergeCell ref="H18:I18"/>
    <mergeCell ref="B2:C2"/>
    <mergeCell ref="E2:F2"/>
    <mergeCell ref="H2:I2"/>
    <mergeCell ref="K2:L2"/>
    <mergeCell ref="B3:C3"/>
    <mergeCell ref="E3:F3"/>
    <mergeCell ref="H3:I3"/>
    <mergeCell ref="K3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6a77f7-a080-4e9d-b67e-2aae6ed777da">
      <Terms xmlns="http://schemas.microsoft.com/office/infopath/2007/PartnerControls"/>
    </lcf76f155ced4ddcb4097134ff3c332f>
    <TaxCatchAll xmlns="73dad9f4-7301-4bba-bf24-37035c704c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163F0A487FA04DA77CE099883365AD" ma:contentTypeVersion="14" ma:contentTypeDescription="Create a new document." ma:contentTypeScope="" ma:versionID="82ac176e00901905305e707c1f074e06">
  <xsd:schema xmlns:xsd="http://www.w3.org/2001/XMLSchema" xmlns:xs="http://www.w3.org/2001/XMLSchema" xmlns:p="http://schemas.microsoft.com/office/2006/metadata/properties" xmlns:ns2="d66a77f7-a080-4e9d-b67e-2aae6ed777da" xmlns:ns3="73dad9f4-7301-4bba-bf24-37035c704c88" targetNamespace="http://schemas.microsoft.com/office/2006/metadata/properties" ma:root="true" ma:fieldsID="49c5114bf70b0487b5515ea2ad20a612" ns2:_="" ns3:_="">
    <xsd:import namespace="d66a77f7-a080-4e9d-b67e-2aae6ed777da"/>
    <xsd:import namespace="73dad9f4-7301-4bba-bf24-37035c70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a77f7-a080-4e9d-b67e-2aae6ed777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44f0481-d2ea-4da5-b946-ee24ca3ed8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ad9f4-7301-4bba-bf24-37035c70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68a3866-c126-4689-84e3-1e4284a2da5b}" ma:internalName="TaxCatchAll" ma:showField="CatchAllData" ma:web="73dad9f4-7301-4bba-bf24-37035c704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02E019-295D-4FCC-AF4B-1EF86B53E251}"/>
</file>

<file path=customXml/itemProps2.xml><?xml version="1.0" encoding="utf-8"?>
<ds:datastoreItem xmlns:ds="http://schemas.openxmlformats.org/officeDocument/2006/customXml" ds:itemID="{BB4DA0FC-4831-4E56-88C3-1C7608CF01E7}"/>
</file>

<file path=customXml/itemProps3.xml><?xml version="1.0" encoding="utf-8"?>
<ds:datastoreItem xmlns:ds="http://schemas.openxmlformats.org/officeDocument/2006/customXml" ds:itemID="{0CAFFAF1-4C09-4CC5-B709-D2BC1435BD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Enrique Venera Cruz</dc:creator>
  <cp:keywords/>
  <dc:description/>
  <cp:lastModifiedBy/>
  <cp:revision/>
  <dcterms:created xsi:type="dcterms:W3CDTF">2024-04-27T12:12:34Z</dcterms:created>
  <dcterms:modified xsi:type="dcterms:W3CDTF">2024-06-12T23:10:54Z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0x010100A3163F0A487FA04DA77CE099883365AD</vt:lpwstr>
  </property>
</Properties>
</file>