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ownloads\"/>
    </mc:Choice>
  </mc:AlternateContent>
  <xr:revisionPtr revIDLastSave="0" documentId="13_ncr:1_{48A989BC-9965-4F2D-AF4C-AFA3144F3914}" xr6:coauthVersionLast="34" xr6:coauthVersionMax="34" xr10:uidLastSave="{00000000-0000-0000-0000-000000000000}"/>
  <bookViews>
    <workbookView xWindow="0" yWindow="0" windowWidth="20496" windowHeight="9192" xr2:uid="{00000000-000D-0000-FFFF-FFFF00000000}"/>
  </bookViews>
  <sheets>
    <sheet name="WASSPerformance" sheetId="1" r:id="rId1"/>
    <sheet name="01" sheetId="7" r:id="rId2"/>
    <sheet name="02" sheetId="2" r:id="rId3"/>
    <sheet name="03" sheetId="3" r:id="rId4"/>
    <sheet name="04" sheetId="4" r:id="rId5"/>
    <sheet name="05" sheetId="5" r:id="rId6"/>
    <sheet name="06" sheetId="6" r:id="rId7"/>
    <sheet name="07" sheetId="10" r:id="rId8"/>
    <sheet name="SEMESTRAL" sheetId="9" r:id="rId9"/>
    <sheet name="09" sheetId="11" r:id="rId10"/>
  </sheets>
  <definedNames>
    <definedName name="_Toc495308772" localSheetId="1">'01'!#REF!</definedName>
    <definedName name="_Toc495308772" localSheetId="2">'02'!#REF!</definedName>
    <definedName name="_Toc495308772" localSheetId="3">'03'!#REF!</definedName>
    <definedName name="_Toc495308772" localSheetId="4">'04'!#REF!</definedName>
    <definedName name="_Toc495308772" localSheetId="5">'05'!#REF!</definedName>
    <definedName name="_Toc495308772" localSheetId="6">'06'!#REF!</definedName>
    <definedName name="_Toc495308772" localSheetId="7">'07'!#REF!</definedName>
    <definedName name="_Toc495308772" localSheetId="8">SEMESTRAL!#REF!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33" i="11" l="1"/>
  <c r="J33" i="11"/>
  <c r="H33" i="11"/>
  <c r="F33" i="11"/>
  <c r="D33" i="11"/>
  <c r="C3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3" i="11"/>
  <c r="M32" i="11"/>
  <c r="K32" i="11"/>
  <c r="I32" i="11"/>
  <c r="G32" i="11"/>
  <c r="E32" i="11"/>
  <c r="M31" i="11"/>
  <c r="K31" i="11"/>
  <c r="I31" i="11"/>
  <c r="G31" i="11"/>
  <c r="E31" i="11"/>
  <c r="M30" i="11"/>
  <c r="K30" i="11"/>
  <c r="I30" i="11"/>
  <c r="G30" i="11"/>
  <c r="E30" i="11"/>
  <c r="M29" i="11"/>
  <c r="K29" i="11"/>
  <c r="I29" i="11"/>
  <c r="G29" i="11"/>
  <c r="E29" i="11"/>
  <c r="M28" i="11"/>
  <c r="K28" i="11"/>
  <c r="I28" i="11"/>
  <c r="G28" i="11"/>
  <c r="E28" i="11"/>
  <c r="M27" i="11"/>
  <c r="K27" i="11"/>
  <c r="I27" i="11"/>
  <c r="G27" i="11"/>
  <c r="E27" i="11"/>
  <c r="M26" i="11"/>
  <c r="K26" i="11"/>
  <c r="I26" i="11"/>
  <c r="G26" i="11"/>
  <c r="E26" i="11"/>
  <c r="M25" i="11"/>
  <c r="K25" i="11"/>
  <c r="I25" i="11"/>
  <c r="G25" i="11"/>
  <c r="E25" i="11"/>
  <c r="M24" i="11"/>
  <c r="K24" i="11"/>
  <c r="I24" i="11"/>
  <c r="G24" i="11"/>
  <c r="E24" i="11"/>
  <c r="M23" i="11"/>
  <c r="K23" i="11"/>
  <c r="I23" i="11"/>
  <c r="G23" i="11"/>
  <c r="E23" i="11"/>
  <c r="M22" i="11"/>
  <c r="K22" i="11"/>
  <c r="I22" i="11"/>
  <c r="G22" i="11"/>
  <c r="E22" i="11"/>
  <c r="M21" i="11"/>
  <c r="K21" i="11"/>
  <c r="I21" i="11"/>
  <c r="G21" i="11"/>
  <c r="E21" i="11"/>
  <c r="M20" i="11"/>
  <c r="K20" i="11"/>
  <c r="I20" i="11"/>
  <c r="G20" i="11"/>
  <c r="E20" i="11"/>
  <c r="M19" i="11"/>
  <c r="K19" i="11"/>
  <c r="I19" i="11"/>
  <c r="G19" i="11"/>
  <c r="E19" i="11"/>
  <c r="M18" i="11"/>
  <c r="K18" i="11"/>
  <c r="I18" i="11"/>
  <c r="I33" i="11" s="1"/>
  <c r="G18" i="11"/>
  <c r="E18" i="11"/>
  <c r="M17" i="11"/>
  <c r="M33" i="11" s="1"/>
  <c r="K17" i="11"/>
  <c r="K33" i="11" s="1"/>
  <c r="I17" i="11"/>
  <c r="G17" i="11"/>
  <c r="G33" i="11" s="1"/>
  <c r="E17" i="11"/>
  <c r="E33" i="11" s="1"/>
  <c r="L290" i="1" l="1"/>
  <c r="J290" i="1"/>
  <c r="H290" i="1"/>
  <c r="F290" i="1"/>
  <c r="D290" i="1"/>
  <c r="C290" i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M290" i="1" l="1"/>
  <c r="E290" i="1"/>
  <c r="I290" i="1"/>
  <c r="K290" i="1"/>
  <c r="G290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C48" i="10" l="1"/>
  <c r="L48" i="10"/>
  <c r="J48" i="10"/>
  <c r="H48" i="10"/>
  <c r="F48" i="10"/>
  <c r="D48" i="10"/>
  <c r="M48" i="10"/>
  <c r="E48" i="10"/>
  <c r="K48" i="10"/>
  <c r="I48" i="10"/>
  <c r="M47" i="10"/>
  <c r="K47" i="10"/>
  <c r="I47" i="10"/>
  <c r="G47" i="10"/>
  <c r="E47" i="10"/>
  <c r="M46" i="10"/>
  <c r="K46" i="10"/>
  <c r="I46" i="10"/>
  <c r="G46" i="10"/>
  <c r="E46" i="10"/>
  <c r="M45" i="10"/>
  <c r="K45" i="10"/>
  <c r="I45" i="10"/>
  <c r="G45" i="10"/>
  <c r="E45" i="10"/>
  <c r="M44" i="10"/>
  <c r="K44" i="10"/>
  <c r="I44" i="10"/>
  <c r="G44" i="10"/>
  <c r="E44" i="10"/>
  <c r="M43" i="10"/>
  <c r="K43" i="10"/>
  <c r="I43" i="10"/>
  <c r="G43" i="10"/>
  <c r="E43" i="10"/>
  <c r="M42" i="10"/>
  <c r="K42" i="10"/>
  <c r="I42" i="10"/>
  <c r="G42" i="10"/>
  <c r="E42" i="10"/>
  <c r="M41" i="10"/>
  <c r="K41" i="10"/>
  <c r="I41" i="10"/>
  <c r="G41" i="10"/>
  <c r="E41" i="10"/>
  <c r="M40" i="10"/>
  <c r="K40" i="10"/>
  <c r="I40" i="10"/>
  <c r="G40" i="10"/>
  <c r="E40" i="10"/>
  <c r="M39" i="10"/>
  <c r="K39" i="10"/>
  <c r="I39" i="10"/>
  <c r="G39" i="10"/>
  <c r="E39" i="10"/>
  <c r="M38" i="10"/>
  <c r="K38" i="10"/>
  <c r="I38" i="10"/>
  <c r="G38" i="10"/>
  <c r="E38" i="10"/>
  <c r="M37" i="10"/>
  <c r="K37" i="10"/>
  <c r="I37" i="10"/>
  <c r="G37" i="10"/>
  <c r="E37" i="10"/>
  <c r="M36" i="10"/>
  <c r="K36" i="10"/>
  <c r="I36" i="10"/>
  <c r="G36" i="10"/>
  <c r="E36" i="10"/>
  <c r="M35" i="10"/>
  <c r="K35" i="10"/>
  <c r="I35" i="10"/>
  <c r="G35" i="10"/>
  <c r="E35" i="10"/>
  <c r="M34" i="10"/>
  <c r="K34" i="10"/>
  <c r="I34" i="10"/>
  <c r="G34" i="10"/>
  <c r="E34" i="10"/>
  <c r="M33" i="10"/>
  <c r="K33" i="10"/>
  <c r="I33" i="10"/>
  <c r="G33" i="10"/>
  <c r="E33" i="10"/>
  <c r="M32" i="10"/>
  <c r="K32" i="10"/>
  <c r="I32" i="10"/>
  <c r="G32" i="10"/>
  <c r="E32" i="10"/>
  <c r="M31" i="10"/>
  <c r="K31" i="10"/>
  <c r="I31" i="10"/>
  <c r="G31" i="10"/>
  <c r="E31" i="10"/>
  <c r="M30" i="10"/>
  <c r="K30" i="10"/>
  <c r="I30" i="10"/>
  <c r="G30" i="10"/>
  <c r="E30" i="10"/>
  <c r="M29" i="10"/>
  <c r="K29" i="10"/>
  <c r="I29" i="10"/>
  <c r="G29" i="10"/>
  <c r="E29" i="10"/>
  <c r="M28" i="10"/>
  <c r="K28" i="10"/>
  <c r="I28" i="10"/>
  <c r="G28" i="10"/>
  <c r="E28" i="10"/>
  <c r="M27" i="10"/>
  <c r="K27" i="10"/>
  <c r="I27" i="10"/>
  <c r="G27" i="10"/>
  <c r="E27" i="10"/>
  <c r="M26" i="10"/>
  <c r="K26" i="10"/>
  <c r="I26" i="10"/>
  <c r="G26" i="10"/>
  <c r="E26" i="10"/>
  <c r="M25" i="10"/>
  <c r="K25" i="10"/>
  <c r="I25" i="10"/>
  <c r="G25" i="10"/>
  <c r="E25" i="10"/>
  <c r="M24" i="10"/>
  <c r="K24" i="10"/>
  <c r="I24" i="10"/>
  <c r="G24" i="10"/>
  <c r="E24" i="10"/>
  <c r="M23" i="10"/>
  <c r="K23" i="10"/>
  <c r="I23" i="10"/>
  <c r="G23" i="10"/>
  <c r="E23" i="10"/>
  <c r="M22" i="10"/>
  <c r="K22" i="10"/>
  <c r="I22" i="10"/>
  <c r="G22" i="10"/>
  <c r="E22" i="10"/>
  <c r="M21" i="10"/>
  <c r="K21" i="10"/>
  <c r="I21" i="10"/>
  <c r="G21" i="10"/>
  <c r="E21" i="10"/>
  <c r="M20" i="10"/>
  <c r="K20" i="10"/>
  <c r="I20" i="10"/>
  <c r="G20" i="10"/>
  <c r="E20" i="10"/>
  <c r="M19" i="10"/>
  <c r="K19" i="10"/>
  <c r="I19" i="10"/>
  <c r="G19" i="10"/>
  <c r="E19" i="10"/>
  <c r="M18" i="10"/>
  <c r="K18" i="10"/>
  <c r="I18" i="10"/>
  <c r="G18" i="10"/>
  <c r="E18" i="10"/>
  <c r="M17" i="10"/>
  <c r="K17" i="10"/>
  <c r="I17" i="10"/>
  <c r="G17" i="10"/>
  <c r="G15" i="10" s="1"/>
  <c r="E17" i="10"/>
  <c r="L15" i="10"/>
  <c r="H15" i="10"/>
  <c r="C9" i="10" s="1"/>
  <c r="F15" i="10"/>
  <c r="D15" i="10"/>
  <c r="C7" i="10" s="1"/>
  <c r="C15" i="10"/>
  <c r="C11" i="10"/>
  <c r="P9" i="10"/>
  <c r="C8" i="10"/>
  <c r="C6" i="10"/>
  <c r="I15" i="10" l="1"/>
  <c r="K15" i="10"/>
  <c r="E15" i="10"/>
  <c r="D11" i="10"/>
  <c r="D9" i="10"/>
  <c r="D8" i="10"/>
  <c r="G48" i="10"/>
  <c r="M15" i="10"/>
  <c r="D7" i="10"/>
  <c r="J15" i="10"/>
  <c r="C10" i="10" s="1"/>
  <c r="D10" i="10" s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C12" i="10" l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L23" i="9" l="1"/>
  <c r="J23" i="9"/>
  <c r="H23" i="9"/>
  <c r="F23" i="9"/>
  <c r="D23" i="9"/>
  <c r="C23" i="9"/>
  <c r="M23" i="9"/>
  <c r="E23" i="9"/>
  <c r="L15" i="9"/>
  <c r="J15" i="9"/>
  <c r="H15" i="9"/>
  <c r="C9" i="9" s="1"/>
  <c r="F15" i="9"/>
  <c r="C8" i="9" s="1"/>
  <c r="D8" i="9" s="1"/>
  <c r="D15" i="9"/>
  <c r="C7" i="9" s="1"/>
  <c r="C15" i="9"/>
  <c r="C11" i="9"/>
  <c r="C10" i="9"/>
  <c r="D10" i="9" s="1"/>
  <c r="P9" i="9"/>
  <c r="C6" i="9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17" i="3"/>
  <c r="E17" i="3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7" i="2"/>
  <c r="K17" i="2"/>
  <c r="K15" i="2" s="1"/>
  <c r="I17" i="2"/>
  <c r="G17" i="2"/>
  <c r="E17" i="2"/>
  <c r="E15" i="2" s="1"/>
  <c r="M17" i="7"/>
  <c r="K17" i="7"/>
  <c r="I17" i="7"/>
  <c r="G17" i="7"/>
  <c r="G48" i="7" s="1"/>
  <c r="E17" i="7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7" i="4"/>
  <c r="L15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17" i="4"/>
  <c r="J15" i="4"/>
  <c r="H15" i="4"/>
  <c r="F15" i="4"/>
  <c r="D15" i="4"/>
  <c r="L15" i="5"/>
  <c r="J15" i="5"/>
  <c r="H15" i="5"/>
  <c r="F15" i="5"/>
  <c r="D15" i="5"/>
  <c r="I18" i="4"/>
  <c r="I19" i="4"/>
  <c r="I20" i="4"/>
  <c r="I15" i="4" s="1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17" i="4"/>
  <c r="G18" i="4"/>
  <c r="G19" i="4"/>
  <c r="G20" i="4"/>
  <c r="G15" i="4" s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17" i="4"/>
  <c r="E15" i="4" s="1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17" i="5"/>
  <c r="M15" i="5" s="1"/>
  <c r="L48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17" i="5"/>
  <c r="K15" i="5" s="1"/>
  <c r="J48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17" i="5"/>
  <c r="I15" i="5" s="1"/>
  <c r="H48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17" i="5"/>
  <c r="G15" i="5" s="1"/>
  <c r="F48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17" i="5"/>
  <c r="E15" i="5" s="1"/>
  <c r="E17" i="6"/>
  <c r="J48" i="3"/>
  <c r="H48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L48" i="3"/>
  <c r="F48" i="3"/>
  <c r="D48" i="3"/>
  <c r="C48" i="3"/>
  <c r="L15" i="3"/>
  <c r="J15" i="3"/>
  <c r="H15" i="3"/>
  <c r="F15" i="3"/>
  <c r="D15" i="3"/>
  <c r="L15" i="2"/>
  <c r="J15" i="2"/>
  <c r="H15" i="2"/>
  <c r="F15" i="2"/>
  <c r="D15" i="2"/>
  <c r="L45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45" i="2"/>
  <c r="I18" i="2"/>
  <c r="I15" i="2" s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45" i="2"/>
  <c r="G18" i="2"/>
  <c r="G19" i="2"/>
  <c r="G20" i="2"/>
  <c r="G15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45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45" i="2"/>
  <c r="C45" i="2"/>
  <c r="L48" i="7"/>
  <c r="J48" i="7"/>
  <c r="H48" i="7"/>
  <c r="F48" i="7"/>
  <c r="D48" i="7"/>
  <c r="C48" i="7"/>
  <c r="M47" i="7"/>
  <c r="K47" i="7"/>
  <c r="I47" i="7"/>
  <c r="G47" i="7"/>
  <c r="E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I48" i="7" s="1"/>
  <c r="G20" i="7"/>
  <c r="E20" i="7"/>
  <c r="M19" i="7"/>
  <c r="K19" i="7"/>
  <c r="I19" i="7"/>
  <c r="G19" i="7"/>
  <c r="E19" i="7"/>
  <c r="M18" i="7"/>
  <c r="M48" i="7" s="1"/>
  <c r="K18" i="7"/>
  <c r="K48" i="7" s="1"/>
  <c r="I18" i="7"/>
  <c r="G18" i="7"/>
  <c r="E18" i="7"/>
  <c r="E48" i="7" s="1"/>
  <c r="L15" i="7"/>
  <c r="J15" i="7"/>
  <c r="C10" i="7" s="1"/>
  <c r="H15" i="7"/>
  <c r="C9" i="7" s="1"/>
  <c r="F15" i="7"/>
  <c r="C8" i="7" s="1"/>
  <c r="D15" i="7"/>
  <c r="C7" i="7" s="1"/>
  <c r="C15" i="7"/>
  <c r="C11" i="7"/>
  <c r="P9" i="7"/>
  <c r="C6" i="7"/>
  <c r="I45" i="2" l="1"/>
  <c r="K15" i="4"/>
  <c r="E45" i="2"/>
  <c r="M15" i="4"/>
  <c r="K45" i="2"/>
  <c r="G47" i="4"/>
  <c r="M15" i="2"/>
  <c r="D11" i="9"/>
  <c r="D9" i="9"/>
  <c r="G23" i="9"/>
  <c r="I23" i="9"/>
  <c r="G15" i="9"/>
  <c r="E15" i="9"/>
  <c r="K15" i="9"/>
  <c r="C12" i="9"/>
  <c r="D7" i="9"/>
  <c r="K23" i="9"/>
  <c r="I15" i="9"/>
  <c r="M15" i="9"/>
  <c r="M45" i="2"/>
  <c r="E47" i="4"/>
  <c r="E15" i="7"/>
  <c r="K15" i="7"/>
  <c r="I15" i="7"/>
  <c r="G15" i="7"/>
  <c r="D8" i="7"/>
  <c r="M15" i="7"/>
  <c r="D11" i="7"/>
  <c r="D10" i="7"/>
  <c r="D9" i="7"/>
  <c r="D7" i="7"/>
  <c r="C12" i="7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J47" i="6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47" i="6" s="1"/>
  <c r="I19" i="6"/>
  <c r="G19" i="6"/>
  <c r="E19" i="6"/>
  <c r="M18" i="6"/>
  <c r="K18" i="6"/>
  <c r="I18" i="6"/>
  <c r="G18" i="6"/>
  <c r="E18" i="6"/>
  <c r="E47" i="6" s="1"/>
  <c r="M17" i="6"/>
  <c r="M47" i="6" s="1"/>
  <c r="K17" i="6"/>
  <c r="I17" i="6"/>
  <c r="I47" i="6" s="1"/>
  <c r="G17" i="6"/>
  <c r="G47" i="6" s="1"/>
  <c r="L15" i="6"/>
  <c r="C11" i="6" s="1"/>
  <c r="H15" i="6"/>
  <c r="C9" i="6" s="1"/>
  <c r="F15" i="6"/>
  <c r="C8" i="6" s="1"/>
  <c r="D15" i="6"/>
  <c r="C7" i="6" s="1"/>
  <c r="C15" i="6"/>
  <c r="P9" i="6"/>
  <c r="C6" i="6"/>
  <c r="J15" i="6" l="1"/>
  <c r="C10" i="6" s="1"/>
  <c r="D10" i="6"/>
  <c r="D8" i="6"/>
  <c r="D11" i="6"/>
  <c r="D9" i="6"/>
  <c r="I15" i="6"/>
  <c r="G15" i="6"/>
  <c r="E15" i="6"/>
  <c r="M15" i="6"/>
  <c r="K15" i="6"/>
  <c r="D7" i="6"/>
  <c r="C12" i="6"/>
  <c r="J193" i="1"/>
  <c r="E192" i="1" l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D48" i="5" l="1"/>
  <c r="C48" i="5"/>
  <c r="M48" i="5"/>
  <c r="K48" i="5"/>
  <c r="E48" i="5"/>
  <c r="C11" i="5"/>
  <c r="C10" i="5"/>
  <c r="C9" i="5"/>
  <c r="C8" i="5"/>
  <c r="C7" i="5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7" i="4"/>
  <c r="K47" i="4"/>
  <c r="I47" i="4"/>
  <c r="C10" i="4"/>
  <c r="C9" i="4"/>
  <c r="C8" i="4"/>
  <c r="C15" i="4"/>
  <c r="C11" i="4"/>
  <c r="P9" i="4"/>
  <c r="C7" i="4"/>
  <c r="C6" i="4"/>
  <c r="D8" i="4" l="1"/>
  <c r="D9" i="4"/>
  <c r="D10" i="4"/>
  <c r="D11" i="4"/>
  <c r="C12" i="4"/>
  <c r="D7" i="4"/>
  <c r="C10" i="3" l="1"/>
  <c r="C9" i="3"/>
  <c r="C7" i="3"/>
  <c r="C15" i="3"/>
  <c r="C11" i="3"/>
  <c r="P9" i="3"/>
  <c r="C8" i="3"/>
  <c r="C6" i="3"/>
  <c r="I15" i="3" l="1"/>
  <c r="I48" i="3"/>
  <c r="K48" i="3"/>
  <c r="K15" i="3"/>
  <c r="E15" i="3"/>
  <c r="E48" i="3"/>
  <c r="M48" i="3"/>
  <c r="M15" i="3"/>
  <c r="G15" i="3"/>
  <c r="G48" i="3"/>
  <c r="D10" i="3"/>
  <c r="D9" i="3"/>
  <c r="D8" i="3"/>
  <c r="D11" i="3"/>
  <c r="C12" i="3"/>
  <c r="D7" i="3"/>
  <c r="C11" i="2" l="1"/>
  <c r="C10" i="2"/>
  <c r="C9" i="2"/>
  <c r="C8" i="2"/>
  <c r="C7" i="2"/>
  <c r="D7" i="2" s="1"/>
  <c r="C15" i="2"/>
  <c r="P9" i="2"/>
  <c r="C6" i="2"/>
  <c r="D9" i="2" l="1"/>
  <c r="D10" i="2"/>
  <c r="D8" i="2"/>
  <c r="D11" i="2"/>
  <c r="C12" i="2"/>
  <c r="C11" i="1" l="1"/>
  <c r="C10" i="1"/>
  <c r="P9" i="1" l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<sst xmlns="http://schemas.openxmlformats.org/spreadsheetml/2006/main" count="250" uniqueCount="34">
  <si>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</si>
  <si>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</si>
  <si>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</si>
  <si>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</si>
  <si>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</si>
  <si>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</si>
  <si>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</si>
  <si>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</si>
  <si>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</si>
  <si>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</si>
  <si>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</si>
  <si>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</si>
  <si>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</si>
  <si>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</si>
  <si>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</si>
  <si>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</si>
  <si>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</si>
  <si>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</si>
  <si>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</si>
  <si>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</si>
  <si>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</si>
  <si>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</si>
  <si>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</si>
  <si>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</si>
  <si>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</si>
  <si>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</si>
  <si>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</si>
  <si>
    <t>Month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</si>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</sst>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9"/>
      <color theme="0"/>
      <name val="Calibri"/>
      <scheme val="minor"/>
    </font>
    <font>
      <sz val="8"/>
      <name val="Calibri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2" fillId="7" borderId="0" applyNumberFormat="0" applyBorder="0" applyAlignment="0" applyProtection="0"/>
    <xf numFmtId="0" fontId="23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4" fillId="5" borderId="0" xfId="0" applyFont="1" applyFill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/>
    </xf>
    <xf numFmtId="10" fontId="26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26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9" fillId="5" borderId="0" xfId="0" applyFont="1" applyFill="1" applyAlignment="1">
      <alignment horizontal="center" vertical="center" wrapText="1"/>
    </xf>
    <xf numFmtId="3" fontId="30" fillId="0" borderId="0" xfId="0" applyNumberFormat="1" applyFont="1" applyAlignment="1">
      <alignment horizontal="center" vertical="center"/>
    </xf>
    <xf numFmtId="10" fontId="2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0" fontId="14" fillId="3" borderId="4" xfId="2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 wrapText="1"/>
    </xf>
    <xf numFmtId="3" fontId="32" fillId="0" borderId="6" xfId="0" applyNumberFormat="1" applyFont="1" applyBorder="1" applyAlignment="1">
      <alignment horizontal="center" vertical="center"/>
    </xf>
    <xf numFmtId="10" fontId="33" fillId="6" borderId="6" xfId="0" applyNumberFormat="1" applyFont="1" applyFill="1" applyBorder="1" applyAlignment="1">
      <alignment horizontal="center" vertical="center"/>
    </xf>
    <xf numFmtId="10" fontId="33" fillId="6" borderId="7" xfId="0" applyNumberFormat="1" applyFont="1" applyFill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46"/>
      <tableStyleElement type="headerRow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WASSPerformance!$B$17:$B$290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WASSPerformance!$C$17:$C$290</c:f>
              <c:numCache>
                <c:formatCode>#,##0</c:formatCode>
                <c:ptCount val="7"/>
                <c:pt idx="0">
                  <c:v>5646</c:v>
                </c:pt>
                <c:pt idx="1">
                  <c:v>3484</c:v>
                </c:pt>
                <c:pt idx="2">
                  <c:v>3639</c:v>
                </c:pt>
                <c:pt idx="3">
                  <c:v>3765</c:v>
                </c:pt>
                <c:pt idx="4">
                  <c:v>2426</c:v>
                </c:pt>
                <c:pt idx="5">
                  <c:v>2203</c:v>
                </c:pt>
                <c:pt idx="6">
                  <c:v>451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WASSPerformance!$B$17:$B$290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WASSPerformance!$D$17:$D$290</c:f>
              <c:numCache>
                <c:formatCode>General</c:formatCode>
                <c:ptCount val="7"/>
                <c:pt idx="0">
                  <c:v>4677</c:v>
                </c:pt>
                <c:pt idx="1">
                  <c:v>2634</c:v>
                </c:pt>
                <c:pt idx="2">
                  <c:v>2773</c:v>
                </c:pt>
                <c:pt idx="3">
                  <c:v>2914</c:v>
                </c:pt>
                <c:pt idx="4">
                  <c:v>2185</c:v>
                </c:pt>
                <c:pt idx="5">
                  <c:v>1419</c:v>
                </c:pt>
                <c:pt idx="6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WASSPerformance!$B$17:$B$290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WASSPerformance!$F$17:$F$290</c:f>
              <c:numCache>
                <c:formatCode>General</c:formatCode>
                <c:ptCount val="7"/>
                <c:pt idx="0">
                  <c:v>554</c:v>
                </c:pt>
                <c:pt idx="1">
                  <c:v>461</c:v>
                </c:pt>
                <c:pt idx="2">
                  <c:v>484</c:v>
                </c:pt>
                <c:pt idx="3">
                  <c:v>564</c:v>
                </c:pt>
                <c:pt idx="4">
                  <c:v>195</c:v>
                </c:pt>
                <c:pt idx="5">
                  <c:v>540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WASSPerformance!$B$17:$B$290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WASSPerformance!$H$17:$H$290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WASSPerformance!$B$17:$B$290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WASSPerformance!$J$17:$J$290</c:f>
              <c:numCache>
                <c:formatCode>General</c:formatCode>
                <c:ptCount val="7"/>
                <c:pt idx="0">
                  <c:v>415</c:v>
                </c:pt>
                <c:pt idx="1">
                  <c:v>389</c:v>
                </c:pt>
                <c:pt idx="2">
                  <c:v>382</c:v>
                </c:pt>
                <c:pt idx="3">
                  <c:v>287</c:v>
                </c:pt>
                <c:pt idx="4">
                  <c:v>29</c:v>
                </c:pt>
                <c:pt idx="5">
                  <c:v>244</c:v>
                </c:pt>
                <c:pt idx="6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WASSPerformance!$B$17:$B$290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WASSPerformance!$L$17:$L$290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89904"/>
        <c:axId val="1439793712"/>
        <c:extLst/>
      </c:lineChart>
      <c:dateAx>
        <c:axId val="1439789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3712"/>
        <c:crosses val="autoZero"/>
        <c:auto val="1"/>
        <c:lblOffset val="100"/>
        <c:baseTimeUnit val="days"/>
      </c:dateAx>
      <c:valAx>
        <c:axId val="14397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8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#,##0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 formatCode="General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56E-B851-EDC794171D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56E-B851-EDC794171D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7-456E-B851-EDC794171D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7-456E-B851-EDC794171D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7-456E-B851-EDC794171D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B7-456E-B851-EDC79417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057407"/>
        <c:axId val="2078196527"/>
      </c:lineChart>
      <c:dateAx>
        <c:axId val="207805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196527"/>
        <c:crosses val="autoZero"/>
        <c:auto val="1"/>
        <c:lblOffset val="100"/>
        <c:baseTimeUnit val="days"/>
      </c:dateAx>
      <c:valAx>
        <c:axId val="20781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0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#,##0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 formatCode="General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E25-4CC1-9836-8111DCA07BB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5-4CC1-9836-8111DCA07BB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5-4CC1-9836-8111DCA07BB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5-4CC1-9836-8111DCA07BB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5-4CC1-9836-8111DCA07BBB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5-4CC1-9836-8111DCA0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'01'!$C$17:$C$48</c:f>
              <c:numCache>
                <c:formatCode>#,##0</c:formatCode>
                <c:ptCount val="31"/>
                <c:pt idx="0">
                  <c:v>767</c:v>
                </c:pt>
                <c:pt idx="1">
                  <c:v>8159</c:v>
                </c:pt>
                <c:pt idx="2">
                  <c:v>11932</c:v>
                </c:pt>
                <c:pt idx="3">
                  <c:v>10096</c:v>
                </c:pt>
                <c:pt idx="4">
                  <c:v>9559</c:v>
                </c:pt>
                <c:pt idx="5">
                  <c:v>3100</c:v>
                </c:pt>
                <c:pt idx="6">
                  <c:v>764</c:v>
                </c:pt>
                <c:pt idx="7">
                  <c:v>7435</c:v>
                </c:pt>
                <c:pt idx="8">
                  <c:v>9727</c:v>
                </c:pt>
                <c:pt idx="9">
                  <c:v>7239</c:v>
                </c:pt>
                <c:pt idx="10">
                  <c:v>3445</c:v>
                </c:pt>
                <c:pt idx="11">
                  <c:v>3424</c:v>
                </c:pt>
                <c:pt idx="12">
                  <c:v>1333</c:v>
                </c:pt>
                <c:pt idx="13">
                  <c:v>359</c:v>
                </c:pt>
                <c:pt idx="14">
                  <c:v>2868</c:v>
                </c:pt>
                <c:pt idx="15">
                  <c:v>7297</c:v>
                </c:pt>
                <c:pt idx="16">
                  <c:v>3434</c:v>
                </c:pt>
                <c:pt idx="17">
                  <c:v>4424</c:v>
                </c:pt>
                <c:pt idx="18">
                  <c:v>4328</c:v>
                </c:pt>
                <c:pt idx="19">
                  <c:v>2248</c:v>
                </c:pt>
                <c:pt idx="20">
                  <c:v>383</c:v>
                </c:pt>
                <c:pt idx="21">
                  <c:v>4972</c:v>
                </c:pt>
                <c:pt idx="22">
                  <c:v>8700</c:v>
                </c:pt>
                <c:pt idx="23">
                  <c:v>5619</c:v>
                </c:pt>
                <c:pt idx="24">
                  <c:v>8352</c:v>
                </c:pt>
                <c:pt idx="25">
                  <c:v>5185</c:v>
                </c:pt>
                <c:pt idx="26">
                  <c:v>3340</c:v>
                </c:pt>
                <c:pt idx="27">
                  <c:v>561</c:v>
                </c:pt>
                <c:pt idx="28">
                  <c:v>6023</c:v>
                </c:pt>
                <c:pt idx="29">
                  <c:v>11410</c:v>
                </c:pt>
                <c:pt idx="30">
                  <c:v>8753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'01'!$D$17:$D$48</c:f>
              <c:numCache>
                <c:formatCode>#,##0</c:formatCode>
                <c:ptCount val="31"/>
                <c:pt idx="0">
                  <c:v>270</c:v>
                </c:pt>
                <c:pt idx="1">
                  <c:v>6838</c:v>
                </c:pt>
                <c:pt idx="2">
                  <c:v>10577</c:v>
                </c:pt>
                <c:pt idx="3">
                  <c:v>7648</c:v>
                </c:pt>
                <c:pt idx="4">
                  <c:v>8342</c:v>
                </c:pt>
                <c:pt idx="5">
                  <c:v>2668</c:v>
                </c:pt>
                <c:pt idx="6">
                  <c:v>427</c:v>
                </c:pt>
                <c:pt idx="7">
                  <c:v>5986</c:v>
                </c:pt>
                <c:pt idx="8">
                  <c:v>8472</c:v>
                </c:pt>
                <c:pt idx="9">
                  <c:v>6432</c:v>
                </c:pt>
                <c:pt idx="10">
                  <c:v>2776</c:v>
                </c:pt>
                <c:pt idx="11">
                  <c:v>2885</c:v>
                </c:pt>
                <c:pt idx="12">
                  <c:v>1107</c:v>
                </c:pt>
                <c:pt idx="13">
                  <c:v>263</c:v>
                </c:pt>
                <c:pt idx="14">
                  <c:v>2350</c:v>
                </c:pt>
                <c:pt idx="15">
                  <c:v>6280</c:v>
                </c:pt>
                <c:pt idx="16">
                  <c:v>2732</c:v>
                </c:pt>
                <c:pt idx="17">
                  <c:v>3445</c:v>
                </c:pt>
                <c:pt idx="18">
                  <c:v>3576</c:v>
                </c:pt>
                <c:pt idx="19">
                  <c:v>1876</c:v>
                </c:pt>
                <c:pt idx="20">
                  <c:v>311</c:v>
                </c:pt>
                <c:pt idx="21">
                  <c:v>4294</c:v>
                </c:pt>
                <c:pt idx="22">
                  <c:v>7872</c:v>
                </c:pt>
                <c:pt idx="23">
                  <c:v>4869</c:v>
                </c:pt>
                <c:pt idx="24">
                  <c:v>7434</c:v>
                </c:pt>
                <c:pt idx="25">
                  <c:v>4548</c:v>
                </c:pt>
                <c:pt idx="26">
                  <c:v>2887</c:v>
                </c:pt>
                <c:pt idx="27">
                  <c:v>434</c:v>
                </c:pt>
                <c:pt idx="28">
                  <c:v>5039</c:v>
                </c:pt>
                <c:pt idx="29">
                  <c:v>10121</c:v>
                </c:pt>
                <c:pt idx="30">
                  <c:v>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'01'!$F$17:$F$48</c:f>
              <c:numCache>
                <c:formatCode>#,##0</c:formatCode>
                <c:ptCount val="31"/>
                <c:pt idx="0">
                  <c:v>48</c:v>
                </c:pt>
                <c:pt idx="1">
                  <c:v>1219</c:v>
                </c:pt>
                <c:pt idx="2">
                  <c:v>1256</c:v>
                </c:pt>
                <c:pt idx="3">
                  <c:v>1756</c:v>
                </c:pt>
                <c:pt idx="4">
                  <c:v>1092</c:v>
                </c:pt>
                <c:pt idx="5">
                  <c:v>403</c:v>
                </c:pt>
                <c:pt idx="6">
                  <c:v>107</c:v>
                </c:pt>
                <c:pt idx="7">
                  <c:v>852</c:v>
                </c:pt>
                <c:pt idx="8">
                  <c:v>945</c:v>
                </c:pt>
                <c:pt idx="9">
                  <c:v>671</c:v>
                </c:pt>
                <c:pt idx="10">
                  <c:v>427</c:v>
                </c:pt>
                <c:pt idx="11">
                  <c:v>524</c:v>
                </c:pt>
                <c:pt idx="12">
                  <c:v>217</c:v>
                </c:pt>
                <c:pt idx="13">
                  <c:v>81</c:v>
                </c:pt>
                <c:pt idx="14">
                  <c:v>495</c:v>
                </c:pt>
                <c:pt idx="15">
                  <c:v>961</c:v>
                </c:pt>
                <c:pt idx="16">
                  <c:v>575</c:v>
                </c:pt>
                <c:pt idx="17">
                  <c:v>709</c:v>
                </c:pt>
                <c:pt idx="18">
                  <c:v>627</c:v>
                </c:pt>
                <c:pt idx="19">
                  <c:v>358</c:v>
                </c:pt>
                <c:pt idx="20">
                  <c:v>55</c:v>
                </c:pt>
                <c:pt idx="21">
                  <c:v>650</c:v>
                </c:pt>
                <c:pt idx="22">
                  <c:v>786</c:v>
                </c:pt>
                <c:pt idx="23">
                  <c:v>731</c:v>
                </c:pt>
                <c:pt idx="24">
                  <c:v>859</c:v>
                </c:pt>
                <c:pt idx="25">
                  <c:v>594</c:v>
                </c:pt>
                <c:pt idx="26">
                  <c:v>418</c:v>
                </c:pt>
                <c:pt idx="27">
                  <c:v>97</c:v>
                </c:pt>
                <c:pt idx="28">
                  <c:v>937</c:v>
                </c:pt>
                <c:pt idx="29">
                  <c:v>1229</c:v>
                </c:pt>
                <c:pt idx="30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'01'!$J$17:$J$48</c:f>
              <c:numCache>
                <c:formatCode>#,##0</c:formatCode>
                <c:ptCount val="31"/>
                <c:pt idx="0">
                  <c:v>449</c:v>
                </c:pt>
                <c:pt idx="1">
                  <c:v>102</c:v>
                </c:pt>
                <c:pt idx="2">
                  <c:v>99</c:v>
                </c:pt>
                <c:pt idx="3">
                  <c:v>692</c:v>
                </c:pt>
                <c:pt idx="4">
                  <c:v>125</c:v>
                </c:pt>
                <c:pt idx="5">
                  <c:v>29</c:v>
                </c:pt>
                <c:pt idx="6">
                  <c:v>230</c:v>
                </c:pt>
                <c:pt idx="7">
                  <c:v>597</c:v>
                </c:pt>
                <c:pt idx="8">
                  <c:v>310</c:v>
                </c:pt>
                <c:pt idx="9">
                  <c:v>136</c:v>
                </c:pt>
                <c:pt idx="10">
                  <c:v>242</c:v>
                </c:pt>
                <c:pt idx="11">
                  <c:v>15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56</c:v>
                </c:pt>
                <c:pt idx="16">
                  <c:v>127</c:v>
                </c:pt>
                <c:pt idx="17">
                  <c:v>270</c:v>
                </c:pt>
                <c:pt idx="18">
                  <c:v>125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42</c:v>
                </c:pt>
                <c:pt idx="23">
                  <c:v>19</c:v>
                </c:pt>
                <c:pt idx="24">
                  <c:v>59</c:v>
                </c:pt>
                <c:pt idx="25">
                  <c:v>43</c:v>
                </c:pt>
                <c:pt idx="26">
                  <c:v>35</c:v>
                </c:pt>
                <c:pt idx="27">
                  <c:v>30</c:v>
                </c:pt>
                <c:pt idx="28">
                  <c:v>47</c:v>
                </c:pt>
                <c:pt idx="29">
                  <c:v>60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01872"/>
        <c:axId val="1439799696"/>
        <c:extLst/>
      </c:lineChart>
      <c:dateAx>
        <c:axId val="1439801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9696"/>
        <c:crosses val="autoZero"/>
        <c:auto val="1"/>
        <c:lblOffset val="100"/>
        <c:baseTimeUnit val="days"/>
      </c:dateAx>
      <c:valAx>
        <c:axId val="14397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80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96976"/>
        <c:axId val="1439794256"/>
        <c:extLst/>
      </c:lineChart>
      <c:dateAx>
        <c:axId val="143979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4256"/>
        <c:crosses val="autoZero"/>
        <c:auto val="1"/>
        <c:lblOffset val="100"/>
        <c:baseTimeUnit val="days"/>
      </c:dateAx>
      <c:valAx>
        <c:axId val="1439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'03'!$C$17:$C$48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'03'!$D$17:$D$48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'03'!$F$17:$F$48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'03'!$J$17:$J$48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93168"/>
        <c:axId val="1439795888"/>
        <c:extLst/>
      </c:lineChart>
      <c:dateAx>
        <c:axId val="143979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5888"/>
        <c:crosses val="autoZero"/>
        <c:auto val="1"/>
        <c:lblOffset val="100"/>
        <c:baseTimeUnit val="days"/>
      </c:dateAx>
      <c:valAx>
        <c:axId val="14397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96432"/>
        <c:axId val="1255038960"/>
        <c:extLst/>
      </c:lineChart>
      <c:dateAx>
        <c:axId val="143979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038960"/>
        <c:crosses val="autoZero"/>
        <c:auto val="1"/>
        <c:lblOffset val="100"/>
        <c:baseTimeUnit val="days"/>
      </c:dateAx>
      <c:valAx>
        <c:axId val="12550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31888"/>
        <c:axId val="1125964000"/>
        <c:extLst/>
      </c:lineChart>
      <c:dateAx>
        <c:axId val="125503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4000"/>
        <c:crosses val="autoZero"/>
        <c:auto val="1"/>
        <c:lblOffset val="100"/>
        <c:baseTimeUnit val="days"/>
      </c:dateAx>
      <c:valAx>
        <c:axId val="11259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03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59648"/>
        <c:axId val="1125961824"/>
        <c:extLst/>
      </c:lineChart>
      <c:dateAx>
        <c:axId val="112595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1824"/>
        <c:crosses val="autoZero"/>
        <c:auto val="1"/>
        <c:lblOffset val="100"/>
        <c:baseTimeUnit val="days"/>
      </c:dateAx>
      <c:valAx>
        <c:axId val="11259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59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'07'!$C$17:$C$48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'07'!$D$17:$D$48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'07'!$F$17:$F$48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'07'!$J$17:$J$48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SEMESTRAL!$C$17:$C$23</c:f>
              <c:numCache>
                <c:formatCode>#,##0</c:formatCode>
                <c:ptCount val="6"/>
                <c:pt idx="0">
                  <c:v>165236</c:v>
                </c:pt>
                <c:pt idx="1">
                  <c:v>148432.02999999997</c:v>
                </c:pt>
                <c:pt idx="2">
                  <c:v>199613</c:v>
                </c:pt>
                <c:pt idx="3">
                  <c:v>155801</c:v>
                </c:pt>
                <c:pt idx="4">
                  <c:v>87395</c:v>
                </c:pt>
                <c:pt idx="5">
                  <c:v>29148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SEMESTRAL!$D$17:$D$23</c:f>
              <c:numCache>
                <c:formatCode>#,##0</c:formatCode>
                <c:ptCount val="6"/>
                <c:pt idx="0">
                  <c:v>140390</c:v>
                </c:pt>
                <c:pt idx="1">
                  <c:v>128988</c:v>
                </c:pt>
                <c:pt idx="2">
                  <c:v>175839</c:v>
                </c:pt>
                <c:pt idx="3">
                  <c:v>134575</c:v>
                </c:pt>
                <c:pt idx="4">
                  <c:v>71165</c:v>
                </c:pt>
                <c:pt idx="5">
                  <c:v>25079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SEMESTRAL!$F$17:$F$23</c:f>
              <c:numCache>
                <c:formatCode>#,##0</c:formatCode>
                <c:ptCount val="6"/>
                <c:pt idx="0">
                  <c:v>20750</c:v>
                </c:pt>
                <c:pt idx="1">
                  <c:v>16239</c:v>
                </c:pt>
                <c:pt idx="2">
                  <c:v>21622</c:v>
                </c:pt>
                <c:pt idx="3">
                  <c:v>16073</c:v>
                </c:pt>
                <c:pt idx="4">
                  <c:v>11174</c:v>
                </c:pt>
                <c:pt idx="5">
                  <c:v>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SEMESTRAL!$H$17:$H$23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SEMESTRAL!$J$17:$J$23</c:f>
              <c:numCache>
                <c:formatCode>#,##0</c:formatCode>
                <c:ptCount val="6"/>
                <c:pt idx="0">
                  <c:v>4096</c:v>
                </c:pt>
                <c:pt idx="1">
                  <c:v>3205</c:v>
                </c:pt>
                <c:pt idx="2">
                  <c:v>2147</c:v>
                </c:pt>
                <c:pt idx="3">
                  <c:v>5153</c:v>
                </c:pt>
                <c:pt idx="4">
                  <c:v>5053</c:v>
                </c:pt>
                <c:pt idx="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SEMESTRAL!$L$17:$L$23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57472"/>
        <c:axId val="1125960192"/>
        <c:extLst/>
      </c:lineChart>
      <c:catAx>
        <c:axId val="11259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0192"/>
        <c:crosses val="autoZero"/>
        <c:auto val="1"/>
        <c:lblAlgn val="ctr"/>
        <c:lblOffset val="100"/>
        <c:noMultiLvlLbl val="0"/>
      </c:catAx>
      <c:valAx>
        <c:axId val="11259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5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290</xdr:row>
      <xdr:rowOff>128587</xdr:rowOff>
    </xdr:from>
    <xdr:to>
      <xdr:col>11</xdr:col>
      <xdr:colOff>866774</xdr:colOff>
      <xdr:row>316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119063</xdr:rowOff>
    </xdr:from>
    <xdr:to>
      <xdr:col>19</xdr:col>
      <xdr:colOff>276225</xdr:colOff>
      <xdr:row>18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A1171-FC07-4EAA-8FD0-E85CDC3D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35</xdr:row>
      <xdr:rowOff>76200</xdr:rowOff>
    </xdr:from>
    <xdr:to>
      <xdr:col>13</xdr:col>
      <xdr:colOff>262889</xdr:colOff>
      <xdr:row>61</xdr:row>
      <xdr:rowOff>149544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0B35B77-1F16-4311-9F07-908E20EE4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48</xdr:row>
      <xdr:rowOff>128587</xdr:rowOff>
    </xdr:from>
    <xdr:to>
      <xdr:col>11</xdr:col>
      <xdr:colOff>866774</xdr:colOff>
      <xdr:row>74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48</xdr:row>
      <xdr:rowOff>128587</xdr:rowOff>
    </xdr:from>
    <xdr:to>
      <xdr:col>11</xdr:col>
      <xdr:colOff>866774</xdr:colOff>
      <xdr:row>74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23</xdr:row>
      <xdr:rowOff>128587</xdr:rowOff>
    </xdr:from>
    <xdr:to>
      <xdr:col>11</xdr:col>
      <xdr:colOff>866774</xdr:colOff>
      <xdr:row>49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90" totalsRowCount="1" headerRowDxfId="144" dataDxfId="143" totalsRowDxfId="142">
  <autoFilter ref="B16:M289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141" totalsRowDxfId="140"/>
    <tableColumn id="2" xr3:uid="{00000000-0010-0000-0000-000002000000}" name="Total" totalsRowFunction="custom" totalsRowDxfId="139">
      <totalsRowFormula>SUM(C283:C289)</totalsRowFormula>
    </tableColumn>
    <tableColumn id="3" xr3:uid="{00000000-0010-0000-0000-000003000000}" name="Transactions _x000a_Complete" totalsRowFunction="custom" totalsRowDxfId="138">
      <totalsRowFormula>SUM(D283:D289)</totalsRowFormula>
    </tableColumn>
    <tableColumn id="4" xr3:uid="{00000000-0010-0000-0000-000004000000}" name="%_x000a_Complete" totalsRowFunction="custom" totalsRowDxfId="137">
      <calculatedColumnFormula>Tabla1820[Transactions 
Complete]/Tabla1820[Total]</calculatedColumnFormula>
      <totalsRowFormula>AVERAGE(E283:E289)</totalsRowFormula>
    </tableColumn>
    <tableColumn id="5" xr3:uid="{00000000-0010-0000-0000-000005000000}" name="Transactions _x000a_Failed" totalsRowFunction="custom" totalsRowDxfId="136">
      <totalsRowFormula>SUM(F283:F289)</totalsRowFormula>
    </tableColumn>
    <tableColumn id="6" xr3:uid="{00000000-0010-0000-0000-000006000000}" name="% _x000a_Failed" totalsRowFunction="custom" totalsRowDxfId="135">
      <calculatedColumnFormula>Tabla1820[Transactions 
Failed]/Tabla1820[Total]</calculatedColumnFormula>
      <totalsRowFormula>AVERAGE(G283:G289)</totalsRowFormula>
    </tableColumn>
    <tableColumn id="7" xr3:uid="{00000000-0010-0000-0000-000007000000}" name="Transactions _x000a_In_Prog" totalsRowFunction="custom" totalsRowDxfId="134">
      <totalsRowFormula>SUM(H283:H289)</totalsRowFormula>
    </tableColumn>
    <tableColumn id="8" xr3:uid="{00000000-0010-0000-0000-000008000000}" name="%_x000a_In_Prog" totalsRowFunction="custom" totalsRowDxfId="133">
      <calculatedColumnFormula>Tabla1820[Transactions 
In_Prog]/Tabla1820[Total]</calculatedColumnFormula>
      <totalsRowFormula>AVERAGE(I283:I289)</totalsRowFormula>
    </tableColumn>
    <tableColumn id="9" xr3:uid="{00000000-0010-0000-0000-000009000000}" name="Transactions _x000a_Timeout" totalsRowFunction="custom" totalsRowDxfId="132">
      <totalsRowFormula>SUM(J283:J289)</totalsRowFormula>
    </tableColumn>
    <tableColumn id="10" xr3:uid="{00000000-0010-0000-0000-00000A000000}" name="%_x000a_Timeout" totalsRowFunction="custom" totalsRowDxfId="131">
      <calculatedColumnFormula>Tabla1820[Transactions 
Timeout]/Tabla1820[Total]</calculatedColumnFormula>
      <totalsRowFormula>AVERAGE(K283:K289)</totalsRowFormula>
    </tableColumn>
    <tableColumn id="11" xr3:uid="{00000000-0010-0000-0000-00000B000000}" name="Transactions_x000a_Trans Fail" totalsRowFunction="custom" totalsRowDxfId="130">
      <totalsRowFormula>SUM(L283:L289)</totalsRowFormula>
    </tableColumn>
    <tableColumn id="12" xr3:uid="{00000000-0010-0000-0000-00000C000000}" name="% _x000a_Trans Fail" totalsRowFunction="custom" totalsRowDxfId="129">
      <calculatedColumnFormula>Tabla1820[Transactions
Trans Fail]/Tabla1820[Total]</calculatedColumnFormula>
      <totalsRowFormula>AVERAGE(M283:M289)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18208" displayName="Tabla18208" ref="B16:M48" totalsRowCount="1" headerRowDxfId="128" dataDxfId="127" totalsRowDxfId="126">
  <autoFilter ref="B16:M47" xr:uid="{00000000-0009-0000-0100-000007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125" totalsRowDxfId="124"/>
    <tableColumn id="2" xr3:uid="{00000000-0010-0000-0100-000002000000}" name="Total" totalsRowFunction="custom" totalsRowDxfId="123">
      <totalsRowFormula>SUM(Tabla18208[Total])</totalsRowFormula>
    </tableColumn>
    <tableColumn id="3" xr3:uid="{00000000-0010-0000-0100-000003000000}" name="Transactions _x000a_Complete" totalsRowFunction="custom" totalsRowDxfId="122">
      <totalsRowFormula>SUM(Tabla18208[Transactions 
Complete])</totalsRowFormula>
    </tableColumn>
    <tableColumn id="4" xr3:uid="{00000000-0010-0000-0100-000004000000}" name="%_x000a_Complete" totalsRowFunction="custom" totalsRowDxfId="121">
      <calculatedColumnFormula>Tabla18208[Transactions 
Complete]/Tabla18208[Total]</calculatedColumnFormula>
      <totalsRowFormula>AVERAGE(Tabla18208[%
Complete])</totalsRowFormula>
    </tableColumn>
    <tableColumn id="5" xr3:uid="{00000000-0010-0000-0100-000005000000}" name="Transactions _x000a_Failed" totalsRowFunction="custom" totalsRowDxfId="120">
      <totalsRowFormula>SUM(Tabla18208[Transactions 
Failed])</totalsRowFormula>
    </tableColumn>
    <tableColumn id="6" xr3:uid="{00000000-0010-0000-0100-000006000000}" name="% _x000a_Failed" totalsRowFunction="custom" totalsRowDxfId="119">
      <calculatedColumnFormula>Tabla18208[Transactions 
Failed]/Tabla18208[Total]</calculatedColumnFormula>
      <totalsRowFormula>AVERAGE(Tabla18208[% 
Failed])</totalsRowFormula>
    </tableColumn>
    <tableColumn id="7" xr3:uid="{00000000-0010-0000-0100-000007000000}" name="Transactions _x000a_In_Prog" totalsRowFunction="custom" totalsRowDxfId="118">
      <totalsRowFormula>SUM(Tabla18208[Transactions 
In_Prog])</totalsRowFormula>
    </tableColumn>
    <tableColumn id="8" xr3:uid="{00000000-0010-0000-0100-000008000000}" name="%_x000a_In_Prog" totalsRowFunction="custom" totalsRowDxfId="117">
      <calculatedColumnFormula>Tabla18208[Transactions 
In_Prog]/Tabla18208[Total]</calculatedColumnFormula>
      <totalsRowFormula>AVERAGE(Tabla18208[%
In_Prog])</totalsRowFormula>
    </tableColumn>
    <tableColumn id="9" xr3:uid="{00000000-0010-0000-0100-000009000000}" name="Transactions _x000a_Timeout" totalsRowFunction="custom" totalsRowDxfId="116">
      <totalsRowFormula>SUM(Tabla18208[Transactions 
Timeout])</totalsRowFormula>
    </tableColumn>
    <tableColumn id="10" xr3:uid="{00000000-0010-0000-0100-00000A000000}" name="%_x000a_Timeout" totalsRowFunction="custom" totalsRowDxfId="115">
      <calculatedColumnFormula>Tabla18208[Transactions 
Timeout]/Tabla18208[Total]</calculatedColumnFormula>
      <totalsRowFormula>AVERAGE(Tabla18208[%
Timeout])</totalsRowFormula>
    </tableColumn>
    <tableColumn id="11" xr3:uid="{00000000-0010-0000-0100-00000B000000}" name="Transactions_x000a_Trans Fail" totalsRowFunction="custom" totalsRowDxfId="114">
      <totalsRowFormula>SUM(Tabla18208[Transactions
Trans Fail])</totalsRowFormula>
    </tableColumn>
    <tableColumn id="12" xr3:uid="{00000000-0010-0000-0100-00000C000000}" name="% _x000a_Trans Fail" totalsRowFunction="custom" totalsRowDxfId="113">
      <calculatedColumnFormula>Tabla18208[Transactions
Trans Fail]/Tabla18208[Total]</calculatedColumnFormula>
      <totalsRowFormula>AVERAGE(Tabla18208[% 
Trans Fail])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8203" displayName="Tabla18203" ref="B16:M45" totalsRowCount="1" headerRowDxfId="112" dataDxfId="111" totalsRowDxfId="110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109" totalsRowDxfId="108"/>
    <tableColumn id="2" xr3:uid="{00000000-0010-0000-0200-000002000000}" name="Total" totalsRowFunction="custom" totalsRowDxfId="107">
      <totalsRowFormula>SUM(C17:C44)</totalsRowFormula>
    </tableColumn>
    <tableColumn id="3" xr3:uid="{00000000-0010-0000-0200-000003000000}" name="Transactions _x000a_Complete" totalsRowFunction="custom" totalsRowDxfId="106">
      <totalsRowFormula>SUM(D17:D44)</totalsRowFormula>
    </tableColumn>
    <tableColumn id="4" xr3:uid="{00000000-0010-0000-0200-000004000000}" name="%_x000a_Complete" totalsRowFunction="custom" totalsRowDxfId="105">
      <calculatedColumnFormula>Tabla18203[Transactions 
Complete]/Tabla18203[Total]</calculatedColumnFormula>
      <totalsRowFormula>AVERAGE(E17:E44)</totalsRowFormula>
    </tableColumn>
    <tableColumn id="5" xr3:uid="{00000000-0010-0000-0200-000005000000}" name="Transactions _x000a_Failed" totalsRowFunction="custom" totalsRowDxfId="104">
      <totalsRowFormula>SUM(F17:F44)</totalsRowFormula>
    </tableColumn>
    <tableColumn id="6" xr3:uid="{00000000-0010-0000-0200-000006000000}" name="% _x000a_Failed" totalsRowFunction="custom" totalsRowDxfId="103">
      <calculatedColumnFormula>Tabla18203[Transactions 
Failed]/Tabla18203[Total]</calculatedColumnFormula>
      <totalsRowFormula>AVERAGE(G17:G44)</totalsRowFormula>
    </tableColumn>
    <tableColumn id="7" xr3:uid="{00000000-0010-0000-0200-000007000000}" name="Transactions _x000a_In_Prog" totalsRowFunction="custom" totalsRowDxfId="102">
      <totalsRowFormula>SUM(H17:H44)</totalsRowFormula>
    </tableColumn>
    <tableColumn id="8" xr3:uid="{00000000-0010-0000-0200-000008000000}" name="%_x000a_In_Prog" totalsRowFunction="custom" totalsRowDxfId="101">
      <calculatedColumnFormula>Tabla18203[Transactions 
In_Prog]/Tabla18203[Total]</calculatedColumnFormula>
      <totalsRowFormula>AVERAGE(I17:I44)</totalsRowFormula>
    </tableColumn>
    <tableColumn id="9" xr3:uid="{00000000-0010-0000-0200-000009000000}" name="Transactions _x000a_Timeout" totalsRowFunction="custom" totalsRowDxfId="100">
      <totalsRowFormula>SUM(J17:J44)</totalsRowFormula>
    </tableColumn>
    <tableColumn id="10" xr3:uid="{00000000-0010-0000-0200-00000A000000}" name="%_x000a_Timeout" totalsRowFunction="custom" totalsRowDxfId="99">
      <calculatedColumnFormula>Tabla18203[Transactions 
Timeout]/Tabla18203[Total]</calculatedColumnFormula>
      <totalsRowFormula>AVERAGE(K17:K44)</totalsRowFormula>
    </tableColumn>
    <tableColumn id="11" xr3:uid="{00000000-0010-0000-0200-00000B000000}" name="Transactions_x000a_Trans Fail" totalsRowFunction="custom" totalsRowDxfId="98">
      <totalsRowFormula>SUM(L17:L44)</totalsRowFormula>
    </tableColumn>
    <tableColumn id="12" xr3:uid="{00000000-0010-0000-0200-00000C000000}" name="% _x000a_Trans Fail" totalsRowFunction="custom" dataDxfId="97" totalsRowDxfId="96">
      <calculatedColumnFormula>Tabla18203[Transactions
Trans Fail]/Tabla18203[Total]</calculatedColumnFormula>
      <totalsRowFormula>AVERAGE(M17:M44)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8204" displayName="Tabla18204" ref="B16:M48" totalsRowCount="1" headerRowDxfId="95" dataDxfId="94" totalsRowDxfId="93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92" totalsRowDxfId="91"/>
    <tableColumn id="2" xr3:uid="{00000000-0010-0000-0300-000002000000}" name="Total" totalsRowFunction="custom" totalsRowDxfId="90">
      <totalsRowFormula>SUM(C17:C47)</totalsRowFormula>
    </tableColumn>
    <tableColumn id="3" xr3:uid="{00000000-0010-0000-0300-000003000000}" name="Transactions _x000a_Complete" totalsRowFunction="custom" totalsRowDxfId="89">
      <totalsRowFormula>SUM(D17:D47)</totalsRowFormula>
    </tableColumn>
    <tableColumn id="4" xr3:uid="{00000000-0010-0000-0300-000004000000}" name="%_x000a_Complete" totalsRowFunction="custom" totalsRowDxfId="88">
      <calculatedColumnFormula>Tabla18204[Transactions 
Complete]/Tabla18204[Total]</calculatedColumnFormula>
      <totalsRowFormula>AVERAGE(E17:E47)</totalsRowFormula>
    </tableColumn>
    <tableColumn id="5" xr3:uid="{00000000-0010-0000-0300-000005000000}" name="Transactions _x000a_Failed" totalsRowFunction="custom" totalsRowDxfId="87">
      <totalsRowFormula>SUM(F17:F47)</totalsRowFormula>
    </tableColumn>
    <tableColumn id="6" xr3:uid="{00000000-0010-0000-0300-000006000000}" name="% _x000a_Failed" totalsRowFunction="custom" totalsRowDxfId="86">
      <calculatedColumnFormula>Tabla18204[Transactions 
Failed]/Tabla18204[Total]</calculatedColumnFormula>
      <totalsRowFormula>AVERAGE(G17:G47)</totalsRowFormula>
    </tableColumn>
    <tableColumn id="7" xr3:uid="{00000000-0010-0000-0300-000007000000}" name="Transactions _x000a_In_Prog" totalsRowFunction="custom" totalsRowDxfId="85">
      <totalsRowFormula>SUM(H17:H47)</totalsRowFormula>
    </tableColumn>
    <tableColumn id="8" xr3:uid="{00000000-0010-0000-0300-000008000000}" name="%_x000a_In_Prog" totalsRowFunction="custom" totalsRowDxfId="84">
      <calculatedColumnFormula>Tabla18204[Transactions 
In_Prog]/Tabla18204[Total]</calculatedColumnFormula>
      <totalsRowFormula>AVERAGE(I17:I47)</totalsRowFormula>
    </tableColumn>
    <tableColumn id="9" xr3:uid="{00000000-0010-0000-0300-000009000000}" name="Transactions _x000a_Timeout" totalsRowFunction="custom" totalsRowDxfId="83">
      <totalsRowFormula>SUM(J17:J47)</totalsRowFormula>
    </tableColumn>
    <tableColumn id="10" xr3:uid="{00000000-0010-0000-0300-00000A000000}" name="%_x000a_Timeout" totalsRowFunction="custom" totalsRowDxfId="82">
      <calculatedColumnFormula>Tabla18204[Transactions 
Timeout]/Tabla18204[Total]</calculatedColumnFormula>
      <totalsRowFormula>AVERAGE(K17:K47)</totalsRowFormula>
    </tableColumn>
    <tableColumn id="11" xr3:uid="{00000000-0010-0000-0300-00000B000000}" name="Transactions_x000a_Trans Fail" totalsRowFunction="custom" totalsRowDxfId="81">
      <totalsRowFormula>SUM(L17:L47)</totalsRowFormula>
    </tableColumn>
    <tableColumn id="12" xr3:uid="{00000000-0010-0000-0300-00000C000000}" name="% _x000a_Trans Fail" totalsRowFunction="custom" totalsRowDxfId="80">
      <calculatedColumnFormula>Tabla18204[Transactions
Trans Fail]/Tabla18204[Total]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18205" displayName="Tabla18205" ref="B16:M47" totalsRowCount="1" headerRowDxfId="79" dataDxfId="78" totalsRowDxfId="7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76" totalsRowDxfId="75"/>
    <tableColumn id="2" xr3:uid="{00000000-0010-0000-0400-000002000000}" name="Total" totalsRowFunction="custom" totalsRowDxfId="74">
      <totalsRowFormula>SUM(C17:C46)</totalsRowFormula>
    </tableColumn>
    <tableColumn id="3" xr3:uid="{00000000-0010-0000-0400-000003000000}" name="Transactions _x000a_Complete" totalsRowFunction="custom" totalsRowDxfId="73">
      <totalsRowFormula>SUM(D17:D46)</totalsRowFormula>
    </tableColumn>
    <tableColumn id="4" xr3:uid="{00000000-0010-0000-0400-000004000000}" name="%_x000a_Complete" totalsRowFunction="custom" totalsRowDxfId="72">
      <calculatedColumnFormula>Tabla18205[[#This Row],[Transactions 
Complete]]/Tabla18205[Total]</calculatedColumnFormula>
      <totalsRowFormula>AVERAGE(E17:E46)</totalsRowFormula>
    </tableColumn>
    <tableColumn id="5" xr3:uid="{00000000-0010-0000-0400-000005000000}" name="Transactions _x000a_Failed" totalsRowFunction="custom" totalsRowDxfId="71">
      <totalsRowFormula>SUM(F17:F46)</totalsRowFormula>
    </tableColumn>
    <tableColumn id="6" xr3:uid="{00000000-0010-0000-0400-000006000000}" name="% _x000a_Failed" totalsRowFunction="custom" totalsRowDxfId="70">
      <calculatedColumnFormula>Tabla18205[[#This Row],[Transactions 
Failed]]/Tabla18205[Total]</calculatedColumnFormula>
      <totalsRowFormula>AVERAGE(G17:G46)</totalsRowFormula>
    </tableColumn>
    <tableColumn id="7" xr3:uid="{00000000-0010-0000-0400-000007000000}" name="Transactions _x000a_In_Prog" totalsRowFunction="custom" totalsRowDxfId="69">
      <totalsRowFormula>SUM(H17:H46)</totalsRowFormula>
    </tableColumn>
    <tableColumn id="8" xr3:uid="{00000000-0010-0000-0400-000008000000}" name="%_x000a_In_Prog" totalsRowFunction="custom" totalsRowDxfId="68">
      <calculatedColumnFormula>Tabla18205[[#This Row],[Transactions 
In_Prog]]/Tabla18205[Total]</calculatedColumnFormula>
      <totalsRowFormula>AVERAGE(I17:I46)</totalsRowFormula>
    </tableColumn>
    <tableColumn id="9" xr3:uid="{00000000-0010-0000-0400-000009000000}" name="Transactions _x000a_Timeout" totalsRowFunction="custom" totalsRowDxfId="67">
      <totalsRowFormula>SUM(J17:J46)</totalsRowFormula>
    </tableColumn>
    <tableColumn id="10" xr3:uid="{00000000-0010-0000-0400-00000A000000}" name="%_x000a_Timeout" totalsRowFunction="custom" totalsRowDxfId="66">
      <calculatedColumnFormula>Tabla18205[[#This Row],[Transactions 
Timeout]]/Tabla18205[Total]</calculatedColumnFormula>
      <totalsRowFormula>AVERAGE(K17:K46)</totalsRowFormula>
    </tableColumn>
    <tableColumn id="11" xr3:uid="{00000000-0010-0000-0400-00000B000000}" name="Transactions_x000a_Trans Fail" totalsRowFunction="custom" totalsRowDxfId="65">
      <totalsRowFormula>SUM(L17:L46)</totalsRowFormula>
    </tableColumn>
    <tableColumn id="12" xr3:uid="{00000000-0010-0000-0400-00000C000000}" name="% _x000a_Trans Fail" totalsRowFunction="custom" totalsRowDxfId="64">
      <calculatedColumnFormula>Tabla18205[[#This Row],[Transactions
Trans Fail]]/Tabla18205[Total]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18206" displayName="Tabla18206" ref="B16:M48" totalsRowCount="1" headerRowDxfId="63" dataDxfId="62" totalsRowDxfId="6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60" totalsRowDxfId="59"/>
    <tableColumn id="2" xr3:uid="{00000000-0010-0000-0500-000002000000}" name="Total" totalsRowFunction="custom" totalsRowDxfId="58">
      <totalsRowFormula>SUM(C17:C47)</totalsRowFormula>
    </tableColumn>
    <tableColumn id="3" xr3:uid="{00000000-0010-0000-0500-000003000000}" name="Transactions _x000a_Complete" totalsRowFunction="custom" totalsRowDxfId="57">
      <totalsRowFormula>SUM(D17:D47)</totalsRowFormula>
    </tableColumn>
    <tableColumn id="4" xr3:uid="{00000000-0010-0000-0500-000004000000}" name="%_x000a_Complete" totalsRowFunction="custom" totalsRowDxfId="56">
      <calculatedColumnFormula>Tabla18206[[#This Row],[Transactions 
Complete]]/Tabla18206[Total]</calculatedColumnFormula>
      <totalsRowFormula>AVERAGE(E17:E47)</totalsRowFormula>
    </tableColumn>
    <tableColumn id="5" xr3:uid="{00000000-0010-0000-0500-000005000000}" name="Transactions _x000a_Failed" totalsRowFunction="custom" totalsRowDxfId="55">
      <totalsRowFormula>SUM(F17:F47)</totalsRowFormula>
    </tableColumn>
    <tableColumn id="6" xr3:uid="{00000000-0010-0000-0500-000006000000}" name="% _x000a_Failed" totalsRowFunction="custom" totalsRowDxfId="54">
      <calculatedColumnFormula>Tabla18206[[#This Row],[Transactions 
Failed]]/Tabla18206[Total]</calculatedColumnFormula>
      <totalsRowFormula>AVERAGE(G17:G47)</totalsRowFormula>
    </tableColumn>
    <tableColumn id="7" xr3:uid="{00000000-0010-0000-0500-000007000000}" name="Transactions _x000a_In_Prog" totalsRowFunction="custom" totalsRowDxfId="53">
      <totalsRowFormula>SUM(H17:H47)</totalsRowFormula>
    </tableColumn>
    <tableColumn id="8" xr3:uid="{00000000-0010-0000-0500-000008000000}" name="%_x000a_In_Prog" totalsRowFunction="custom" totalsRowDxfId="52">
      <calculatedColumnFormula>Tabla18206[[#This Row],[Transactions 
In_Prog]]/Tabla18206[Total]</calculatedColumnFormula>
      <totalsRowFormula>AVERAGE(I17:I47)</totalsRowFormula>
    </tableColumn>
    <tableColumn id="9" xr3:uid="{00000000-0010-0000-0500-000009000000}" name="Transactions _x000a_Timeout" totalsRowFunction="custom" totalsRowDxfId="51">
      <totalsRowFormula>SUM(J17:J47)</totalsRowFormula>
    </tableColumn>
    <tableColumn id="10" xr3:uid="{00000000-0010-0000-0500-00000A000000}" name="%_x000a_Timeout" totalsRowFunction="custom" totalsRowDxfId="50">
      <calculatedColumnFormula>Tabla18206[[#This Row],[Transactions 
Timeout]]/Tabla18206[Total]</calculatedColumnFormula>
      <totalsRowFormula>AVERAGE(K17:K47)</totalsRowFormula>
    </tableColumn>
    <tableColumn id="11" xr3:uid="{00000000-0010-0000-0500-00000B000000}" name="Transactions_x000a_Trans Fail" totalsRowFunction="custom" totalsRowDxfId="49">
      <totalsRowFormula>SUM(L17:L47)</totalsRowFormula>
    </tableColumn>
    <tableColumn id="12" xr3:uid="{00000000-0010-0000-0500-00000C000000}" name="% _x000a_Trans Fail" totalsRowFunction="custom" totalsRowDxfId="48">
      <calculatedColumnFormula>Tabla18206[[#This Row],[Transactions
Trans Fail]]/Tabla18206[Total]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18207" displayName="Tabla18207" ref="B16:M47" totalsRowCount="1" headerRowDxfId="47" dataDxfId="46" totalsRowDxfId="4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600-000001000000}" name="Day" totalsRowLabel="SUMMARY_x000a_AVERAGE" dataDxfId="44" totalsRowDxfId="43"/>
    <tableColumn id="2" xr3:uid="{00000000-0010-0000-0600-000002000000}" name="Total" totalsRowFunction="custom" totalsRowDxfId="42">
      <totalsRowFormula>SUM(C17:C46)</totalsRowFormula>
    </tableColumn>
    <tableColumn id="3" xr3:uid="{00000000-0010-0000-0600-000003000000}" name="Transactions _x000a_Complete" totalsRowFunction="custom" totalsRowDxfId="41">
      <totalsRowFormula>SUM(D17:D46)</totalsRowFormula>
    </tableColumn>
    <tableColumn id="4" xr3:uid="{00000000-0010-0000-0600-000004000000}" name="%_x000a_Complete" totalsRowFunction="custom" totalsRowDxfId="40">
      <calculatedColumnFormula>Tabla18207[Transactions 
Complete]/Tabla18207[Total]</calculatedColumnFormula>
      <totalsRowFormula>AVERAGE(E17:E46)</totalsRowFormula>
    </tableColumn>
    <tableColumn id="5" xr3:uid="{00000000-0010-0000-0600-000005000000}" name="Transactions _x000a_Failed" totalsRowFunction="custom" totalsRowDxfId="39">
      <totalsRowFormula>SUM(F17:F46)</totalsRowFormula>
    </tableColumn>
    <tableColumn id="6" xr3:uid="{00000000-0010-0000-0600-000006000000}" name="% _x000a_Failed" totalsRowFunction="custom" totalsRowDxfId="38">
      <calculatedColumnFormula>Tabla18207[Transactions 
Failed]/Tabla18207[Total]</calculatedColumnFormula>
      <totalsRowFormula>AVERAGE(G17:G46)</totalsRowFormula>
    </tableColumn>
    <tableColumn id="7" xr3:uid="{00000000-0010-0000-0600-000007000000}" name="Transactions _x000a_In_Prog" totalsRowFunction="custom" totalsRowDxfId="37">
      <totalsRowFormula>SUM(H17:H46)</totalsRowFormula>
    </tableColumn>
    <tableColumn id="8" xr3:uid="{00000000-0010-0000-0600-000008000000}" name="%_x000a_In_Prog" totalsRowFunction="custom" totalsRowDxfId="36">
      <calculatedColumnFormula>Tabla18207[Transactions 
In_Prog]/Tabla18207[Total]</calculatedColumnFormula>
      <totalsRowFormula>AVERAGE(I17:I46)</totalsRowFormula>
    </tableColumn>
    <tableColumn id="9" xr3:uid="{00000000-0010-0000-0600-000009000000}" name="Transactions _x000a_Timeout" totalsRowFunction="custom" totalsRowDxfId="35">
      <totalsRowFormula>SUM(J17:J46)</totalsRowFormula>
    </tableColumn>
    <tableColumn id="10" xr3:uid="{00000000-0010-0000-0600-00000A000000}" name="%_x000a_Timeout" totalsRowFunction="custom" totalsRowDxfId="34">
      <calculatedColumnFormula>Tabla18207[Transactions 
Timeout]/Tabla18207[Total]</calculatedColumnFormula>
      <totalsRowFormula>AVERAGE(K17:K46)</totalsRowFormula>
    </tableColumn>
    <tableColumn id="11" xr3:uid="{00000000-0010-0000-0600-00000B000000}" name="Transactions_x000a_Trans Fail" totalsRowFunction="custom" totalsRowDxfId="33">
      <totalsRowFormula>SUM(L17:L46)</totalsRowFormula>
    </tableColumn>
    <tableColumn id="12" xr3:uid="{00000000-0010-0000-0600-00000C000000}" name="% _x000a_Trans Fail" totalsRowFunction="custom" totalsRowDxfId="3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182010" displayName="Tabla182010" ref="B16:M48" totalsRowCount="1" headerRowDxfId="31" dataDxfId="30" totalsRowDxfId="29">
  <autoFilter ref="B16:M47" xr:uid="{00000000-0009-0000-0100-000009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700-000001000000}" name="Day" totalsRowLabel="SUMMARY_x000a_AVERAGE" dataDxfId="28" totalsRowDxfId="27"/>
    <tableColumn id="2" xr3:uid="{00000000-0010-0000-0700-000002000000}" name="Total" totalsRowFunction="custom" totalsRowDxfId="26">
      <totalsRowFormula>SUM(#REF!)</totalsRowFormula>
    </tableColumn>
    <tableColumn id="3" xr3:uid="{00000000-0010-0000-0700-000003000000}" name="Transactions _x000a_Complete" totalsRowFunction="custom" totalsRowDxfId="25">
      <totalsRowFormula>SUM(#REF!)</totalsRowFormula>
    </tableColumn>
    <tableColumn id="4" xr3:uid="{00000000-0010-0000-0700-000004000000}" name="%_x000a_Complete" totalsRowFunction="custom" totalsRowDxfId="24">
      <calculatedColumnFormula>Tabla182010[Transactions 
Complete]/Tabla182010[Total]</calculatedColumnFormula>
      <totalsRowFormula>AVERAGE(#REF!)</totalsRowFormula>
    </tableColumn>
    <tableColumn id="5" xr3:uid="{00000000-0010-0000-0700-000005000000}" name="Transactions _x000a_Failed" totalsRowFunction="custom" totalsRowDxfId="23">
      <totalsRowFormula>SUM(#REF!)</totalsRowFormula>
    </tableColumn>
    <tableColumn id="6" xr3:uid="{00000000-0010-0000-0700-000006000000}" name="% _x000a_Failed" totalsRowFunction="custom" totalsRowDxfId="22">
      <calculatedColumnFormula>Tabla182010[Transactions 
Failed]/Tabla182010[Total]</calculatedColumnFormula>
      <totalsRowFormula>AVERAGE(#REF!)</totalsRowFormula>
    </tableColumn>
    <tableColumn id="7" xr3:uid="{00000000-0010-0000-0700-000007000000}" name="Transactions _x000a_In_Prog" totalsRowFunction="custom" totalsRowDxfId="21">
      <totalsRowFormula>SUM(#REF!)</totalsRowFormula>
    </tableColumn>
    <tableColumn id="8" xr3:uid="{00000000-0010-0000-0700-000008000000}" name="%_x000a_In_Prog" totalsRowFunction="custom" totalsRowDxfId="20">
      <calculatedColumnFormula>Tabla182010[Transactions 
In_Prog]/Tabla182010[Total]</calculatedColumnFormula>
      <totalsRowFormula>AVERAGE(#REF!)</totalsRowFormula>
    </tableColumn>
    <tableColumn id="9" xr3:uid="{00000000-0010-0000-0700-000009000000}" name="Transactions _x000a_Timeout" totalsRowFunction="custom" totalsRowDxfId="19">
      <totalsRowFormula>SUM(#REF!)</totalsRowFormula>
    </tableColumn>
    <tableColumn id="10" xr3:uid="{00000000-0010-0000-0700-00000A000000}" name="%_x000a_Timeout" totalsRowFunction="custom" totalsRowDxfId="18">
      <calculatedColumnFormula>Tabla182010[Transactions 
Timeout]/Tabla182010[Total]</calculatedColumnFormula>
      <totalsRowFormula>AVERAGE(#REF!)</totalsRowFormula>
    </tableColumn>
    <tableColumn id="11" xr3:uid="{00000000-0010-0000-0700-00000B000000}" name="Transactions_x000a_Trans Fail" totalsRowFunction="custom" totalsRowDxfId="17">
      <totalsRowFormula>SUM(#REF!)</totalsRowFormula>
    </tableColumn>
    <tableColumn id="12" xr3:uid="{00000000-0010-0000-0700-00000C000000}" name="% _x000a_Trans Fail" totalsRowFunction="custom" totalsRowDxfId="16">
      <calculatedColumnFormula>Tabla182010[Transactions
Trans Fail]/Tabla182010[Total]</calculatedColumnFormula>
      <totalsRowFormula>AVERAGE(#REF!)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182079" displayName="Tabla182079" ref="B16:M23" totalsRowCount="1" headerRowDxfId="15" dataDxfId="14" totalsRowDxfId="13">
  <autoFilter ref="B16:M22" xr:uid="{00000000-0009-0000-0100-000008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800-000001000000}" name="Month" totalsRowLabel="SUMMARY_x000a_AVERAGE" dataDxfId="12" totalsRowDxfId="11"/>
    <tableColumn id="2" xr3:uid="{00000000-0010-0000-0800-000002000000}" name="Total" totalsRowFunction="custom" totalsRowDxfId="10">
      <totalsRowFormula>SUM(C17:C22)</totalsRowFormula>
    </tableColumn>
    <tableColumn id="3" xr3:uid="{00000000-0010-0000-0800-000003000000}" name="Transactions _x000a_Complete" totalsRowFunction="custom" totalsRowDxfId="9">
      <totalsRowFormula>SUM(D17:D22)</totalsRowFormula>
    </tableColumn>
    <tableColumn id="4" xr3:uid="{00000000-0010-0000-0800-000004000000}" name="%_x000a_Complete" totalsRowFunction="custom" totalsRowDxfId="8">
      <totalsRowFormula>AVERAGE(E17:E22)</totalsRowFormula>
    </tableColumn>
    <tableColumn id="5" xr3:uid="{00000000-0010-0000-0800-000005000000}" name="Transactions _x000a_Failed" totalsRowFunction="custom" totalsRowDxfId="7">
      <totalsRowFormula>SUM(F17:F22)</totalsRowFormula>
    </tableColumn>
    <tableColumn id="6" xr3:uid="{00000000-0010-0000-0800-000006000000}" name="% _x000a_Failed" totalsRowFunction="custom" totalsRowDxfId="6">
      <totalsRowFormula>AVERAGE(G17:G22)</totalsRowFormula>
    </tableColumn>
    <tableColumn id="7" xr3:uid="{00000000-0010-0000-0800-000007000000}" name="Transactions _x000a_In_Prog" totalsRowFunction="custom" totalsRowDxfId="5">
      <totalsRowFormula>SUM(H17:H22)</totalsRowFormula>
    </tableColumn>
    <tableColumn id="8" xr3:uid="{00000000-0010-0000-0800-000008000000}" name="%_x000a_In_Prog" totalsRowFunction="custom" totalsRowDxfId="4">
      <totalsRowFormula>AVERAGE(I17:I22)</totalsRowFormula>
    </tableColumn>
    <tableColumn id="9" xr3:uid="{00000000-0010-0000-0800-000009000000}" name="Transactions _x000a_Timeout" totalsRowFunction="custom" totalsRowDxfId="3">
      <totalsRowFormula>SUM(J17:J22)</totalsRowFormula>
    </tableColumn>
    <tableColumn id="10" xr3:uid="{00000000-0010-0000-0800-00000A000000}" name="%_x000a_Timeout" totalsRowFunction="custom" totalsRowDxfId="2">
      <totalsRowFormula>AVERAGE(K17:K22)</totalsRowFormula>
    </tableColumn>
    <tableColumn id="11" xr3:uid="{00000000-0010-0000-0800-00000B000000}" name="Transactions_x000a_Trans Fail" totalsRowFunction="custom" totalsRowDxfId="1">
      <totalsRowFormula>SUM(L17:L22)</totalsRowFormula>
    </tableColumn>
    <tableColumn id="12" xr3:uid="{00000000-0010-0000-0800-00000C000000}" name="% _x000a_Trans Fail" totalsRowFunction="custom" totalsRowDxfId="0">
      <totalsRowFormula>AVERAGE(M17:M22)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P367"/>
  <sheetViews>
    <sheetView tabSelected="1" topLeftCell="A283" workbookViewId="0">
      <selection activeCell="A17" sqref="A17:XFD282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SUM(Tabla1820[Total])</f>
        <v>1033960.03</v>
      </c>
      <c r="D6" s="4"/>
    </row>
    <row r="7" spans="2:16" x14ac:dyDescent="0.3">
      <c r="B7" s="9" t="s">
        <v>6</v>
      </c>
      <c r="C7" s="11">
        <f>D15</f>
        <v>870947</v>
      </c>
      <c r="D7" s="12">
        <f>C7/C6</f>
        <v>0.84234107192712271</v>
      </c>
    </row>
    <row r="8" spans="2:16" x14ac:dyDescent="0.3">
      <c r="B8" s="9" t="s">
        <v>7</v>
      </c>
      <c r="C8" s="11">
        <f>F15</f>
        <v>128081</v>
      </c>
      <c r="D8" s="12">
        <f>C8/C6</f>
        <v>0.12387422751728613</v>
      </c>
    </row>
    <row r="9" spans="2:16" x14ac:dyDescent="0.3">
      <c r="B9" s="9" t="s">
        <v>8</v>
      </c>
      <c r="C9" s="11">
        <f>H15</f>
        <v>11</v>
      </c>
      <c r="D9" s="12">
        <f>C9/C6</f>
        <v>1.0638709119152314E-5</v>
      </c>
      <c r="P9" s="1">
        <f>72+24</f>
        <v>96</v>
      </c>
    </row>
    <row r="10" spans="2:16" x14ac:dyDescent="0.3">
      <c r="B10" s="9" t="s">
        <v>9</v>
      </c>
      <c r="C10" s="11">
        <f>J15</f>
        <v>34896</v>
      </c>
      <c r="D10" s="12">
        <f>C10/C6</f>
        <v>3.3749853947449011E-2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1033935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SUM(Tabla1820[Total])</f>
        <v>1033960.03</v>
      </c>
      <c r="D15" s="14">
        <f>SUM(Tabla1820[Transactions 
Complete])</f>
        <v>870947</v>
      </c>
      <c r="E15" s="15">
        <f>AVERAGE(Tabla1820[%
Complete])</f>
        <v>0.78256873253968118</v>
      </c>
      <c r="F15" s="14">
        <f>SUM(Tabla1820[Transactions 
Failed])</f>
        <v>128081</v>
      </c>
      <c r="G15" s="15">
        <f>AVERAGE(Tabla1820[% 
Failed])</f>
        <v>0.1417343568394803</v>
      </c>
      <c r="H15" s="14">
        <f>SUM(Tabla1820[Transactions 
In_Prog])</f>
        <v>11</v>
      </c>
      <c r="I15" s="15">
        <f>AVERAGE(Tabla1820[%
In_Prog])</f>
        <v>1.5402457537648511E-5</v>
      </c>
      <c r="J15" s="14">
        <f>SUM(Tabla1820[Transactions 
Timeout])</f>
        <v>34896</v>
      </c>
      <c r="K15" s="15">
        <f>AVERAGE(Tabla1820[%
Timeout])</f>
        <v>6.4641042872931376E-2</v>
      </c>
      <c r="L15" s="14">
        <f>SUM(Tabla1820[Transactions
Trans Fail])</f>
        <v>0</v>
      </c>
      <c r="M15" s="15">
        <f>AVERAGE(Tabla1820[% 
Trans Fail])</f>
        <v>0</v>
      </c>
    </row>
    <row r="16" spans="2:16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1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1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1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1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1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1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1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1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1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1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1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1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1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1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1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1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1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1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1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1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1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1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1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1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1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1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1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1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1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1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1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1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1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1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1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1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1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1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1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1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1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1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1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1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1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1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1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1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44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44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44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44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44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44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44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1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45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45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45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45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45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45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45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45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45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45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45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45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45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45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45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45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45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45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45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45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45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45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45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45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45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45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45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45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45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45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45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47">
        <v>869</v>
      </c>
      <c r="D181" s="48">
        <v>767</v>
      </c>
      <c r="E181" s="24">
        <f>Tabla1820[Transactions 
Complete]/Tabla1820[Total]</f>
        <v>0.88262370540851554</v>
      </c>
      <c r="F181" s="49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0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1">
        <v>669</v>
      </c>
      <c r="D182" s="52">
        <v>575</v>
      </c>
      <c r="E182" s="24">
        <f>Tabla1820[Transactions 
Complete]/Tabla1820[Total]</f>
        <v>0.85949177877428995</v>
      </c>
      <c r="F182" s="53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54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55">
        <v>218</v>
      </c>
      <c r="D183" s="56">
        <v>202</v>
      </c>
      <c r="E183" s="24">
        <f>Tabla1820[Transactions 
Complete]/Tabla1820[Total]</f>
        <v>0.92660550458715596</v>
      </c>
      <c r="F183" s="57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58">
        <v>20</v>
      </c>
      <c r="D184" s="59">
        <v>15</v>
      </c>
      <c r="E184" s="24">
        <f>Tabla1820[Transactions 
Complete]/Tabla1820[Total]</f>
        <v>0.75</v>
      </c>
      <c r="F184" s="60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1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1">
        <v>2009</v>
      </c>
      <c r="D185" s="62">
        <v>1616</v>
      </c>
      <c r="E185" s="24">
        <f>Tabla1820[Transactions 
Complete]/Tabla1820[Total]</f>
        <v>0.80438028870084621</v>
      </c>
      <c r="F185" s="63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64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1">
        <v>3146</v>
      </c>
      <c r="D186" s="65">
        <v>2525</v>
      </c>
      <c r="E186" s="24">
        <f>Tabla1820[Transactions 
Complete]/Tabla1820[Total]</f>
        <v>0.8026064844246662</v>
      </c>
      <c r="F186" s="66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67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1">
        <v>2367</v>
      </c>
      <c r="D187" s="68">
        <v>2136</v>
      </c>
      <c r="E187" s="24">
        <f>Tabla1820[Transactions 
Complete]/Tabla1820[Total]</f>
        <v>0.9024081115335868</v>
      </c>
      <c r="F187" s="69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0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1">
        <v>933</v>
      </c>
      <c r="D188" s="71">
        <v>620</v>
      </c>
      <c r="E188" s="24">
        <f>Tabla1820[Transactions 
Complete]/Tabla1820[Total]</f>
        <v>0.66452304394426576</v>
      </c>
      <c r="F188" s="72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73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1">
        <v>757</v>
      </c>
      <c r="D189" s="74">
        <v>636</v>
      </c>
      <c r="E189" s="24">
        <f>Tabla1820[Transactions 
Complete]/Tabla1820[Total]</f>
        <v>0.84015852047556139</v>
      </c>
      <c r="F189" s="75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76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1">
        <v>225</v>
      </c>
      <c r="D190" s="77">
        <v>192</v>
      </c>
      <c r="E190" s="24">
        <f>Tabla1820[Transactions 
Complete]/Tabla1820[Total]</f>
        <v>0.85333333333333339</v>
      </c>
      <c r="F190" s="78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1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1">
        <v>19</v>
      </c>
      <c r="D191" s="79">
        <v>13</v>
      </c>
      <c r="E191" s="24">
        <f>Tabla1820[Transactions 
Complete]/Tabla1820[Total]</f>
        <v>0.68421052631578949</v>
      </c>
      <c r="F191" s="80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1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1">
        <v>728</v>
      </c>
      <c r="D192" s="80">
        <v>600</v>
      </c>
      <c r="E192" s="24">
        <f>Tabla1820[Transactions 
Complete]/Tabla1820[Total]</f>
        <v>0.82417582417582413</v>
      </c>
      <c r="F192" s="80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0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1">
        <v>1053</v>
      </c>
      <c r="D193" s="80">
        <v>897</v>
      </c>
      <c r="E193" s="24">
        <f>Tabla1820[Transactions 
Complete]/Tabla1820[Total]</f>
        <v>0.85185185185185186</v>
      </c>
      <c r="F193" s="80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0">
        <f t="shared" ref="J193" si="0">A860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1">
        <v>1607</v>
      </c>
      <c r="D194" s="80">
        <v>1463</v>
      </c>
      <c r="E194" s="24">
        <f>Tabla1820[Transactions 
Complete]/Tabla1820[Total]</f>
        <v>0.91039203484754205</v>
      </c>
      <c r="F194" s="80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0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1">
        <v>1309</v>
      </c>
      <c r="D195" s="80">
        <v>949</v>
      </c>
      <c r="E195" s="24">
        <f>Tabla1820[Transactions 
Complete]/Tabla1820[Total]</f>
        <v>0.72498090145148963</v>
      </c>
      <c r="F195" s="80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0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1">
        <v>586</v>
      </c>
      <c r="D196" s="80">
        <v>474</v>
      </c>
      <c r="E196" s="24">
        <f>Tabla1820[Transactions 
Complete]/Tabla1820[Total]</f>
        <v>0.80887372013651881</v>
      </c>
      <c r="F196" s="80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0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1">
        <v>295</v>
      </c>
      <c r="D197" s="80">
        <v>248</v>
      </c>
      <c r="E197" s="24">
        <f>Tabla1820[Transactions 
Complete]/Tabla1820[Total]</f>
        <v>0.84067796610169487</v>
      </c>
      <c r="F197" s="80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0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1">
        <v>125</v>
      </c>
      <c r="D198" s="80">
        <v>97</v>
      </c>
      <c r="E198" s="24">
        <f>Tabla1820[Transactions 
Complete]/Tabla1820[Total]</f>
        <v>0.77600000000000002</v>
      </c>
      <c r="F198" s="80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0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86">
        <v>1399</v>
      </c>
      <c r="D199" s="80">
        <v>1069</v>
      </c>
      <c r="E199" s="24">
        <f>Tabla1820[Transactions 
Complete]/Tabla1820[Total]</f>
        <v>0.76411722659042169</v>
      </c>
      <c r="F199" s="80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0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86">
        <v>1061</v>
      </c>
      <c r="D200" s="80">
        <v>967</v>
      </c>
      <c r="E200" s="24">
        <f>Tabla1820[Transactions 
Complete]/Tabla1820[Total]</f>
        <v>0.91140433553251654</v>
      </c>
      <c r="F200" s="80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0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86">
        <v>2836</v>
      </c>
      <c r="D201" s="80">
        <v>2705</v>
      </c>
      <c r="E201" s="24">
        <f>Tabla1820[Transactions 
Complete]/Tabla1820[Total]</f>
        <v>0.95380818053596617</v>
      </c>
      <c r="F201" s="80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0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86">
        <v>1576</v>
      </c>
      <c r="D202" s="80">
        <v>1492</v>
      </c>
      <c r="E202" s="24">
        <f>Tabla1820[Transactions 
Complete]/Tabla1820[Total]</f>
        <v>0.9467005076142132</v>
      </c>
      <c r="F202" s="80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0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86">
        <v>847</v>
      </c>
      <c r="D203" s="80">
        <v>771</v>
      </c>
      <c r="E203" s="24">
        <f>Tabla1820[Transactions 
Complete]/Tabla1820[Total]</f>
        <v>0.91027154663518295</v>
      </c>
      <c r="F203" s="80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0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86">
        <v>262</v>
      </c>
      <c r="D204" s="80">
        <v>244</v>
      </c>
      <c r="E204" s="24">
        <f>Tabla1820[Transactions 
Complete]/Tabla1820[Total]</f>
        <v>0.93129770992366412</v>
      </c>
      <c r="F204" s="80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0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86">
        <v>8</v>
      </c>
      <c r="D205" s="80">
        <v>7</v>
      </c>
      <c r="E205" s="24">
        <f>Tabla1820[Transactions 
Complete]/Tabla1820[Total]</f>
        <v>0.875</v>
      </c>
      <c r="F205" s="80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0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86">
        <v>8300</v>
      </c>
      <c r="D206" s="80">
        <v>7493</v>
      </c>
      <c r="E206" s="24">
        <f>Tabla1820[Transactions 
Complete]/Tabla1820[Total]</f>
        <v>0.90277108433734943</v>
      </c>
      <c r="F206" s="80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0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86">
        <v>17596</v>
      </c>
      <c r="D207" s="80">
        <v>16513</v>
      </c>
      <c r="E207" s="24">
        <f>Tabla1820[Transactions 
Complete]/Tabla1820[Total]</f>
        <v>0.93845192089111162</v>
      </c>
      <c r="F207" s="80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0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86">
        <v>4116</v>
      </c>
      <c r="D208" s="80">
        <v>3875</v>
      </c>
      <c r="E208" s="24">
        <f>Tabla1820[Transactions 
Complete]/Tabla1820[Total]</f>
        <v>0.94144800777453841</v>
      </c>
      <c r="F208" s="80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0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86">
        <v>805</v>
      </c>
      <c r="D209" s="80">
        <v>735</v>
      </c>
      <c r="E209" s="24">
        <f>Tabla1820[Transactions 
Complete]/Tabla1820[Total]</f>
        <v>0.91304347826086951</v>
      </c>
      <c r="F209" s="80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0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86">
        <v>773</v>
      </c>
      <c r="D210" s="80">
        <v>683</v>
      </c>
      <c r="E210" s="24">
        <f>Tabla1820[Transactions 
Complete]/Tabla1820[Total]</f>
        <v>0.88357050452781372</v>
      </c>
      <c r="F210" s="80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0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86">
        <v>269</v>
      </c>
      <c r="D211" s="80">
        <v>253</v>
      </c>
      <c r="E211" s="24">
        <f>Tabla1820[Transactions 
Complete]/Tabla1820[Total]</f>
        <v>0.94052044609665431</v>
      </c>
      <c r="F211" s="80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0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86">
        <v>15</v>
      </c>
      <c r="D212" s="80">
        <v>9</v>
      </c>
      <c r="E212" s="24">
        <f>Tabla1820[Transactions 
Complete]/Tabla1820[Total]</f>
        <v>0.6</v>
      </c>
      <c r="F212" s="80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0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86">
        <v>458</v>
      </c>
      <c r="D213" s="80">
        <v>342</v>
      </c>
      <c r="E213" s="24">
        <f>Tabla1820[Transactions 
Complete]/Tabla1820[Total]</f>
        <v>0.74672489082969429</v>
      </c>
      <c r="F213" s="80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0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86">
        <v>1258</v>
      </c>
      <c r="D214" s="80">
        <v>1052</v>
      </c>
      <c r="E214" s="24">
        <f>Tabla1820[Transactions 
Complete]/Tabla1820[Total]</f>
        <v>0.83624801271860094</v>
      </c>
      <c r="F214" s="80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0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86">
        <v>2496</v>
      </c>
      <c r="D215" s="80">
        <v>2140</v>
      </c>
      <c r="E215" s="24">
        <f>Tabla1820[Transactions 
Complete]/Tabla1820[Total]</f>
        <v>0.85737179487179482</v>
      </c>
      <c r="F215" s="80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0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86">
        <v>1965</v>
      </c>
      <c r="D216" s="80">
        <v>1810</v>
      </c>
      <c r="E216" s="24">
        <f>Tabla1820[Transactions 
Complete]/Tabla1820[Total]</f>
        <v>0.92111959287531808</v>
      </c>
      <c r="F216" s="80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0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86">
        <v>880</v>
      </c>
      <c r="D217" s="80">
        <v>739</v>
      </c>
      <c r="E217" s="24">
        <f>Tabla1820[Transactions 
Complete]/Tabla1820[Total]</f>
        <v>0.83977272727272723</v>
      </c>
      <c r="F217" s="80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0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86">
        <v>195</v>
      </c>
      <c r="D218" s="80">
        <v>169</v>
      </c>
      <c r="E218" s="24">
        <f>Tabla1820[Transactions 
Complete]/Tabla1820[Total]</f>
        <v>0.8666666666666667</v>
      </c>
      <c r="F218" s="80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0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86">
        <v>9</v>
      </c>
      <c r="D219" s="80">
        <v>5</v>
      </c>
      <c r="E219" s="24">
        <f>Tabla1820[Transactions 
Complete]/Tabla1820[Total]</f>
        <v>0.55555555555555558</v>
      </c>
      <c r="F219" s="80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0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86">
        <v>1040</v>
      </c>
      <c r="D220" s="80">
        <v>758</v>
      </c>
      <c r="E220" s="24">
        <f>Tabla1820[Transactions 
Complete]/Tabla1820[Total]</f>
        <v>0.72884615384615381</v>
      </c>
      <c r="F220" s="80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0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86">
        <v>2665</v>
      </c>
      <c r="D221" s="80">
        <v>2422</v>
      </c>
      <c r="E221" s="24">
        <f>Tabla1820[Transactions 
Complete]/Tabla1820[Total]</f>
        <v>0.90881801125703565</v>
      </c>
      <c r="F221" s="80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0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86">
        <v>1067</v>
      </c>
      <c r="D222" s="80">
        <v>869</v>
      </c>
      <c r="E222" s="24">
        <f>Tabla1820[Transactions 
Complete]/Tabla1820[Total]</f>
        <v>0.81443298969072164</v>
      </c>
      <c r="F222" s="80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0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86">
        <v>2374</v>
      </c>
      <c r="D223" s="80">
        <v>2015</v>
      </c>
      <c r="E223" s="24">
        <f>Tabla1820[Transactions 
Complete]/Tabla1820[Total]</f>
        <v>0.84877843302443134</v>
      </c>
      <c r="F223" s="80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0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86">
        <v>811</v>
      </c>
      <c r="D224" s="80">
        <v>669</v>
      </c>
      <c r="E224" s="24">
        <f>Tabla1820[Transactions 
Complete]/Tabla1820[Total]</f>
        <v>0.82490752157829839</v>
      </c>
      <c r="F224" s="80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0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86">
        <v>220</v>
      </c>
      <c r="D225" s="80">
        <v>196</v>
      </c>
      <c r="E225" s="24">
        <f>Tabla1820[Transactions 
Complete]/Tabla1820[Total]</f>
        <v>0.89090909090909087</v>
      </c>
      <c r="F225" s="80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0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86">
        <v>5</v>
      </c>
      <c r="D226" s="80">
        <v>5</v>
      </c>
      <c r="E226" s="24">
        <f>Tabla1820[Transactions 
Complete]/Tabla1820[Total]</f>
        <v>1</v>
      </c>
      <c r="F226" s="80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0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86">
        <v>995</v>
      </c>
      <c r="D227" s="80">
        <v>888</v>
      </c>
      <c r="E227" s="24">
        <f>Tabla1820[Transactions 
Complete]/Tabla1820[Total]</f>
        <v>0.89246231155778899</v>
      </c>
      <c r="F227" s="80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0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86">
        <v>1022</v>
      </c>
      <c r="D228" s="80">
        <v>838</v>
      </c>
      <c r="E228" s="24">
        <f>Tabla1820[Transactions 
Complete]/Tabla1820[Total]</f>
        <v>0.81996086105675148</v>
      </c>
      <c r="F228" s="80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0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86">
        <v>447</v>
      </c>
      <c r="D229" s="80">
        <v>367</v>
      </c>
      <c r="E229" s="24">
        <f>Tabla1820[Transactions 
Complete]/Tabla1820[Total]</f>
        <v>0.82102908277404918</v>
      </c>
      <c r="F229" s="80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0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86">
        <v>750</v>
      </c>
      <c r="D230" s="80">
        <v>552</v>
      </c>
      <c r="E230" s="24">
        <f>Tabla1820[Transactions 
Complete]/Tabla1820[Total]</f>
        <v>0.73599999999999999</v>
      </c>
      <c r="F230" s="80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0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86">
        <v>432</v>
      </c>
      <c r="D231" s="80">
        <v>342</v>
      </c>
      <c r="E231" s="24">
        <f>Tabla1820[Transactions 
Complete]/Tabla1820[Total]</f>
        <v>0.79166666666666663</v>
      </c>
      <c r="F231" s="80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0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86">
        <v>139</v>
      </c>
      <c r="D232" s="80">
        <v>112</v>
      </c>
      <c r="E232" s="24">
        <f>Tabla1820[Transactions 
Complete]/Tabla1820[Total]</f>
        <v>0.80575539568345322</v>
      </c>
      <c r="F232" s="80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0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86">
        <v>5</v>
      </c>
      <c r="D233" s="80">
        <v>5</v>
      </c>
      <c r="E233" s="24">
        <f>Tabla1820[Transactions 
Complete]/Tabla1820[Total]</f>
        <v>1</v>
      </c>
      <c r="F233" s="80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0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0">
        <v>225</v>
      </c>
      <c r="D234" s="80">
        <v>195</v>
      </c>
      <c r="E234" s="24">
        <f>Tabla1820[Transactions 
Complete]/Tabla1820[Total]</f>
        <v>0.8666666666666667</v>
      </c>
      <c r="F234" s="80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0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0">
        <v>8055</v>
      </c>
      <c r="D235" s="80">
        <v>7234</v>
      </c>
      <c r="E235" s="24">
        <f>Tabla1820[Transactions 
Complete]/Tabla1820[Total]</f>
        <v>0.89807572936064561</v>
      </c>
      <c r="F235" s="80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0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0">
        <v>5142</v>
      </c>
      <c r="D236" s="80">
        <v>3399</v>
      </c>
      <c r="E236" s="24">
        <f>Tabla1820[Transactions 
Complete]/Tabla1820[Total]</f>
        <v>0.661026837806301</v>
      </c>
      <c r="F236" s="80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0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0">
        <v>3250</v>
      </c>
      <c r="D237" s="80">
        <v>1707</v>
      </c>
      <c r="E237" s="24">
        <f>Tabla1820[Transactions 
Complete]/Tabla1820[Total]</f>
        <v>0.52523076923076928</v>
      </c>
      <c r="F237" s="80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0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0">
        <v>2952</v>
      </c>
      <c r="D238" s="80">
        <v>1371</v>
      </c>
      <c r="E238" s="24">
        <f>Tabla1820[Transactions 
Complete]/Tabla1820[Total]</f>
        <v>0.46443089430894308</v>
      </c>
      <c r="F238" s="80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0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0">
        <v>1600</v>
      </c>
      <c r="D239" s="80">
        <v>468</v>
      </c>
      <c r="E239" s="24">
        <f>Tabla1820[Transactions 
Complete]/Tabla1820[Total]</f>
        <v>0.29249999999999998</v>
      </c>
      <c r="F239" s="80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0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0">
        <v>383</v>
      </c>
      <c r="D240" s="80">
        <v>38</v>
      </c>
      <c r="E240" s="24">
        <f>Tabla1820[Transactions 
Complete]/Tabla1820[Total]</f>
        <v>9.921671018276762E-2</v>
      </c>
      <c r="F240" s="80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0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3">
      <c r="B241" s="37">
        <v>43325</v>
      </c>
      <c r="C241" s="90">
        <v>4329</v>
      </c>
      <c r="D241" s="80">
        <v>2530</v>
      </c>
      <c r="E241" s="24">
        <f>Tabla1820[Transactions 
Complete]/Tabla1820[Total]</f>
        <v>0.58443058443058438</v>
      </c>
      <c r="F241" s="80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0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3">
      <c r="B242" s="37">
        <v>43326</v>
      </c>
      <c r="C242" s="90">
        <v>3937</v>
      </c>
      <c r="D242" s="80">
        <v>2115</v>
      </c>
      <c r="E242" s="24">
        <f>Tabla1820[Transactions 
Complete]/Tabla1820[Total]</f>
        <v>0.53721107442214888</v>
      </c>
      <c r="F242" s="80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0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3">
      <c r="B243" s="37">
        <v>43327</v>
      </c>
      <c r="C243" s="90">
        <v>4204</v>
      </c>
      <c r="D243" s="80">
        <v>3007</v>
      </c>
      <c r="E243" s="24">
        <f>Tabla1820[Transactions 
Complete]/Tabla1820[Total]</f>
        <v>0.71527117031398668</v>
      </c>
      <c r="F243" s="80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0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3">
      <c r="B244" s="37">
        <v>43328</v>
      </c>
      <c r="C244" s="90">
        <v>3825</v>
      </c>
      <c r="D244" s="80">
        <v>3096</v>
      </c>
      <c r="E244" s="24">
        <f>Tabla1820[Transactions 
Complete]/Tabla1820[Total]</f>
        <v>0.80941176470588239</v>
      </c>
      <c r="F244" s="80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0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3">
      <c r="B245" s="37">
        <v>43329</v>
      </c>
      <c r="C245" s="90">
        <v>2212</v>
      </c>
      <c r="D245" s="80">
        <v>1645</v>
      </c>
      <c r="E245" s="24">
        <f>Tabla1820[Transactions 
Complete]/Tabla1820[Total]</f>
        <v>0.74367088607594933</v>
      </c>
      <c r="F245" s="80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0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3">
      <c r="B246" s="37">
        <v>43330</v>
      </c>
      <c r="C246" s="90">
        <v>1173</v>
      </c>
      <c r="D246" s="80">
        <v>738</v>
      </c>
      <c r="E246" s="24">
        <f>Tabla1820[Transactions 
Complete]/Tabla1820[Total]</f>
        <v>0.62915601023017897</v>
      </c>
      <c r="F246" s="80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0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3">
      <c r="B247" s="37">
        <v>43331</v>
      </c>
      <c r="C247" s="90">
        <v>420</v>
      </c>
      <c r="D247" s="80">
        <v>181</v>
      </c>
      <c r="E247" s="24">
        <f>Tabla1820[Transactions 
Complete]/Tabla1820[Total]</f>
        <v>0.43095238095238098</v>
      </c>
      <c r="F247" s="80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0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3">
      <c r="B248" s="37">
        <v>43332</v>
      </c>
      <c r="C248" s="90">
        <v>5475</v>
      </c>
      <c r="D248" s="80">
        <v>4522</v>
      </c>
      <c r="E248" s="24">
        <f>Tabla1820[Transactions 
Complete]/Tabla1820[Total]</f>
        <v>0.82593607305936068</v>
      </c>
      <c r="F248" s="80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0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3">
      <c r="B249" s="37">
        <v>43333</v>
      </c>
      <c r="C249" s="90">
        <v>4801</v>
      </c>
      <c r="D249" s="80">
        <v>3992</v>
      </c>
      <c r="E249" s="24">
        <f>Tabla1820[Transactions 
Complete]/Tabla1820[Total]</f>
        <v>0.83149343886690275</v>
      </c>
      <c r="F249" s="80">
        <v>592</v>
      </c>
      <c r="G249" s="24">
        <f>Tabla1820[Transactions 
Failed]/Tabla1820[Total]</f>
        <v>0.12330764424078317</v>
      </c>
      <c r="H249" s="34">
        <v>0</v>
      </c>
      <c r="I249" s="24">
        <f>Tabla1820[Transactions 
In_Prog]/Tabla1820[Total]</f>
        <v>0</v>
      </c>
      <c r="J249" s="80">
        <v>217</v>
      </c>
      <c r="K249" s="24">
        <f>Tabla1820[Transactions 
Timeout]/Tabla1820[Total]</f>
        <v>4.5198916892314103E-2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3">
      <c r="B250" s="37">
        <v>43334</v>
      </c>
      <c r="C250" s="90">
        <v>6818</v>
      </c>
      <c r="D250" s="80">
        <v>4971</v>
      </c>
      <c r="E250" s="24">
        <f>Tabla1820[Transactions 
Complete]/Tabla1820[Total]</f>
        <v>0.72909944265180404</v>
      </c>
      <c r="F250" s="80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0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3">
      <c r="B251" s="37">
        <v>43335</v>
      </c>
      <c r="C251" s="90">
        <v>4859</v>
      </c>
      <c r="D251" s="80">
        <v>3846</v>
      </c>
      <c r="E251" s="24">
        <f>Tabla1820[Transactions 
Complete]/Tabla1820[Total]</f>
        <v>0.7915208890718255</v>
      </c>
      <c r="F251" s="80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0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3">
      <c r="B252" s="37">
        <v>43336</v>
      </c>
      <c r="C252" s="90">
        <v>3627</v>
      </c>
      <c r="D252" s="80">
        <v>2855</v>
      </c>
      <c r="E252" s="24">
        <f>Tabla1820[Transactions 
Complete]/Tabla1820[Total]</f>
        <v>0.78715191618417424</v>
      </c>
      <c r="F252" s="80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0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3">
      <c r="B253" s="37">
        <v>43337</v>
      </c>
      <c r="C253" s="90">
        <v>1478</v>
      </c>
      <c r="D253" s="80">
        <v>1159</v>
      </c>
      <c r="E253" s="24">
        <f>Tabla1820[Transactions 
Complete]/Tabla1820[Total]</f>
        <v>0.78416779431664407</v>
      </c>
      <c r="F253" s="80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0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3">
      <c r="B254" s="37">
        <v>43338</v>
      </c>
      <c r="C254" s="90">
        <v>285</v>
      </c>
      <c r="D254" s="80">
        <v>133</v>
      </c>
      <c r="E254" s="24">
        <f>Tabla1820[Transactions 
Complete]/Tabla1820[Total]</f>
        <v>0.46666666666666667</v>
      </c>
      <c r="F254" s="80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0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3">
      <c r="B255" s="37">
        <v>43339</v>
      </c>
      <c r="C255" s="90">
        <v>7202</v>
      </c>
      <c r="D255" s="80">
        <v>5933</v>
      </c>
      <c r="E255" s="24">
        <f>Tabla1820[Transactions 
Complete]/Tabla1820[Total]</f>
        <v>0.82379894473757287</v>
      </c>
      <c r="F255" s="80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0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3">
      <c r="B256" s="37">
        <v>43340</v>
      </c>
      <c r="C256" s="90">
        <v>6123</v>
      </c>
      <c r="D256" s="80">
        <v>4561</v>
      </c>
      <c r="E256" s="24">
        <f>Tabla1820[Transactions 
Complete]/Tabla1820[Total]</f>
        <v>0.74489629266699331</v>
      </c>
      <c r="F256" s="80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0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3">
      <c r="B257" s="37">
        <v>43341</v>
      </c>
      <c r="C257" s="90">
        <v>4330</v>
      </c>
      <c r="D257" s="80">
        <v>3113</v>
      </c>
      <c r="E257" s="24">
        <f>Tabla1820[Transactions 
Complete]/Tabla1820[Total]</f>
        <v>0.71893764434180141</v>
      </c>
      <c r="F257" s="80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0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3">
      <c r="B258" s="37">
        <v>43342</v>
      </c>
      <c r="C258" s="90">
        <v>5722</v>
      </c>
      <c r="D258" s="80">
        <v>4139</v>
      </c>
      <c r="E258" s="24">
        <f>Tabla1820[Transactions 
Complete]/Tabla1820[Total]</f>
        <v>0.72334847955260395</v>
      </c>
      <c r="F258" s="80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0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3">
      <c r="B259" s="37">
        <v>43343</v>
      </c>
      <c r="C259" s="90">
        <v>3093</v>
      </c>
      <c r="D259" s="80">
        <v>2317</v>
      </c>
      <c r="E259" s="24">
        <f>Tabla1820[Transactions 
Complete]/Tabla1820[Total]</f>
        <v>0.74911089557064336</v>
      </c>
      <c r="F259" s="80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0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3">
      <c r="B260" s="37">
        <v>43344</v>
      </c>
      <c r="C260" s="90">
        <v>1764</v>
      </c>
      <c r="D260" s="80">
        <v>1198</v>
      </c>
      <c r="E260" s="24">
        <f>Tabla1820[Transactions 
Complete]/Tabla1820[Total]</f>
        <v>0.67913832199546487</v>
      </c>
      <c r="F260" s="80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0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3">
      <c r="B261" s="37">
        <v>43345</v>
      </c>
      <c r="C261" s="90">
        <v>480</v>
      </c>
      <c r="D261" s="80">
        <v>171</v>
      </c>
      <c r="E261" s="24">
        <f>Tabla1820[Transactions 
Complete]/Tabla1820[Total]</f>
        <v>0.35625000000000001</v>
      </c>
      <c r="F261" s="80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0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3">
      <c r="B262" s="37">
        <v>43346</v>
      </c>
      <c r="C262" s="92">
        <v>5974</v>
      </c>
      <c r="D262" s="80">
        <v>4997</v>
      </c>
      <c r="E262" s="24">
        <f>Tabla1820[Transactions 
Complete]/Tabla1820[Total]</f>
        <v>0.83645798459993304</v>
      </c>
      <c r="F262" s="80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0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3">
      <c r="B263" s="37">
        <v>43347</v>
      </c>
      <c r="C263" s="92">
        <v>4156</v>
      </c>
      <c r="D263" s="80">
        <v>3294</v>
      </c>
      <c r="E263" s="24">
        <f>Tabla1820[Transactions 
Complete]/Tabla1820[Total]</f>
        <v>0.79258902791145336</v>
      </c>
      <c r="F263" s="80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0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3">
      <c r="B264" s="37">
        <v>43348</v>
      </c>
      <c r="C264" s="92">
        <v>6833</v>
      </c>
      <c r="D264" s="80">
        <v>5739</v>
      </c>
      <c r="E264" s="24">
        <f>Tabla1820[Transactions 
Complete]/Tabla1820[Total]</f>
        <v>0.83989462900629297</v>
      </c>
      <c r="F264" s="80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0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3">
      <c r="B265" s="37">
        <v>43349</v>
      </c>
      <c r="C265" s="80">
        <v>3328</v>
      </c>
      <c r="D265" s="80">
        <v>2604</v>
      </c>
      <c r="E265" s="24">
        <f>Tabla1820[Transactions 
Complete]/Tabla1820[Total]</f>
        <v>0.78245192307692313</v>
      </c>
      <c r="F265" s="80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0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3">
      <c r="B266" s="37">
        <v>43350</v>
      </c>
      <c r="C266" s="92">
        <v>2695</v>
      </c>
      <c r="D266" s="80">
        <v>1986</v>
      </c>
      <c r="E266" s="24">
        <f>Tabla1820[Transactions 
Complete]/Tabla1820[Total]</f>
        <v>0.7369202226345084</v>
      </c>
      <c r="F266" s="80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0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3">
      <c r="B267" s="37">
        <v>43351</v>
      </c>
      <c r="C267" s="92">
        <v>1610</v>
      </c>
      <c r="D267" s="80">
        <v>1163</v>
      </c>
      <c r="E267" s="24">
        <f>Tabla1820[Transactions 
Complete]/Tabla1820[Total]</f>
        <v>0.72236024844720492</v>
      </c>
      <c r="F267" s="80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0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3">
      <c r="B268" s="37">
        <v>43352</v>
      </c>
      <c r="C268" s="92">
        <v>358</v>
      </c>
      <c r="D268" s="80">
        <v>99</v>
      </c>
      <c r="E268" s="24">
        <f>Tabla1820[Transactions 
Complete]/Tabla1820[Total]</f>
        <v>0.27653631284916202</v>
      </c>
      <c r="F268" s="80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0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3">
      <c r="B269" s="37">
        <v>43353</v>
      </c>
      <c r="C269" s="92">
        <v>5974</v>
      </c>
      <c r="D269" s="80">
        <v>4809</v>
      </c>
      <c r="E269" s="24">
        <f>Tabla1820[Transactions 
Complete]/Tabla1820[Total]</f>
        <v>0.80498828255775023</v>
      </c>
      <c r="F269" s="80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0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3">
      <c r="B270" s="37">
        <v>43354</v>
      </c>
      <c r="C270" s="92">
        <v>2944</v>
      </c>
      <c r="D270" s="80">
        <v>2178</v>
      </c>
      <c r="E270" s="24">
        <f>Tabla1820[Transactions 
Complete]/Tabla1820[Total]</f>
        <v>0.73980978260869568</v>
      </c>
      <c r="F270" s="80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0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3">
      <c r="B271" s="37">
        <v>43355</v>
      </c>
      <c r="C271" s="92">
        <v>3126</v>
      </c>
      <c r="D271" s="80">
        <v>2311</v>
      </c>
      <c r="E271" s="24">
        <f>Tabla1820[Transactions 
Complete]/Tabla1820[Total]</f>
        <v>0.73928342930262314</v>
      </c>
      <c r="F271" s="80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0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3">
      <c r="B272" s="37">
        <v>43356</v>
      </c>
      <c r="C272" s="92">
        <v>4834</v>
      </c>
      <c r="D272" s="80">
        <v>4045</v>
      </c>
      <c r="E272" s="24">
        <f>Tabla1820[Transactions 
Complete]/Tabla1820[Total]</f>
        <v>0.83678113363673978</v>
      </c>
      <c r="F272" s="80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0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3">
      <c r="B273" s="37">
        <v>43357</v>
      </c>
      <c r="C273" s="92">
        <v>2637</v>
      </c>
      <c r="D273" s="80">
        <v>2032</v>
      </c>
      <c r="E273" s="24">
        <f>Tabla1820[Transactions 
Complete]/Tabla1820[Total]</f>
        <v>0.77057262040197194</v>
      </c>
      <c r="F273" s="80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0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3">
      <c r="B274" s="37">
        <v>43358</v>
      </c>
      <c r="C274" s="92">
        <v>1255</v>
      </c>
      <c r="D274" s="80">
        <v>858</v>
      </c>
      <c r="E274" s="24">
        <f>Tabla1820[Transactions 
Complete]/Tabla1820[Total]</f>
        <v>0.68366533864541834</v>
      </c>
      <c r="F274" s="80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0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3">
      <c r="B275" s="37">
        <v>43359</v>
      </c>
      <c r="C275" s="92">
        <v>379</v>
      </c>
      <c r="D275" s="80">
        <v>75</v>
      </c>
      <c r="E275" s="24">
        <f>Tabla1820[Transactions 
Complete]/Tabla1820[Total]</f>
        <v>0.19788918205804748</v>
      </c>
      <c r="F275" s="80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0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3">
      <c r="B276" s="37">
        <v>43360</v>
      </c>
      <c r="C276" s="92">
        <v>7611</v>
      </c>
      <c r="D276" s="80">
        <v>6299</v>
      </c>
      <c r="E276" s="24">
        <f>Tabla1820[Transactions 
Complete]/Tabla1820[Total]</f>
        <v>0.82761792142950996</v>
      </c>
      <c r="F276" s="80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0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3">
      <c r="B277" s="37">
        <v>43361</v>
      </c>
      <c r="C277" s="92">
        <v>3628</v>
      </c>
      <c r="D277" s="80">
        <v>2729</v>
      </c>
      <c r="E277" s="24">
        <f>Tabla1820[Transactions 
Complete]/Tabla1820[Total]</f>
        <v>0.75220507166482908</v>
      </c>
      <c r="F277" s="80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0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3">
      <c r="B278" s="37">
        <v>43362</v>
      </c>
      <c r="C278" s="92">
        <v>3294</v>
      </c>
      <c r="D278" s="80">
        <v>2537</v>
      </c>
      <c r="E278" s="24">
        <f>Tabla1820[Transactions 
Complete]/Tabla1820[Total]</f>
        <v>0.77018822100789319</v>
      </c>
      <c r="F278" s="80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0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3">
      <c r="B279" s="37">
        <v>43363</v>
      </c>
      <c r="C279" s="92">
        <v>4928</v>
      </c>
      <c r="D279" s="80">
        <v>3870</v>
      </c>
      <c r="E279" s="24">
        <f>Tabla1820[Transactions 
Complete]/Tabla1820[Total]</f>
        <v>0.78530844155844159</v>
      </c>
      <c r="F279" s="80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0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3">
      <c r="B280" s="37">
        <v>43364</v>
      </c>
      <c r="C280" s="92">
        <v>2375</v>
      </c>
      <c r="D280" s="80">
        <v>1634</v>
      </c>
      <c r="E280" s="24">
        <f>Tabla1820[Transactions 
Complete]/Tabla1820[Total]</f>
        <v>0.68799999999999994</v>
      </c>
      <c r="F280" s="80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0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3">
      <c r="B281" s="37">
        <v>43365</v>
      </c>
      <c r="C281" s="92">
        <v>1240</v>
      </c>
      <c r="D281" s="80">
        <v>779</v>
      </c>
      <c r="E281" s="24">
        <f>Tabla1820[Transactions 
Complete]/Tabla1820[Total]</f>
        <v>0.62822580645161286</v>
      </c>
      <c r="F281" s="80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0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3">
      <c r="B282" s="37">
        <v>43366</v>
      </c>
      <c r="C282" s="92">
        <v>557</v>
      </c>
      <c r="D282" s="80">
        <v>239</v>
      </c>
      <c r="E282" s="24">
        <f>Tabla1820[Transactions 
Complete]/Tabla1820[Total]</f>
        <v>0.42908438061041293</v>
      </c>
      <c r="F282" s="80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0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x14ac:dyDescent="0.3">
      <c r="B283" s="37">
        <v>43367</v>
      </c>
      <c r="C283" s="92">
        <v>5646</v>
      </c>
      <c r="D283" s="80">
        <v>4677</v>
      </c>
      <c r="E283" s="24">
        <f>Tabla1820[Transactions 
Complete]/Tabla1820[Total]</f>
        <v>0.8283740701381509</v>
      </c>
      <c r="F283" s="80">
        <v>554</v>
      </c>
      <c r="G283" s="24">
        <f>Tabla1820[Transactions 
Failed]/Tabla1820[Total]</f>
        <v>9.8122564647538074E-2</v>
      </c>
      <c r="H283" s="34">
        <v>0</v>
      </c>
      <c r="I283" s="24">
        <f>Tabla1820[Transactions 
In_Prog]/Tabla1820[Total]</f>
        <v>0</v>
      </c>
      <c r="J283" s="80">
        <v>415</v>
      </c>
      <c r="K283" s="24">
        <f>Tabla1820[Transactions 
Timeout]/Tabla1820[Total]</f>
        <v>7.3503365214311014E-2</v>
      </c>
      <c r="L283" s="34">
        <v>0</v>
      </c>
      <c r="M283" s="24">
        <f>Tabla1820[Transactions
Trans Fail]/Tabla1820[Total]</f>
        <v>0</v>
      </c>
    </row>
    <row r="284" spans="2:13" s="33" customFormat="1" x14ac:dyDescent="0.3">
      <c r="B284" s="37">
        <v>43368</v>
      </c>
      <c r="C284" s="92">
        <v>3484</v>
      </c>
      <c r="D284" s="80">
        <v>2634</v>
      </c>
      <c r="E284" s="24">
        <f>Tabla1820[Transactions 
Complete]/Tabla1820[Total]</f>
        <v>0.75602755453501724</v>
      </c>
      <c r="F284" s="80">
        <v>461</v>
      </c>
      <c r="G284" s="24">
        <f>Tabla1820[Transactions 
Failed]/Tabla1820[Total]</f>
        <v>0.13231917336394949</v>
      </c>
      <c r="H284" s="34">
        <v>0</v>
      </c>
      <c r="I284" s="24">
        <f>Tabla1820[Transactions 
In_Prog]/Tabla1820[Total]</f>
        <v>0</v>
      </c>
      <c r="J284" s="80">
        <v>389</v>
      </c>
      <c r="K284" s="24">
        <f>Tabla1820[Transactions 
Timeout]/Tabla1820[Total]</f>
        <v>0.11165327210103329</v>
      </c>
      <c r="L284" s="34">
        <v>0</v>
      </c>
      <c r="M284" s="24">
        <f>Tabla1820[Transactions
Trans Fail]/Tabla1820[Total]</f>
        <v>0</v>
      </c>
    </row>
    <row r="285" spans="2:13" s="33" customFormat="1" x14ac:dyDescent="0.3">
      <c r="B285" s="37">
        <v>43369</v>
      </c>
      <c r="C285" s="92">
        <v>3639</v>
      </c>
      <c r="D285" s="80">
        <v>2773</v>
      </c>
      <c r="E285" s="24">
        <f>Tabla1820[Transactions 
Complete]/Tabla1820[Total]</f>
        <v>0.76202253366309425</v>
      </c>
      <c r="F285" s="80">
        <v>484</v>
      </c>
      <c r="G285" s="24">
        <f>Tabla1820[Transactions 
Failed]/Tabla1820[Total]</f>
        <v>0.13300357241000274</v>
      </c>
      <c r="H285" s="34">
        <v>0</v>
      </c>
      <c r="I285" s="24">
        <f>Tabla1820[Transactions 
In_Prog]/Tabla1820[Total]</f>
        <v>0</v>
      </c>
      <c r="J285" s="80">
        <v>382</v>
      </c>
      <c r="K285" s="24">
        <f>Tabla1820[Transactions 
Timeout]/Tabla1820[Total]</f>
        <v>0.104973893926903</v>
      </c>
      <c r="L285" s="34">
        <v>0</v>
      </c>
      <c r="M285" s="24">
        <f>Tabla1820[Transactions
Trans Fail]/Tabla1820[Total]</f>
        <v>0</v>
      </c>
    </row>
    <row r="286" spans="2:13" s="33" customFormat="1" x14ac:dyDescent="0.3">
      <c r="B286" s="37">
        <v>43370</v>
      </c>
      <c r="C286" s="92">
        <v>3765</v>
      </c>
      <c r="D286" s="80">
        <v>2914</v>
      </c>
      <c r="E286" s="24">
        <f>Tabla1820[Transactions 
Complete]/Tabla1820[Total]</f>
        <v>0.77397078353253657</v>
      </c>
      <c r="F286" s="80">
        <v>564</v>
      </c>
      <c r="G286" s="24">
        <f>Tabla1820[Transactions 
Failed]/Tabla1820[Total]</f>
        <v>0.14980079681274899</v>
      </c>
      <c r="H286" s="34">
        <v>0</v>
      </c>
      <c r="I286" s="24">
        <f>Tabla1820[Transactions 
In_Prog]/Tabla1820[Total]</f>
        <v>0</v>
      </c>
      <c r="J286" s="80">
        <v>287</v>
      </c>
      <c r="K286" s="24">
        <f>Tabla1820[Transactions 
Timeout]/Tabla1820[Total]</f>
        <v>7.6228419654714469E-2</v>
      </c>
      <c r="L286" s="34">
        <v>0</v>
      </c>
      <c r="M286" s="24">
        <f>Tabla1820[Transactions
Trans Fail]/Tabla1820[Total]</f>
        <v>0</v>
      </c>
    </row>
    <row r="287" spans="2:13" s="33" customFormat="1" x14ac:dyDescent="0.3">
      <c r="B287" s="37">
        <v>43371</v>
      </c>
      <c r="C287" s="92">
        <v>2426</v>
      </c>
      <c r="D287" s="80">
        <v>2185</v>
      </c>
      <c r="E287" s="24">
        <f>Tabla1820[Transactions 
Complete]/Tabla1820[Total]</f>
        <v>0.9006595218466612</v>
      </c>
      <c r="F287" s="80">
        <v>195</v>
      </c>
      <c r="G287" s="24">
        <f>Tabla1820[Transactions 
Failed]/Tabla1820[Total]</f>
        <v>8.0379225061830178E-2</v>
      </c>
      <c r="H287" s="34">
        <v>8</v>
      </c>
      <c r="I287" s="24">
        <f>Tabla1820[Transactions 
In_Prog]/Tabla1820[Total]</f>
        <v>3.2976092333058533E-3</v>
      </c>
      <c r="J287" s="80">
        <v>29</v>
      </c>
      <c r="K287" s="24">
        <f>Tabla1820[Transactions 
Timeout]/Tabla1820[Total]</f>
        <v>1.1953833470733718E-2</v>
      </c>
      <c r="L287" s="34">
        <v>0</v>
      </c>
      <c r="M287" s="24">
        <f>Tabla1820[Transactions
Trans Fail]/Tabla1820[Total]</f>
        <v>0</v>
      </c>
    </row>
    <row r="288" spans="2:13" s="33" customFormat="1" x14ac:dyDescent="0.3">
      <c r="B288" s="37">
        <v>43372</v>
      </c>
      <c r="C288" s="92">
        <v>2203</v>
      </c>
      <c r="D288" s="80">
        <v>1419</v>
      </c>
      <c r="E288" s="24">
        <f>Tabla1820[Transactions 
Complete]/Tabla1820[Total]</f>
        <v>0.64412165229232865</v>
      </c>
      <c r="F288" s="80">
        <v>540</v>
      </c>
      <c r="G288" s="24">
        <f>Tabla1820[Transactions 
Failed]/Tabla1820[Total]</f>
        <v>0.24512029051293691</v>
      </c>
      <c r="H288" s="34">
        <v>0</v>
      </c>
      <c r="I288" s="24">
        <f>Tabla1820[Transactions 
In_Prog]/Tabla1820[Total]</f>
        <v>0</v>
      </c>
      <c r="J288" s="80">
        <v>244</v>
      </c>
      <c r="K288" s="24">
        <f>Tabla1820[Transactions 
Timeout]/Tabla1820[Total]</f>
        <v>0.11075805719473446</v>
      </c>
      <c r="L288" s="34">
        <v>0</v>
      </c>
      <c r="M288" s="24">
        <f>Tabla1820[Transactions
Trans Fail]/Tabla1820[Total]</f>
        <v>0</v>
      </c>
    </row>
    <row r="289" spans="2:13" s="33" customFormat="1" x14ac:dyDescent="0.3">
      <c r="B289" s="37">
        <v>43373</v>
      </c>
      <c r="C289" s="92">
        <v>451</v>
      </c>
      <c r="D289" s="80">
        <v>190</v>
      </c>
      <c r="E289" s="24">
        <f>Tabla1820[Transactions 
Complete]/Tabla1820[Total]</f>
        <v>0.42128603104212858</v>
      </c>
      <c r="F289" s="80">
        <v>22</v>
      </c>
      <c r="G289" s="24">
        <f>Tabla1820[Transactions 
Failed]/Tabla1820[Total]</f>
        <v>4.878048780487805E-2</v>
      </c>
      <c r="H289" s="34">
        <v>0</v>
      </c>
      <c r="I289" s="24">
        <f>Tabla1820[Transactions 
In_Prog]/Tabla1820[Total]</f>
        <v>0</v>
      </c>
      <c r="J289" s="80">
        <v>239</v>
      </c>
      <c r="K289" s="24">
        <f>Tabla1820[Transactions 
Timeout]/Tabla1820[Total]</f>
        <v>0.52993348115299332</v>
      </c>
      <c r="L289" s="34">
        <v>0</v>
      </c>
      <c r="M289" s="24">
        <f>Tabla1820[Transactions
Trans Fail]/Tabla1820[Total]</f>
        <v>0</v>
      </c>
    </row>
    <row r="290" spans="2:13" ht="24" x14ac:dyDescent="0.3">
      <c r="B290" s="93" t="s">
        <v>26</v>
      </c>
      <c r="C290" s="94">
        <f>SUM(C283:C289)</f>
        <v>21614</v>
      </c>
      <c r="D290" s="94">
        <f>SUM(D283:D289)</f>
        <v>16792</v>
      </c>
      <c r="E290" s="95">
        <f>AVERAGE(E283:E289)</f>
        <v>0.72663744957855958</v>
      </c>
      <c r="F290" s="94">
        <f>SUM(F283:F289)</f>
        <v>2820</v>
      </c>
      <c r="G290" s="95">
        <f>AVERAGE(G283:G289)</f>
        <v>0.12678944437341208</v>
      </c>
      <c r="H290" s="94">
        <f>SUM(H283:H289)</f>
        <v>8</v>
      </c>
      <c r="I290" s="95">
        <f>AVERAGE(I283:I289)</f>
        <v>4.7108703332940762E-4</v>
      </c>
      <c r="J290" s="94">
        <f>SUM(J283:J289)</f>
        <v>1985</v>
      </c>
      <c r="K290" s="95">
        <f>AVERAGE(K283:K289)</f>
        <v>0.14557204610220334</v>
      </c>
      <c r="L290" s="94">
        <f>SUM(L283:L289)</f>
        <v>0</v>
      </c>
      <c r="M290" s="95">
        <f>AVERAGE(M283:M289)</f>
        <v>0</v>
      </c>
    </row>
    <row r="291" spans="2:13" x14ac:dyDescent="0.3">
      <c r="D291" s="1"/>
    </row>
    <row r="292" spans="2:13" x14ac:dyDescent="0.3">
      <c r="D292" s="1"/>
    </row>
    <row r="293" spans="2:13" x14ac:dyDescent="0.3">
      <c r="D293" s="1"/>
    </row>
    <row r="294" spans="2:13" x14ac:dyDescent="0.3">
      <c r="D294" s="1"/>
    </row>
    <row r="295" spans="2:13" x14ac:dyDescent="0.3">
      <c r="D295" s="1"/>
    </row>
    <row r="296" spans="2:13" x14ac:dyDescent="0.3">
      <c r="D296" s="1"/>
    </row>
    <row r="297" spans="2:13" x14ac:dyDescent="0.3">
      <c r="D297" s="1"/>
    </row>
    <row r="298" spans="2:13" x14ac:dyDescent="0.3">
      <c r="D298" s="1"/>
    </row>
    <row r="299" spans="2:13" x14ac:dyDescent="0.3">
      <c r="D299" s="1"/>
    </row>
    <row r="300" spans="2:13" x14ac:dyDescent="0.3">
      <c r="D300" s="1"/>
    </row>
    <row r="301" spans="2:13" x14ac:dyDescent="0.3">
      <c r="D301" s="1"/>
    </row>
    <row r="302" spans="2:13" x14ac:dyDescent="0.3">
      <c r="D302" s="1"/>
    </row>
    <row r="303" spans="2:13" x14ac:dyDescent="0.3">
      <c r="D303" s="1"/>
    </row>
    <row r="304" spans="2:13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15A0-93FB-45BA-87D1-3D97682A114A}">
  <dimension ref="B3:M33"/>
  <sheetViews>
    <sheetView topLeftCell="A15" zoomScale="80" zoomScaleNormal="80" workbookViewId="0">
      <selection activeCell="F38" sqref="F38"/>
    </sheetView>
  </sheetViews>
  <sheetFormatPr baseColWidth="10" defaultRowHeight="14.4" x14ac:dyDescent="0.3"/>
  <sheetData>
    <row r="3" spans="2:13" x14ac:dyDescent="0.3">
      <c r="B3" s="105">
        <v>43344</v>
      </c>
      <c r="C3" s="98">
        <v>1764</v>
      </c>
      <c r="D3" s="106">
        <v>1198</v>
      </c>
      <c r="E3" s="99">
        <f>D3/C3</f>
        <v>0.67913832199546487</v>
      </c>
      <c r="F3" s="106">
        <v>236</v>
      </c>
      <c r="G3" s="99">
        <f>F3/C3</f>
        <v>0.13378684807256236</v>
      </c>
      <c r="H3" s="107">
        <v>0</v>
      </c>
      <c r="I3" s="99">
        <f>H3/C3</f>
        <v>0</v>
      </c>
      <c r="J3" s="106">
        <v>330</v>
      </c>
      <c r="K3" s="99">
        <f>J3/C3</f>
        <v>0.1870748299319728</v>
      </c>
      <c r="L3" s="107">
        <v>0</v>
      </c>
      <c r="M3" s="104">
        <f>L3/C3</f>
        <v>0</v>
      </c>
    </row>
    <row r="4" spans="2:13" x14ac:dyDescent="0.3">
      <c r="B4" s="100">
        <v>43345</v>
      </c>
      <c r="C4" s="101">
        <v>480</v>
      </c>
      <c r="D4" s="102">
        <v>171</v>
      </c>
      <c r="E4" s="99">
        <f t="shared" ref="E4:E16" si="0">D4/C4</f>
        <v>0.35625000000000001</v>
      </c>
      <c r="F4" s="102">
        <v>25</v>
      </c>
      <c r="G4" s="99">
        <f t="shared" ref="G4:G16" si="1">F4/C4</f>
        <v>5.2083333333333336E-2</v>
      </c>
      <c r="H4" s="103">
        <v>0</v>
      </c>
      <c r="I4" s="99">
        <f t="shared" ref="I4:I16" si="2">H4/C4</f>
        <v>0</v>
      </c>
      <c r="J4" s="102">
        <v>284</v>
      </c>
      <c r="K4" s="99">
        <f t="shared" ref="K4:K16" si="3">J4/C4</f>
        <v>0.59166666666666667</v>
      </c>
      <c r="L4" s="103">
        <v>0</v>
      </c>
      <c r="M4" s="104">
        <f t="shared" ref="M4:M16" si="4">L4/C4</f>
        <v>0</v>
      </c>
    </row>
    <row r="5" spans="2:13" x14ac:dyDescent="0.3">
      <c r="B5" s="105">
        <v>43346</v>
      </c>
      <c r="C5" s="98">
        <v>5974</v>
      </c>
      <c r="D5" s="106">
        <v>4997</v>
      </c>
      <c r="E5" s="99">
        <f t="shared" si="0"/>
        <v>0.83645798459993304</v>
      </c>
      <c r="F5" s="106">
        <v>802</v>
      </c>
      <c r="G5" s="99">
        <f t="shared" si="1"/>
        <v>0.13424840977569469</v>
      </c>
      <c r="H5" s="107">
        <v>0</v>
      </c>
      <c r="I5" s="99">
        <f t="shared" si="2"/>
        <v>0</v>
      </c>
      <c r="J5" s="106">
        <v>175</v>
      </c>
      <c r="K5" s="99">
        <f t="shared" si="3"/>
        <v>2.929360562437228E-2</v>
      </c>
      <c r="L5" s="107">
        <v>0</v>
      </c>
      <c r="M5" s="104">
        <f t="shared" si="4"/>
        <v>0</v>
      </c>
    </row>
    <row r="6" spans="2:13" x14ac:dyDescent="0.3">
      <c r="B6" s="100">
        <v>43347</v>
      </c>
      <c r="C6" s="101">
        <v>4156</v>
      </c>
      <c r="D6" s="102">
        <v>3294</v>
      </c>
      <c r="E6" s="99">
        <f t="shared" si="0"/>
        <v>0.79258902791145336</v>
      </c>
      <c r="F6" s="102">
        <v>540</v>
      </c>
      <c r="G6" s="99">
        <f t="shared" si="1"/>
        <v>0.12993262752646775</v>
      </c>
      <c r="H6" s="103">
        <v>0</v>
      </c>
      <c r="I6" s="99">
        <f t="shared" si="2"/>
        <v>0</v>
      </c>
      <c r="J6" s="102">
        <v>322</v>
      </c>
      <c r="K6" s="99">
        <f t="shared" si="3"/>
        <v>7.7478344562078916E-2</v>
      </c>
      <c r="L6" s="103">
        <v>0</v>
      </c>
      <c r="M6" s="104">
        <f t="shared" si="4"/>
        <v>0</v>
      </c>
    </row>
    <row r="7" spans="2:13" x14ac:dyDescent="0.3">
      <c r="B7" s="105">
        <v>43348</v>
      </c>
      <c r="C7" s="98">
        <v>6833</v>
      </c>
      <c r="D7" s="106">
        <v>5739</v>
      </c>
      <c r="E7" s="99">
        <f t="shared" si="0"/>
        <v>0.83989462900629297</v>
      </c>
      <c r="F7" s="106">
        <v>850</v>
      </c>
      <c r="G7" s="99">
        <f t="shared" si="1"/>
        <v>0.12439631201522025</v>
      </c>
      <c r="H7" s="107">
        <v>0</v>
      </c>
      <c r="I7" s="99">
        <f t="shared" si="2"/>
        <v>0</v>
      </c>
      <c r="J7" s="106">
        <v>244</v>
      </c>
      <c r="K7" s="99">
        <f t="shared" si="3"/>
        <v>3.5709058978486759E-2</v>
      </c>
      <c r="L7" s="107">
        <v>0</v>
      </c>
      <c r="M7" s="104">
        <f t="shared" si="4"/>
        <v>0</v>
      </c>
    </row>
    <row r="8" spans="2:13" x14ac:dyDescent="0.3">
      <c r="B8" s="100">
        <v>43349</v>
      </c>
      <c r="C8" s="102">
        <v>3328</v>
      </c>
      <c r="D8" s="102">
        <v>2604</v>
      </c>
      <c r="E8" s="99">
        <f t="shared" si="0"/>
        <v>0.78245192307692313</v>
      </c>
      <c r="F8" s="102">
        <v>401</v>
      </c>
      <c r="G8" s="99">
        <f t="shared" si="1"/>
        <v>0.12049278846153846</v>
      </c>
      <c r="H8" s="103">
        <v>0</v>
      </c>
      <c r="I8" s="99">
        <f t="shared" si="2"/>
        <v>0</v>
      </c>
      <c r="J8" s="102">
        <v>323</v>
      </c>
      <c r="K8" s="99">
        <f t="shared" si="3"/>
        <v>9.7055288461538464E-2</v>
      </c>
      <c r="L8" s="103">
        <v>0</v>
      </c>
      <c r="M8" s="104">
        <f t="shared" si="4"/>
        <v>0</v>
      </c>
    </row>
    <row r="9" spans="2:13" x14ac:dyDescent="0.3">
      <c r="B9" s="105">
        <v>43350</v>
      </c>
      <c r="C9" s="98">
        <v>2695</v>
      </c>
      <c r="D9" s="106">
        <v>1986</v>
      </c>
      <c r="E9" s="99">
        <f t="shared" si="0"/>
        <v>0.7369202226345084</v>
      </c>
      <c r="F9" s="106">
        <v>403</v>
      </c>
      <c r="G9" s="99">
        <f t="shared" si="1"/>
        <v>0.14953617810760667</v>
      </c>
      <c r="H9" s="107">
        <v>0</v>
      </c>
      <c r="I9" s="99">
        <f t="shared" si="2"/>
        <v>0</v>
      </c>
      <c r="J9" s="106">
        <v>306</v>
      </c>
      <c r="K9" s="99">
        <f t="shared" si="3"/>
        <v>0.11354359925788497</v>
      </c>
      <c r="L9" s="107">
        <v>0</v>
      </c>
      <c r="M9" s="104">
        <f t="shared" si="4"/>
        <v>0</v>
      </c>
    </row>
    <row r="10" spans="2:13" x14ac:dyDescent="0.3">
      <c r="B10" s="100">
        <v>43351</v>
      </c>
      <c r="C10" s="101">
        <v>1610</v>
      </c>
      <c r="D10" s="102">
        <v>1163</v>
      </c>
      <c r="E10" s="99">
        <f t="shared" si="0"/>
        <v>0.72236024844720492</v>
      </c>
      <c r="F10" s="102">
        <v>205</v>
      </c>
      <c r="G10" s="99">
        <f t="shared" si="1"/>
        <v>0.12732919254658384</v>
      </c>
      <c r="H10" s="103">
        <v>0</v>
      </c>
      <c r="I10" s="99">
        <f t="shared" si="2"/>
        <v>0</v>
      </c>
      <c r="J10" s="102">
        <v>242</v>
      </c>
      <c r="K10" s="99">
        <f t="shared" si="3"/>
        <v>0.15031055900621118</v>
      </c>
      <c r="L10" s="103">
        <v>0</v>
      </c>
      <c r="M10" s="104">
        <f t="shared" si="4"/>
        <v>0</v>
      </c>
    </row>
    <row r="11" spans="2:13" x14ac:dyDescent="0.3">
      <c r="B11" s="105">
        <v>43352</v>
      </c>
      <c r="C11" s="98">
        <v>358</v>
      </c>
      <c r="D11" s="106">
        <v>99</v>
      </c>
      <c r="E11" s="99">
        <f t="shared" si="0"/>
        <v>0.27653631284916202</v>
      </c>
      <c r="F11" s="106">
        <v>17</v>
      </c>
      <c r="G11" s="99">
        <f t="shared" si="1"/>
        <v>4.7486033519553071E-2</v>
      </c>
      <c r="H11" s="107">
        <v>0</v>
      </c>
      <c r="I11" s="99">
        <f t="shared" si="2"/>
        <v>0</v>
      </c>
      <c r="J11" s="106">
        <v>242</v>
      </c>
      <c r="K11" s="99">
        <f t="shared" si="3"/>
        <v>0.67597765363128492</v>
      </c>
      <c r="L11" s="107">
        <v>0</v>
      </c>
      <c r="M11" s="104">
        <f t="shared" si="4"/>
        <v>0</v>
      </c>
    </row>
    <row r="12" spans="2:13" x14ac:dyDescent="0.3">
      <c r="B12" s="100">
        <v>43353</v>
      </c>
      <c r="C12" s="101">
        <v>5974</v>
      </c>
      <c r="D12" s="102">
        <v>4809</v>
      </c>
      <c r="E12" s="99">
        <f t="shared" si="0"/>
        <v>0.80498828255775023</v>
      </c>
      <c r="F12" s="102">
        <v>905</v>
      </c>
      <c r="G12" s="99">
        <f t="shared" si="1"/>
        <v>0.15148978908603949</v>
      </c>
      <c r="H12" s="103">
        <v>0</v>
      </c>
      <c r="I12" s="99">
        <f t="shared" si="2"/>
        <v>0</v>
      </c>
      <c r="J12" s="102">
        <v>260</v>
      </c>
      <c r="K12" s="99">
        <f t="shared" si="3"/>
        <v>4.3521928356210243E-2</v>
      </c>
      <c r="L12" s="103">
        <v>0</v>
      </c>
      <c r="M12" s="104">
        <f t="shared" si="4"/>
        <v>0</v>
      </c>
    </row>
    <row r="13" spans="2:13" x14ac:dyDescent="0.3">
      <c r="B13" s="105">
        <v>43354</v>
      </c>
      <c r="C13" s="98">
        <v>2944</v>
      </c>
      <c r="D13" s="106">
        <v>2178</v>
      </c>
      <c r="E13" s="99">
        <f t="shared" si="0"/>
        <v>0.73980978260869568</v>
      </c>
      <c r="F13" s="106">
        <v>433</v>
      </c>
      <c r="G13" s="99">
        <f t="shared" si="1"/>
        <v>0.14707880434782608</v>
      </c>
      <c r="H13" s="107">
        <v>0</v>
      </c>
      <c r="I13" s="99">
        <f t="shared" si="2"/>
        <v>0</v>
      </c>
      <c r="J13" s="106">
        <v>333</v>
      </c>
      <c r="K13" s="99">
        <f t="shared" si="3"/>
        <v>0.11311141304347826</v>
      </c>
      <c r="L13" s="107">
        <v>0</v>
      </c>
      <c r="M13" s="104">
        <f t="shared" si="4"/>
        <v>0</v>
      </c>
    </row>
    <row r="14" spans="2:13" x14ac:dyDescent="0.3">
      <c r="B14" s="100">
        <v>43355</v>
      </c>
      <c r="C14" s="101">
        <v>3126</v>
      </c>
      <c r="D14" s="102">
        <v>2311</v>
      </c>
      <c r="E14" s="99">
        <f t="shared" si="0"/>
        <v>0.73928342930262314</v>
      </c>
      <c r="F14" s="102">
        <v>511</v>
      </c>
      <c r="G14" s="99">
        <f t="shared" si="1"/>
        <v>0.1634676903390915</v>
      </c>
      <c r="H14" s="103">
        <v>0</v>
      </c>
      <c r="I14" s="99">
        <f t="shared" si="2"/>
        <v>0</v>
      </c>
      <c r="J14" s="102">
        <v>304</v>
      </c>
      <c r="K14" s="99">
        <f t="shared" si="3"/>
        <v>9.7248880358285356E-2</v>
      </c>
      <c r="L14" s="103">
        <v>0</v>
      </c>
      <c r="M14" s="104">
        <f t="shared" si="4"/>
        <v>0</v>
      </c>
    </row>
    <row r="15" spans="2:13" x14ac:dyDescent="0.3">
      <c r="B15" s="105">
        <v>43356</v>
      </c>
      <c r="C15" s="98">
        <v>4834</v>
      </c>
      <c r="D15" s="106">
        <v>4045</v>
      </c>
      <c r="E15" s="99">
        <f t="shared" si="0"/>
        <v>0.83678113363673978</v>
      </c>
      <c r="F15" s="106">
        <v>448</v>
      </c>
      <c r="G15" s="99">
        <f t="shared" si="1"/>
        <v>9.2676872155564749E-2</v>
      </c>
      <c r="H15" s="107">
        <v>0</v>
      </c>
      <c r="I15" s="99">
        <f t="shared" si="2"/>
        <v>0</v>
      </c>
      <c r="J15" s="106">
        <v>341</v>
      </c>
      <c r="K15" s="99">
        <f t="shared" si="3"/>
        <v>7.0541994207695496E-2</v>
      </c>
      <c r="L15" s="107">
        <v>0</v>
      </c>
      <c r="M15" s="104">
        <f t="shared" si="4"/>
        <v>0</v>
      </c>
    </row>
    <row r="16" spans="2:13" x14ac:dyDescent="0.3">
      <c r="B16" s="100">
        <v>43357</v>
      </c>
      <c r="C16" s="101">
        <v>2637</v>
      </c>
      <c r="D16" s="102">
        <v>2032</v>
      </c>
      <c r="E16" s="99">
        <f t="shared" si="0"/>
        <v>0.77057262040197194</v>
      </c>
      <c r="F16" s="102">
        <v>311</v>
      </c>
      <c r="G16" s="99">
        <f t="shared" si="1"/>
        <v>0.11793704967766401</v>
      </c>
      <c r="H16" s="103">
        <v>0</v>
      </c>
      <c r="I16" s="99">
        <f t="shared" si="2"/>
        <v>0</v>
      </c>
      <c r="J16" s="102">
        <v>294</v>
      </c>
      <c r="K16" s="99">
        <f t="shared" si="3"/>
        <v>0.11149032992036405</v>
      </c>
      <c r="L16" s="103">
        <v>0</v>
      </c>
      <c r="M16" s="104">
        <f t="shared" si="4"/>
        <v>0</v>
      </c>
    </row>
    <row r="17" spans="2:13" x14ac:dyDescent="0.3">
      <c r="B17" s="105">
        <v>43358</v>
      </c>
      <c r="C17" s="98">
        <v>1255</v>
      </c>
      <c r="D17" s="106">
        <v>858</v>
      </c>
      <c r="E17" s="99">
        <f>Tabla1820[Transactions 
Complete]/Tabla1820[Total]</f>
        <v>0.35202086049543679</v>
      </c>
      <c r="F17" s="106">
        <v>104</v>
      </c>
      <c r="G17" s="99">
        <f>Tabla1820[Transactions 
Failed]/Tabla1820[Total]</f>
        <v>6.2581486310299875E-2</v>
      </c>
      <c r="H17" s="107">
        <v>0</v>
      </c>
      <c r="I17" s="99">
        <f>Tabla1820[Transactions 
In_Prog]/Tabla1820[Total]</f>
        <v>0</v>
      </c>
      <c r="J17" s="106">
        <v>293</v>
      </c>
      <c r="K17" s="99">
        <f>Tabla1820[Transactions 
Timeout]/Tabla1820[Total]</f>
        <v>0.5853976531942634</v>
      </c>
      <c r="L17" s="107">
        <v>0</v>
      </c>
      <c r="M17" s="104">
        <f>Tabla1820[Transactions
Trans Fail]/Tabla1820[Total]</f>
        <v>0</v>
      </c>
    </row>
    <row r="18" spans="2:13" x14ac:dyDescent="0.3">
      <c r="B18" s="100">
        <v>43359</v>
      </c>
      <c r="C18" s="101">
        <v>379</v>
      </c>
      <c r="D18" s="102">
        <v>75</v>
      </c>
      <c r="E18" s="99">
        <f>Tabla1820[Transactions 
Complete]/Tabla1820[Total]</f>
        <v>0.83809290354210075</v>
      </c>
      <c r="F18" s="102">
        <v>18</v>
      </c>
      <c r="G18" s="99">
        <f>Tabla1820[Transactions 
Failed]/Tabla1820[Total]</f>
        <v>0.14940556440740288</v>
      </c>
      <c r="H18" s="103">
        <v>0</v>
      </c>
      <c r="I18" s="99">
        <f>Tabla1820[Transactions 
In_Prog]/Tabla1820[Total]</f>
        <v>0</v>
      </c>
      <c r="J18" s="102">
        <v>286</v>
      </c>
      <c r="K18" s="99">
        <f>Tabla1820[Transactions 
Timeout]/Tabla1820[Total]</f>
        <v>1.2501532050496384E-2</v>
      </c>
      <c r="L18" s="103">
        <v>0</v>
      </c>
      <c r="M18" s="104">
        <f>Tabla1820[Transactions
Trans Fail]/Tabla1820[Total]</f>
        <v>0</v>
      </c>
    </row>
    <row r="19" spans="2:13" x14ac:dyDescent="0.3">
      <c r="B19" s="105">
        <v>43360</v>
      </c>
      <c r="C19" s="98">
        <v>7611</v>
      </c>
      <c r="D19" s="106">
        <v>6299</v>
      </c>
      <c r="E19" s="99">
        <f>Tabla1820[Transactions 
Complete]/Tabla1820[Total]</f>
        <v>0.88643982567884683</v>
      </c>
      <c r="F19" s="106">
        <v>981</v>
      </c>
      <c r="G19" s="99">
        <f>Tabla1820[Transactions 
Failed]/Tabla1820[Total]</f>
        <v>0.10526315789473684</v>
      </c>
      <c r="H19" s="107">
        <v>0</v>
      </c>
      <c r="I19" s="99">
        <f>Tabla1820[Transactions 
In_Prog]/Tabla1820[Total]</f>
        <v>0</v>
      </c>
      <c r="J19" s="106">
        <v>331</v>
      </c>
      <c r="K19" s="99">
        <f>Tabla1820[Transactions 
Timeout]/Tabla1820[Total]</f>
        <v>8.2970164264163596E-3</v>
      </c>
      <c r="L19" s="107">
        <v>0</v>
      </c>
      <c r="M19" s="104">
        <f>Tabla1820[Transactions
Trans Fail]/Tabla1820[Total]</f>
        <v>0</v>
      </c>
    </row>
    <row r="20" spans="2:13" x14ac:dyDescent="0.3">
      <c r="B20" s="100">
        <v>43361</v>
      </c>
      <c r="C20" s="101">
        <v>3628</v>
      </c>
      <c r="D20" s="102">
        <v>2729</v>
      </c>
      <c r="E20" s="99">
        <f>Tabla1820[Transactions 
Complete]/Tabla1820[Total]</f>
        <v>0.75752773375594296</v>
      </c>
      <c r="F20" s="102">
        <v>536</v>
      </c>
      <c r="G20" s="99">
        <f>Tabla1820[Transactions 
Failed]/Tabla1820[Total]</f>
        <v>0.17393026941362916</v>
      </c>
      <c r="H20" s="103">
        <v>0</v>
      </c>
      <c r="I20" s="99">
        <f>Tabla1820[Transactions 
In_Prog]/Tabla1820[Total]</f>
        <v>0</v>
      </c>
      <c r="J20" s="102">
        <v>363</v>
      </c>
      <c r="K20" s="99">
        <f>Tabla1820[Transactions 
Timeout]/Tabla1820[Total]</f>
        <v>6.8541996830427887E-2</v>
      </c>
      <c r="L20" s="103">
        <v>0</v>
      </c>
      <c r="M20" s="104">
        <f>Tabla1820[Transactions
Trans Fail]/Tabla1820[Total]</f>
        <v>0</v>
      </c>
    </row>
    <row r="21" spans="2:13" x14ac:dyDescent="0.3">
      <c r="B21" s="105">
        <v>43362</v>
      </c>
      <c r="C21" s="98">
        <v>3294</v>
      </c>
      <c r="D21" s="106">
        <v>2537</v>
      </c>
      <c r="E21" s="99">
        <f>Tabla1820[Transactions 
Complete]/Tabla1820[Total]</f>
        <v>0.87268542734595667</v>
      </c>
      <c r="F21" s="106">
        <v>393</v>
      </c>
      <c r="G21" s="99">
        <f>Tabla1820[Transactions 
Failed]/Tabla1820[Total]</f>
        <v>0.11423789099278167</v>
      </c>
      <c r="H21" s="107">
        <v>0</v>
      </c>
      <c r="I21" s="99">
        <f>Tabla1820[Transactions 
In_Prog]/Tabla1820[Total]</f>
        <v>0</v>
      </c>
      <c r="J21" s="106">
        <v>364</v>
      </c>
      <c r="K21" s="99">
        <f>Tabla1820[Transactions 
Timeout]/Tabla1820[Total]</f>
        <v>1.3076681661261639E-2</v>
      </c>
      <c r="L21" s="107">
        <v>0</v>
      </c>
      <c r="M21" s="104">
        <f>Tabla1820[Transactions
Trans Fail]/Tabla1820[Total]</f>
        <v>0</v>
      </c>
    </row>
    <row r="22" spans="2:13" x14ac:dyDescent="0.3">
      <c r="B22" s="100">
        <v>43363</v>
      </c>
      <c r="C22" s="101">
        <v>4928</v>
      </c>
      <c r="D22" s="102">
        <v>3870</v>
      </c>
      <c r="E22" s="99">
        <f>Tabla1820[Transactions 
Complete]/Tabla1820[Total]</f>
        <v>0.86064516129032254</v>
      </c>
      <c r="F22" s="102">
        <v>690</v>
      </c>
      <c r="G22" s="99">
        <f>Tabla1820[Transactions 
Failed]/Tabla1820[Total]</f>
        <v>0.13</v>
      </c>
      <c r="H22" s="103">
        <v>0</v>
      </c>
      <c r="I22" s="99">
        <f>Tabla1820[Transactions 
In_Prog]/Tabla1820[Total]</f>
        <v>0</v>
      </c>
      <c r="J22" s="102">
        <v>368</v>
      </c>
      <c r="K22" s="99">
        <f>Tabla1820[Transactions 
Timeout]/Tabla1820[Total]</f>
        <v>9.35483870967742E-3</v>
      </c>
      <c r="L22" s="103">
        <v>0</v>
      </c>
      <c r="M22" s="104">
        <f>Tabla1820[Transactions
Trans Fail]/Tabla1820[Total]</f>
        <v>0</v>
      </c>
    </row>
    <row r="23" spans="2:13" x14ac:dyDescent="0.3">
      <c r="B23" s="105">
        <v>43364</v>
      </c>
      <c r="C23" s="98">
        <v>2375</v>
      </c>
      <c r="D23" s="106">
        <v>1634</v>
      </c>
      <c r="E23" s="99">
        <f>Tabla1820[Transactions 
Complete]/Tabla1820[Total]</f>
        <v>0.55890052356020947</v>
      </c>
      <c r="F23" s="106">
        <v>338</v>
      </c>
      <c r="G23" s="99">
        <f>Tabla1820[Transactions 
Failed]/Tabla1820[Total]</f>
        <v>0.1400523560209424</v>
      </c>
      <c r="H23" s="107">
        <v>0</v>
      </c>
      <c r="I23" s="99">
        <f>Tabla1820[Transactions 
In_Prog]/Tabla1820[Total]</f>
        <v>0</v>
      </c>
      <c r="J23" s="106">
        <v>403</v>
      </c>
      <c r="K23" s="99">
        <f>Tabla1820[Transactions 
Timeout]/Tabla1820[Total]</f>
        <v>0.30104712041884818</v>
      </c>
      <c r="L23" s="107">
        <v>0</v>
      </c>
      <c r="M23" s="104">
        <f>Tabla1820[Transactions
Trans Fail]/Tabla1820[Total]</f>
        <v>0</v>
      </c>
    </row>
    <row r="24" spans="2:13" x14ac:dyDescent="0.3">
      <c r="B24" s="100">
        <v>43365</v>
      </c>
      <c r="C24" s="101">
        <v>1240</v>
      </c>
      <c r="D24" s="102">
        <v>779</v>
      </c>
      <c r="E24" s="99">
        <f>Tabla1820[Transactions 
Complete]/Tabla1820[Total]</f>
        <v>0.80511096166778751</v>
      </c>
      <c r="F24" s="102">
        <v>138</v>
      </c>
      <c r="G24" s="99">
        <f>Tabla1820[Transactions 
Failed]/Tabla1820[Total]</f>
        <v>0.11459314055144586</v>
      </c>
      <c r="H24" s="103">
        <v>0</v>
      </c>
      <c r="I24" s="99">
        <f>Tabla1820[Transactions 
In_Prog]/Tabla1820[Total]</f>
        <v>0</v>
      </c>
      <c r="J24" s="102">
        <v>323</v>
      </c>
      <c r="K24" s="99">
        <f>Tabla1820[Transactions 
Timeout]/Tabla1820[Total]</f>
        <v>8.0295897780766651E-2</v>
      </c>
      <c r="L24" s="103">
        <v>0</v>
      </c>
      <c r="M24" s="104">
        <f>Tabla1820[Transactions
Trans Fail]/Tabla1820[Total]</f>
        <v>0</v>
      </c>
    </row>
    <row r="25" spans="2:13" x14ac:dyDescent="0.3">
      <c r="B25" s="105">
        <v>43366</v>
      </c>
      <c r="C25" s="98">
        <v>557</v>
      </c>
      <c r="D25" s="106">
        <v>239</v>
      </c>
      <c r="E25" s="99">
        <f>Tabla1820[Transactions 
Complete]/Tabla1820[Total]</f>
        <v>0.87097769096329802</v>
      </c>
      <c r="F25" s="106">
        <v>16</v>
      </c>
      <c r="G25" s="99">
        <f>Tabla1820[Transactions 
Failed]/Tabla1820[Total]</f>
        <v>9.7152256605325379E-2</v>
      </c>
      <c r="H25" s="107">
        <v>0</v>
      </c>
      <c r="I25" s="99">
        <f>Tabla1820[Transactions 
In_Prog]/Tabla1820[Total]</f>
        <v>0</v>
      </c>
      <c r="J25" s="106">
        <v>302</v>
      </c>
      <c r="K25" s="99">
        <f>Tabla1820[Transactions 
Timeout]/Tabla1820[Total]</f>
        <v>3.1870052431376583E-2</v>
      </c>
      <c r="L25" s="107">
        <v>0</v>
      </c>
      <c r="M25" s="104">
        <f>Tabla1820[Transactions
Trans Fail]/Tabla1820[Total]</f>
        <v>0</v>
      </c>
    </row>
    <row r="26" spans="2:13" x14ac:dyDescent="0.3">
      <c r="B26" s="100">
        <v>43367</v>
      </c>
      <c r="C26" s="101">
        <v>5646</v>
      </c>
      <c r="D26" s="102">
        <v>4677</v>
      </c>
      <c r="E26" s="99">
        <f>Tabla1820[Transactions 
Complete]/Tabla1820[Total]</f>
        <v>0.88852051388313302</v>
      </c>
      <c r="F26" s="102">
        <v>554</v>
      </c>
      <c r="G26" s="99">
        <f>Tabla1820[Transactions 
Failed]/Tabla1820[Total]</f>
        <v>9.2692360823318137E-2</v>
      </c>
      <c r="H26" s="103">
        <v>0</v>
      </c>
      <c r="I26" s="99">
        <f>Tabla1820[Transactions 
In_Prog]/Tabla1820[Total]</f>
        <v>0</v>
      </c>
      <c r="J26" s="102">
        <v>415</v>
      </c>
      <c r="K26" s="99">
        <f>Tabla1820[Transactions 
Timeout]/Tabla1820[Total]</f>
        <v>1.8787125293548833E-2</v>
      </c>
      <c r="L26" s="103">
        <v>0</v>
      </c>
      <c r="M26" s="104">
        <f>Tabla1820[Transactions
Trans Fail]/Tabla1820[Total]</f>
        <v>0</v>
      </c>
    </row>
    <row r="27" spans="2:13" x14ac:dyDescent="0.3">
      <c r="B27" s="105">
        <v>43368</v>
      </c>
      <c r="C27" s="98">
        <v>3484</v>
      </c>
      <c r="D27" s="106">
        <v>2634</v>
      </c>
      <c r="E27" s="99">
        <f>Tabla1820[Transactions 
Complete]/Tabla1820[Total]</f>
        <v>0.80580551523947752</v>
      </c>
      <c r="F27" s="106">
        <v>461</v>
      </c>
      <c r="G27" s="99">
        <f>Tabla1820[Transactions 
Failed]/Tabla1820[Total]</f>
        <v>0.12394775036284471</v>
      </c>
      <c r="H27" s="107">
        <v>0</v>
      </c>
      <c r="I27" s="99">
        <f>Tabla1820[Transactions 
In_Prog]/Tabla1820[Total]</f>
        <v>0</v>
      </c>
      <c r="J27" s="106">
        <v>389</v>
      </c>
      <c r="K27" s="99">
        <f>Tabla1820[Transactions 
Timeout]/Tabla1820[Total]</f>
        <v>7.0246734397677799E-2</v>
      </c>
      <c r="L27" s="107">
        <v>0</v>
      </c>
      <c r="M27" s="104">
        <f>Tabla1820[Transactions
Trans Fail]/Tabla1820[Total]</f>
        <v>0</v>
      </c>
    </row>
    <row r="28" spans="2:13" x14ac:dyDescent="0.3">
      <c r="B28" s="100">
        <v>43369</v>
      </c>
      <c r="C28" s="101">
        <v>3639</v>
      </c>
      <c r="D28" s="102">
        <v>2773</v>
      </c>
      <c r="E28" s="99">
        <f>Tabla1820[Transactions 
Complete]/Tabla1820[Total]</f>
        <v>0.84258177570093462</v>
      </c>
      <c r="F28" s="102">
        <v>484</v>
      </c>
      <c r="G28" s="99">
        <f>Tabla1820[Transactions 
Failed]/Tabla1820[Total]</f>
        <v>0.1530373831775701</v>
      </c>
      <c r="H28" s="103">
        <v>0</v>
      </c>
      <c r="I28" s="99">
        <f>Tabla1820[Transactions 
In_Prog]/Tabla1820[Total]</f>
        <v>0</v>
      </c>
      <c r="J28" s="102">
        <v>382</v>
      </c>
      <c r="K28" s="99">
        <f>Tabla1820[Transactions 
Timeout]/Tabla1820[Total]</f>
        <v>4.3808411214953267E-3</v>
      </c>
      <c r="L28" s="103">
        <v>0</v>
      </c>
      <c r="M28" s="104">
        <f>Tabla1820[Transactions
Trans Fail]/Tabla1820[Total]</f>
        <v>0</v>
      </c>
    </row>
    <row r="29" spans="2:13" x14ac:dyDescent="0.3">
      <c r="B29" s="105">
        <v>43370</v>
      </c>
      <c r="C29" s="98">
        <v>3765</v>
      </c>
      <c r="D29" s="106">
        <v>2914</v>
      </c>
      <c r="E29" s="99">
        <f>Tabla1820[Transactions 
Complete]/Tabla1820[Total]</f>
        <v>0.83045761440360089</v>
      </c>
      <c r="F29" s="106">
        <v>564</v>
      </c>
      <c r="G29" s="99">
        <f>Tabla1820[Transactions 
Failed]/Tabla1820[Total]</f>
        <v>0.16279069767441862</v>
      </c>
      <c r="H29" s="107">
        <v>0</v>
      </c>
      <c r="I29" s="99">
        <f>Tabla1820[Transactions 
In_Prog]/Tabla1820[Total]</f>
        <v>0</v>
      </c>
      <c r="J29" s="106">
        <v>287</v>
      </c>
      <c r="K29" s="99">
        <f>Tabla1820[Transactions 
Timeout]/Tabla1820[Total]</f>
        <v>6.7516879219804947E-3</v>
      </c>
      <c r="L29" s="107">
        <v>0</v>
      </c>
      <c r="M29" s="104">
        <f>Tabla1820[Transactions
Trans Fail]/Tabla1820[Total]</f>
        <v>0</v>
      </c>
    </row>
    <row r="30" spans="2:13" x14ac:dyDescent="0.3">
      <c r="B30" s="100">
        <v>43371</v>
      </c>
      <c r="C30" s="101">
        <v>2426</v>
      </c>
      <c r="D30" s="102">
        <v>2185</v>
      </c>
      <c r="E30" s="99">
        <f>Tabla1820[Transactions 
Complete]/Tabla1820[Total]</f>
        <v>0.7325905292479109</v>
      </c>
      <c r="F30" s="102">
        <v>195</v>
      </c>
      <c r="G30" s="99">
        <f>Tabla1820[Transactions 
Failed]/Tabla1820[Total]</f>
        <v>0.22562674094707522</v>
      </c>
      <c r="H30" s="103">
        <v>8</v>
      </c>
      <c r="I30" s="99">
        <f>Tabla1820[Transactions 
In_Prog]/Tabla1820[Total]</f>
        <v>0</v>
      </c>
      <c r="J30" s="102">
        <v>29</v>
      </c>
      <c r="K30" s="99">
        <f>Tabla1820[Transactions 
Timeout]/Tabla1820[Total]</f>
        <v>4.1782729805013928E-2</v>
      </c>
      <c r="L30" s="103">
        <v>0</v>
      </c>
      <c r="M30" s="104">
        <f>Tabla1820[Transactions
Trans Fail]/Tabla1820[Total]</f>
        <v>0</v>
      </c>
    </row>
    <row r="31" spans="2:13" x14ac:dyDescent="0.3">
      <c r="B31" s="105">
        <v>43372</v>
      </c>
      <c r="C31" s="98">
        <v>2203</v>
      </c>
      <c r="D31" s="106">
        <v>1419</v>
      </c>
      <c r="E31" s="99">
        <f>Tabla1820[Transactions 
Complete]/Tabla1820[Total]</f>
        <v>0.81938633193863319</v>
      </c>
      <c r="F31" s="106">
        <v>540</v>
      </c>
      <c r="G31" s="99">
        <f>Tabla1820[Transactions 
Failed]/Tabla1820[Total]</f>
        <v>0.17259414225941422</v>
      </c>
      <c r="H31" s="107">
        <v>0</v>
      </c>
      <c r="I31" s="99">
        <f>Tabla1820[Transactions 
In_Prog]/Tabla1820[Total]</f>
        <v>0</v>
      </c>
      <c r="J31" s="106">
        <v>244</v>
      </c>
      <c r="K31" s="99">
        <f>Tabla1820[Transactions 
Timeout]/Tabla1820[Total]</f>
        <v>8.0195258019525803E-3</v>
      </c>
      <c r="L31" s="107">
        <v>0</v>
      </c>
      <c r="M31" s="104">
        <f>Tabla1820[Transactions
Trans Fail]/Tabla1820[Total]</f>
        <v>0</v>
      </c>
    </row>
    <row r="32" spans="2:13" ht="15" thickBot="1" x14ac:dyDescent="0.35">
      <c r="B32" s="100">
        <v>43373</v>
      </c>
      <c r="C32" s="101">
        <v>451</v>
      </c>
      <c r="D32" s="102">
        <v>190</v>
      </c>
      <c r="E32" s="99">
        <f>Tabla1820[Transactions 
Complete]/Tabla1820[Total]</f>
        <v>0.86062765520076745</v>
      </c>
      <c r="F32" s="102">
        <v>22</v>
      </c>
      <c r="G32" s="99">
        <f>Tabla1820[Transactions 
Failed]/Tabla1820[Total]</f>
        <v>0.13169795806495821</v>
      </c>
      <c r="H32" s="103">
        <v>0</v>
      </c>
      <c r="I32" s="99">
        <f>Tabla1820[Transactions 
In_Prog]/Tabla1820[Total]</f>
        <v>0</v>
      </c>
      <c r="J32" s="102">
        <v>239</v>
      </c>
      <c r="K32" s="99">
        <f>Tabla1820[Transactions 
Timeout]/Tabla1820[Total]</f>
        <v>7.6743867342743593E-3</v>
      </c>
      <c r="L32" s="103">
        <v>0</v>
      </c>
      <c r="M32" s="104">
        <f>Tabla1820[Transactions
Trans Fail]/Tabla1820[Total]</f>
        <v>0</v>
      </c>
    </row>
    <row r="33" spans="2:13" ht="24.6" thickTop="1" x14ac:dyDescent="0.3">
      <c r="B33" s="108" t="s">
        <v>26</v>
      </c>
      <c r="C33" s="109">
        <f>SUM(C3:C32)</f>
        <v>93594</v>
      </c>
      <c r="D33" s="109">
        <f>SUM(D3:D32)</f>
        <v>72438</v>
      </c>
      <c r="E33" s="110">
        <f>AVERAGE(E3:E32)</f>
        <v>0.7498801647647696</v>
      </c>
      <c r="F33" s="109">
        <f>SUM(F3:F32)</f>
        <v>12121</v>
      </c>
      <c r="G33" s="110">
        <f>AVERAGE(G3:G32)</f>
        <v>0.12805150281569694</v>
      </c>
      <c r="H33" s="109">
        <f>SUM(H3:H32)</f>
        <v>8</v>
      </c>
      <c r="I33" s="110">
        <f>AVERAGE(I3:I32)</f>
        <v>0</v>
      </c>
      <c r="J33" s="109">
        <f>SUM(J3:J32)</f>
        <v>9018</v>
      </c>
      <c r="K33" s="110">
        <f>AVERAGE(K3:K32)</f>
        <v>0.12206833241953365</v>
      </c>
      <c r="L33" s="109">
        <f>SUM(L3:L32)</f>
        <v>0</v>
      </c>
      <c r="M33" s="111">
        <f>AVERAGE(M3:M32)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5"/>
  <sheetViews>
    <sheetView topLeftCell="A9" workbookViewId="0">
      <selection activeCell="C15" sqref="C15:M1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8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SUM(Tabla18208[Total])</f>
        <v>165236</v>
      </c>
      <c r="D6" s="4"/>
    </row>
    <row r="7" spans="2:16" x14ac:dyDescent="0.3">
      <c r="B7" s="9" t="s">
        <v>6</v>
      </c>
      <c r="C7" s="11">
        <f>D15</f>
        <v>140390</v>
      </c>
      <c r="D7" s="12">
        <f>C7/C6</f>
        <v>0.84963325183374083</v>
      </c>
    </row>
    <row r="8" spans="2:16" x14ac:dyDescent="0.3">
      <c r="B8" s="9" t="s">
        <v>7</v>
      </c>
      <c r="C8" s="11">
        <f>F15</f>
        <v>20750</v>
      </c>
      <c r="D8" s="12">
        <f>C8/C6</f>
        <v>0.12557796121910481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4096</v>
      </c>
      <c r="D10" s="12">
        <f>C10/C6</f>
        <v>2.4788786947154372E-2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165236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SUM(Tabla18208[Total])</f>
        <v>165236</v>
      </c>
      <c r="D15" s="14">
        <f>SUM(Tabla18208[Transactions 
Complete])</f>
        <v>140390</v>
      </c>
      <c r="E15" s="15">
        <f>AVERAGE(Tabla18208[%
Complete])</f>
        <v>0.81500354453828605</v>
      </c>
      <c r="F15" s="14">
        <f>SUM(Tabla18208[Transactions 
Failed])</f>
        <v>20750</v>
      </c>
      <c r="G15" s="15">
        <f>AVERAGE(Tabla18208[% 
Failed])</f>
        <v>0.13475203909315445</v>
      </c>
      <c r="H15" s="14">
        <f>SUM(Tabla18208[Transactions 
In_Prog])</f>
        <v>0</v>
      </c>
      <c r="I15" s="15">
        <f>AVERAGE(Tabla18208[%
In_Prog])</f>
        <v>0</v>
      </c>
      <c r="J15" s="14">
        <f>SUM(Tabla18208[Transactions 
Timeout])</f>
        <v>4096</v>
      </c>
      <c r="K15" s="15">
        <f>AVERAGE(Tabla18208[%
Timeout])</f>
        <v>5.0244416368559593E-2</v>
      </c>
      <c r="L15" s="14">
        <f>SUM(Tabla18208[Transactions
Trans Fail])</f>
        <v>0</v>
      </c>
      <c r="M15" s="15">
        <f>AVERAGE(Tabla18208[%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22">
        <v>43101</v>
      </c>
      <c r="C17" s="21">
        <v>767</v>
      </c>
      <c r="D17" s="23">
        <v>270</v>
      </c>
      <c r="E17" s="24">
        <f>Tabla18208[Transactions 
Complete]/Tabla18208[Total]</f>
        <v>0.35202086049543679</v>
      </c>
      <c r="F17" s="23">
        <v>48</v>
      </c>
      <c r="G17" s="24">
        <f>Tabla18208[Transactions 
Failed]/Tabla18208[Total]</f>
        <v>6.2581486310299875E-2</v>
      </c>
      <c r="H17" s="23">
        <v>0</v>
      </c>
      <c r="I17" s="24">
        <f>Tabla18208[Transactions 
In_Prog]/Tabla18208[Total]</f>
        <v>0</v>
      </c>
      <c r="J17" s="23">
        <v>449</v>
      </c>
      <c r="K17" s="24">
        <f>Tabla18208[Transactions 
Timeout]/Tabla18208[Total]</f>
        <v>0.5853976531942634</v>
      </c>
      <c r="L17" s="23">
        <v>0</v>
      </c>
      <c r="M17" s="24">
        <f>Tabla18208[Transactions
Trans Fail]/Tabla18208[Total]</f>
        <v>0</v>
      </c>
    </row>
    <row r="18" spans="2:13" s="33" customFormat="1" x14ac:dyDescent="0.3">
      <c r="B18" s="22">
        <v>43102</v>
      </c>
      <c r="C18" s="21">
        <v>8159</v>
      </c>
      <c r="D18" s="23">
        <v>6838</v>
      </c>
      <c r="E18" s="24">
        <f>Tabla18208[Transactions 
Complete]/Tabla18208[Total]</f>
        <v>0.83809290354210075</v>
      </c>
      <c r="F18" s="23">
        <v>1219</v>
      </c>
      <c r="G18" s="24">
        <f>Tabla18208[Transactions 
Failed]/Tabla18208[Total]</f>
        <v>0.14940556440740288</v>
      </c>
      <c r="H18" s="23">
        <v>0</v>
      </c>
      <c r="I18" s="24">
        <f>Tabla18208[Transactions 
In_Prog]/Tabla18208[Total]</f>
        <v>0</v>
      </c>
      <c r="J18" s="23">
        <v>102</v>
      </c>
      <c r="K18" s="24">
        <f>Tabla18208[Transactions 
Timeout]/Tabla18208[Total]</f>
        <v>1.2501532050496384E-2</v>
      </c>
      <c r="L18" s="23">
        <v>0</v>
      </c>
      <c r="M18" s="24">
        <f>Tabla18208[Transactions
Trans Fail]/Tabla18208[Total]</f>
        <v>0</v>
      </c>
    </row>
    <row r="19" spans="2:13" s="33" customFormat="1" x14ac:dyDescent="0.3">
      <c r="B19" s="22">
        <v>43103</v>
      </c>
      <c r="C19" s="21">
        <v>11932</v>
      </c>
      <c r="D19" s="23">
        <v>10577</v>
      </c>
      <c r="E19" s="24">
        <f>Tabla18208[Transactions 
Complete]/Tabla18208[Total]</f>
        <v>0.88643982567884683</v>
      </c>
      <c r="F19" s="23">
        <v>1256</v>
      </c>
      <c r="G19" s="24">
        <f>Tabla18208[Transactions 
Failed]/Tabla18208[Total]</f>
        <v>0.10526315789473684</v>
      </c>
      <c r="H19" s="23">
        <v>0</v>
      </c>
      <c r="I19" s="24">
        <f>Tabla18208[Transactions 
In_Prog]/Tabla18208[Total]</f>
        <v>0</v>
      </c>
      <c r="J19" s="23">
        <v>99</v>
      </c>
      <c r="K19" s="24">
        <f>Tabla18208[Transactions 
Timeout]/Tabla18208[Total]</f>
        <v>8.2970164264163596E-3</v>
      </c>
      <c r="L19" s="23">
        <v>0</v>
      </c>
      <c r="M19" s="24">
        <f>Tabla18208[Transactions
Trans Fail]/Tabla18208[Total]</f>
        <v>0</v>
      </c>
    </row>
    <row r="20" spans="2:13" s="33" customFormat="1" x14ac:dyDescent="0.3">
      <c r="B20" s="22">
        <v>43104</v>
      </c>
      <c r="C20" s="21">
        <v>10096</v>
      </c>
      <c r="D20" s="23">
        <v>7648</v>
      </c>
      <c r="E20" s="24">
        <f>Tabla18208[Transactions 
Complete]/Tabla18208[Total]</f>
        <v>0.75752773375594296</v>
      </c>
      <c r="F20" s="23">
        <v>1756</v>
      </c>
      <c r="G20" s="24">
        <f>Tabla18208[Transactions 
Failed]/Tabla18208[Total]</f>
        <v>0.17393026941362916</v>
      </c>
      <c r="H20" s="23">
        <v>0</v>
      </c>
      <c r="I20" s="24">
        <f>Tabla18208[Transactions 
In_Prog]/Tabla18208[Total]</f>
        <v>0</v>
      </c>
      <c r="J20" s="23">
        <v>692</v>
      </c>
      <c r="K20" s="24">
        <f>Tabla18208[Transactions 
Timeout]/Tabla18208[Total]</f>
        <v>6.8541996830427887E-2</v>
      </c>
      <c r="L20" s="23">
        <v>0</v>
      </c>
      <c r="M20" s="24">
        <f>Tabla18208[Transactions
Trans Fail]/Tabla18208[Total]</f>
        <v>0</v>
      </c>
    </row>
    <row r="21" spans="2:13" s="33" customFormat="1" x14ac:dyDescent="0.3">
      <c r="B21" s="22">
        <v>43105</v>
      </c>
      <c r="C21" s="21">
        <v>9559</v>
      </c>
      <c r="D21" s="23">
        <v>8342</v>
      </c>
      <c r="E21" s="24">
        <f>Tabla18208[Transactions 
Complete]/Tabla18208[Total]</f>
        <v>0.87268542734595667</v>
      </c>
      <c r="F21" s="23">
        <v>1092</v>
      </c>
      <c r="G21" s="24">
        <f>Tabla18208[Transactions 
Failed]/Tabla18208[Total]</f>
        <v>0.11423789099278167</v>
      </c>
      <c r="H21" s="23">
        <v>0</v>
      </c>
      <c r="I21" s="24">
        <f>Tabla18208[Transactions 
In_Prog]/Tabla18208[Total]</f>
        <v>0</v>
      </c>
      <c r="J21" s="23">
        <v>125</v>
      </c>
      <c r="K21" s="24">
        <f>Tabla18208[Transactions 
Timeout]/Tabla18208[Total]</f>
        <v>1.3076681661261639E-2</v>
      </c>
      <c r="L21" s="23">
        <v>0</v>
      </c>
      <c r="M21" s="24">
        <f>Tabla18208[Transactions
Trans Fail]/Tabla18208[Total]</f>
        <v>0</v>
      </c>
    </row>
    <row r="22" spans="2:13" s="33" customFormat="1" x14ac:dyDescent="0.3">
      <c r="B22" s="22">
        <v>43106</v>
      </c>
      <c r="C22" s="21">
        <v>3100</v>
      </c>
      <c r="D22" s="23">
        <v>2668</v>
      </c>
      <c r="E22" s="24">
        <f>Tabla18208[Transactions 
Complete]/Tabla18208[Total]</f>
        <v>0.86064516129032254</v>
      </c>
      <c r="F22" s="23">
        <v>403</v>
      </c>
      <c r="G22" s="24">
        <f>Tabla18208[Transactions 
Failed]/Tabla18208[Total]</f>
        <v>0.13</v>
      </c>
      <c r="H22" s="23">
        <v>0</v>
      </c>
      <c r="I22" s="24">
        <f>Tabla18208[Transactions 
In_Prog]/Tabla18208[Total]</f>
        <v>0</v>
      </c>
      <c r="J22" s="23">
        <v>29</v>
      </c>
      <c r="K22" s="24">
        <f>Tabla18208[Transactions 
Timeout]/Tabla18208[Total]</f>
        <v>9.35483870967742E-3</v>
      </c>
      <c r="L22" s="23">
        <v>0</v>
      </c>
      <c r="M22" s="24">
        <f>Tabla18208[Transactions
Trans Fail]/Tabla18208[Total]</f>
        <v>0</v>
      </c>
    </row>
    <row r="23" spans="2:13" s="33" customFormat="1" x14ac:dyDescent="0.3">
      <c r="B23" s="22">
        <v>43107</v>
      </c>
      <c r="C23" s="21">
        <v>764</v>
      </c>
      <c r="D23" s="23">
        <v>427</v>
      </c>
      <c r="E23" s="24">
        <f>Tabla18208[Transactions 
Complete]/Tabla18208[Total]</f>
        <v>0.55890052356020947</v>
      </c>
      <c r="F23" s="23">
        <v>107</v>
      </c>
      <c r="G23" s="24">
        <f>Tabla18208[Transactions 
Failed]/Tabla18208[Total]</f>
        <v>0.1400523560209424</v>
      </c>
      <c r="H23" s="23">
        <v>0</v>
      </c>
      <c r="I23" s="24">
        <f>Tabla18208[Transactions 
In_Prog]/Tabla18208[Total]</f>
        <v>0</v>
      </c>
      <c r="J23" s="23">
        <v>230</v>
      </c>
      <c r="K23" s="24">
        <f>Tabla18208[Transactions 
Timeout]/Tabla18208[Total]</f>
        <v>0.30104712041884818</v>
      </c>
      <c r="L23" s="23">
        <v>0</v>
      </c>
      <c r="M23" s="24">
        <f>Tabla18208[Transactions
Trans Fail]/Tabla18208[Total]</f>
        <v>0</v>
      </c>
    </row>
    <row r="24" spans="2:13" s="33" customFormat="1" x14ac:dyDescent="0.3">
      <c r="B24" s="37">
        <v>43108</v>
      </c>
      <c r="C24" s="35">
        <v>7435</v>
      </c>
      <c r="D24" s="34">
        <v>5986</v>
      </c>
      <c r="E24" s="24">
        <f>Tabla18208[Transactions 
Complete]/Tabla18208[Total]</f>
        <v>0.80511096166778751</v>
      </c>
      <c r="F24" s="34">
        <v>852</v>
      </c>
      <c r="G24" s="24">
        <f>Tabla18208[Transactions 
Failed]/Tabla18208[Total]</f>
        <v>0.11459314055144586</v>
      </c>
      <c r="H24" s="34">
        <v>0</v>
      </c>
      <c r="I24" s="24">
        <f>Tabla18208[Transactions 
In_Prog]/Tabla18208[Total]</f>
        <v>0</v>
      </c>
      <c r="J24" s="34">
        <v>597</v>
      </c>
      <c r="K24" s="24">
        <f>Tabla18208[Transactions 
Timeout]/Tabla18208[Total]</f>
        <v>8.0295897780766651E-2</v>
      </c>
      <c r="L24" s="34">
        <v>0</v>
      </c>
      <c r="M24" s="24">
        <f>Tabla18208[Transactions
Trans Fail]/Tabla18208[Total]</f>
        <v>0</v>
      </c>
    </row>
    <row r="25" spans="2:13" s="33" customFormat="1" x14ac:dyDescent="0.3">
      <c r="B25" s="37">
        <v>43109</v>
      </c>
      <c r="C25" s="35">
        <v>9727</v>
      </c>
      <c r="D25" s="34">
        <v>8472</v>
      </c>
      <c r="E25" s="24">
        <f>Tabla18208[Transactions 
Complete]/Tabla18208[Total]</f>
        <v>0.87097769096329802</v>
      </c>
      <c r="F25" s="34">
        <v>945</v>
      </c>
      <c r="G25" s="24">
        <f>Tabla18208[Transactions 
Failed]/Tabla18208[Total]</f>
        <v>9.7152256605325379E-2</v>
      </c>
      <c r="H25" s="34">
        <v>0</v>
      </c>
      <c r="I25" s="24">
        <f>Tabla18208[Transactions 
In_Prog]/Tabla18208[Total]</f>
        <v>0</v>
      </c>
      <c r="J25" s="34">
        <v>310</v>
      </c>
      <c r="K25" s="24">
        <f>Tabla18208[Transactions 
Timeout]/Tabla18208[Total]</f>
        <v>3.1870052431376583E-2</v>
      </c>
      <c r="L25" s="34">
        <v>0</v>
      </c>
      <c r="M25" s="24">
        <f>Tabla18208[Transactions
Trans Fail]/Tabla18208[Total]</f>
        <v>0</v>
      </c>
    </row>
    <row r="26" spans="2:13" s="33" customFormat="1" x14ac:dyDescent="0.3">
      <c r="B26" s="37">
        <v>43110</v>
      </c>
      <c r="C26" s="35">
        <v>7239</v>
      </c>
      <c r="D26" s="34">
        <v>6432</v>
      </c>
      <c r="E26" s="24">
        <f>Tabla18208[Transactions 
Complete]/Tabla18208[Total]</f>
        <v>0.88852051388313302</v>
      </c>
      <c r="F26" s="34">
        <v>671</v>
      </c>
      <c r="G26" s="24">
        <f>Tabla18208[Transactions 
Failed]/Tabla18208[Total]</f>
        <v>9.2692360823318137E-2</v>
      </c>
      <c r="H26" s="34">
        <v>0</v>
      </c>
      <c r="I26" s="24">
        <f>Tabla18208[Transactions 
In_Prog]/Tabla18208[Total]</f>
        <v>0</v>
      </c>
      <c r="J26" s="34">
        <v>136</v>
      </c>
      <c r="K26" s="24">
        <f>Tabla18208[Transactions 
Timeout]/Tabla18208[Total]</f>
        <v>1.8787125293548833E-2</v>
      </c>
      <c r="L26" s="34">
        <v>0</v>
      </c>
      <c r="M26" s="24">
        <f>Tabla18208[Transactions
Trans Fail]/Tabla18208[Total]</f>
        <v>0</v>
      </c>
    </row>
    <row r="27" spans="2:13" s="33" customFormat="1" x14ac:dyDescent="0.3">
      <c r="B27" s="37">
        <v>43111</v>
      </c>
      <c r="C27" s="35">
        <v>3445</v>
      </c>
      <c r="D27" s="34">
        <v>2776</v>
      </c>
      <c r="E27" s="24">
        <f>Tabla18208[Transactions 
Complete]/Tabla18208[Total]</f>
        <v>0.80580551523947752</v>
      </c>
      <c r="F27" s="34">
        <v>427</v>
      </c>
      <c r="G27" s="24">
        <f>Tabla18208[Transactions 
Failed]/Tabla18208[Total]</f>
        <v>0.12394775036284471</v>
      </c>
      <c r="H27" s="34">
        <v>0</v>
      </c>
      <c r="I27" s="24">
        <f>Tabla18208[Transactions 
In_Prog]/Tabla18208[Total]</f>
        <v>0</v>
      </c>
      <c r="J27" s="34">
        <v>242</v>
      </c>
      <c r="K27" s="24">
        <f>Tabla18208[Transactions 
Timeout]/Tabla18208[Total]</f>
        <v>7.0246734397677799E-2</v>
      </c>
      <c r="L27" s="34">
        <v>0</v>
      </c>
      <c r="M27" s="24">
        <f>Tabla18208[Transactions
Trans Fail]/Tabla18208[Total]</f>
        <v>0</v>
      </c>
    </row>
    <row r="28" spans="2:13" s="33" customFormat="1" x14ac:dyDescent="0.3">
      <c r="B28" s="37">
        <v>43112</v>
      </c>
      <c r="C28" s="35">
        <v>3424</v>
      </c>
      <c r="D28" s="34">
        <v>2885</v>
      </c>
      <c r="E28" s="24">
        <f>Tabla18208[Transactions 
Complete]/Tabla18208[Total]</f>
        <v>0.84258177570093462</v>
      </c>
      <c r="F28" s="34">
        <v>524</v>
      </c>
      <c r="G28" s="24">
        <f>Tabla18208[Transactions 
Failed]/Tabla18208[Total]</f>
        <v>0.1530373831775701</v>
      </c>
      <c r="H28" s="34">
        <v>0</v>
      </c>
      <c r="I28" s="24">
        <f>Tabla18208[Transactions 
In_Prog]/Tabla18208[Total]</f>
        <v>0</v>
      </c>
      <c r="J28" s="34">
        <v>15</v>
      </c>
      <c r="K28" s="24">
        <f>Tabla18208[Transactions 
Timeout]/Tabla18208[Total]</f>
        <v>4.3808411214953267E-3</v>
      </c>
      <c r="L28" s="34">
        <v>0</v>
      </c>
      <c r="M28" s="24">
        <f>Tabla18208[Transactions
Trans Fail]/Tabla18208[Total]</f>
        <v>0</v>
      </c>
    </row>
    <row r="29" spans="2:13" s="33" customFormat="1" x14ac:dyDescent="0.3">
      <c r="B29" s="37">
        <v>43113</v>
      </c>
      <c r="C29" s="35">
        <v>1333</v>
      </c>
      <c r="D29" s="34">
        <v>1107</v>
      </c>
      <c r="E29" s="24">
        <f>Tabla18208[Transactions 
Complete]/Tabla18208[Total]</f>
        <v>0.83045761440360089</v>
      </c>
      <c r="F29" s="34">
        <v>217</v>
      </c>
      <c r="G29" s="24">
        <f>Tabla18208[Transactions 
Failed]/Tabla18208[Total]</f>
        <v>0.16279069767441862</v>
      </c>
      <c r="H29" s="34">
        <v>0</v>
      </c>
      <c r="I29" s="24">
        <f>Tabla18208[Transactions 
In_Prog]/Tabla18208[Total]</f>
        <v>0</v>
      </c>
      <c r="J29" s="34">
        <v>9</v>
      </c>
      <c r="K29" s="24">
        <f>Tabla18208[Transactions 
Timeout]/Tabla18208[Total]</f>
        <v>6.7516879219804947E-3</v>
      </c>
      <c r="L29" s="34">
        <v>0</v>
      </c>
      <c r="M29" s="24">
        <f>Tabla18208[Transactions
Trans Fail]/Tabla18208[Total]</f>
        <v>0</v>
      </c>
    </row>
    <row r="30" spans="2:13" s="33" customFormat="1" x14ac:dyDescent="0.3">
      <c r="B30" s="37">
        <v>43114</v>
      </c>
      <c r="C30" s="35">
        <v>359</v>
      </c>
      <c r="D30" s="34">
        <v>263</v>
      </c>
      <c r="E30" s="24">
        <f>Tabla18208[Transactions 
Complete]/Tabla18208[Total]</f>
        <v>0.7325905292479109</v>
      </c>
      <c r="F30" s="34">
        <v>81</v>
      </c>
      <c r="G30" s="24">
        <f>Tabla18208[Transactions 
Failed]/Tabla18208[Total]</f>
        <v>0.22562674094707522</v>
      </c>
      <c r="H30" s="34">
        <v>0</v>
      </c>
      <c r="I30" s="24">
        <f>Tabla18208[Transactions 
In_Prog]/Tabla18208[Total]</f>
        <v>0</v>
      </c>
      <c r="J30" s="34">
        <v>15</v>
      </c>
      <c r="K30" s="24">
        <f>Tabla18208[Transactions 
Timeout]/Tabla18208[Total]</f>
        <v>4.1782729805013928E-2</v>
      </c>
      <c r="L30" s="34">
        <v>0</v>
      </c>
      <c r="M30" s="24">
        <f>Tabla18208[Transactions
Trans Fail]/Tabla18208[Total]</f>
        <v>0</v>
      </c>
    </row>
    <row r="31" spans="2:13" s="33" customFormat="1" x14ac:dyDescent="0.3">
      <c r="B31" s="37">
        <v>43115</v>
      </c>
      <c r="C31" s="35">
        <v>2868</v>
      </c>
      <c r="D31" s="34">
        <v>2350</v>
      </c>
      <c r="E31" s="24">
        <f>Tabla18208[Transactions 
Complete]/Tabla18208[Total]</f>
        <v>0.81938633193863319</v>
      </c>
      <c r="F31" s="34">
        <v>495</v>
      </c>
      <c r="G31" s="24">
        <f>Tabla18208[Transactions 
Failed]/Tabla18208[Total]</f>
        <v>0.17259414225941422</v>
      </c>
      <c r="H31" s="34">
        <v>0</v>
      </c>
      <c r="I31" s="24">
        <f>Tabla18208[Transactions 
In_Prog]/Tabla18208[Total]</f>
        <v>0</v>
      </c>
      <c r="J31" s="34">
        <v>23</v>
      </c>
      <c r="K31" s="24">
        <f>Tabla18208[Transactions 
Timeout]/Tabla18208[Total]</f>
        <v>8.0195258019525803E-3</v>
      </c>
      <c r="L31" s="34">
        <v>0</v>
      </c>
      <c r="M31" s="24">
        <f>Tabla18208[Transactions
Trans Fail]/Tabla18208[Total]</f>
        <v>0</v>
      </c>
    </row>
    <row r="32" spans="2:13" s="33" customFormat="1" x14ac:dyDescent="0.3">
      <c r="B32" s="37">
        <v>43116</v>
      </c>
      <c r="C32" s="35">
        <v>7297</v>
      </c>
      <c r="D32" s="34">
        <v>6280</v>
      </c>
      <c r="E32" s="24">
        <f>Tabla18208[Transactions 
Complete]/Tabla18208[Total]</f>
        <v>0.86062765520076745</v>
      </c>
      <c r="F32" s="34">
        <v>961</v>
      </c>
      <c r="G32" s="24">
        <f>Tabla18208[Transactions 
Failed]/Tabla18208[Total]</f>
        <v>0.13169795806495821</v>
      </c>
      <c r="H32" s="34">
        <v>0</v>
      </c>
      <c r="I32" s="24">
        <f>Tabla18208[Transactions 
In_Prog]/Tabla18208[Total]</f>
        <v>0</v>
      </c>
      <c r="J32" s="34">
        <v>56</v>
      </c>
      <c r="K32" s="24">
        <f>Tabla18208[Transactions 
Timeout]/Tabla18208[Total]</f>
        <v>7.6743867342743593E-3</v>
      </c>
      <c r="L32" s="34">
        <v>0</v>
      </c>
      <c r="M32" s="24">
        <f>Tabla18208[Transactions
Trans Fail]/Tabla18208[Total]</f>
        <v>0</v>
      </c>
    </row>
    <row r="33" spans="2:13" s="33" customFormat="1" x14ac:dyDescent="0.3">
      <c r="B33" s="37">
        <v>43117</v>
      </c>
      <c r="C33" s="35">
        <v>3434</v>
      </c>
      <c r="D33" s="34">
        <v>2732</v>
      </c>
      <c r="E33" s="24">
        <f>Tabla18208[Transactions 
Complete]/Tabla18208[Total]</f>
        <v>0.79557367501456033</v>
      </c>
      <c r="F33" s="34">
        <v>575</v>
      </c>
      <c r="G33" s="24">
        <f>Tabla18208[Transactions 
Failed]/Tabla18208[Total]</f>
        <v>0.16744321490972627</v>
      </c>
      <c r="H33" s="34">
        <v>0</v>
      </c>
      <c r="I33" s="24">
        <f>Tabla18208[Transactions 
In_Prog]/Tabla18208[Total]</f>
        <v>0</v>
      </c>
      <c r="J33" s="34">
        <v>127</v>
      </c>
      <c r="K33" s="24">
        <f>Tabla18208[Transactions 
Timeout]/Tabla18208[Total]</f>
        <v>3.6983110075713456E-2</v>
      </c>
      <c r="L33" s="34">
        <v>0</v>
      </c>
      <c r="M33" s="24">
        <f>Tabla18208[Transactions
Trans Fail]/Tabla18208[Total]</f>
        <v>0</v>
      </c>
    </row>
    <row r="34" spans="2:13" s="33" customFormat="1" x14ac:dyDescent="0.3">
      <c r="B34" s="37">
        <v>43118</v>
      </c>
      <c r="C34" s="35">
        <v>4424</v>
      </c>
      <c r="D34" s="34">
        <v>3445</v>
      </c>
      <c r="E34" s="24">
        <f>Tabla18208[Transactions 
Complete]/Tabla18208[Total]</f>
        <v>0.77870705244122962</v>
      </c>
      <c r="F34" s="34">
        <v>709</v>
      </c>
      <c r="G34" s="24">
        <f>Tabla18208[Transactions 
Failed]/Tabla18208[Total]</f>
        <v>0.1602622061482821</v>
      </c>
      <c r="H34" s="34">
        <v>0</v>
      </c>
      <c r="I34" s="24">
        <f>Tabla18208[Transactions 
In_Prog]/Tabla18208[Total]</f>
        <v>0</v>
      </c>
      <c r="J34" s="34">
        <v>270</v>
      </c>
      <c r="K34" s="24">
        <f>Tabla18208[Transactions 
Timeout]/Tabla18208[Total]</f>
        <v>6.1030741410488247E-2</v>
      </c>
      <c r="L34" s="34">
        <v>0</v>
      </c>
      <c r="M34" s="24">
        <f>Tabla18208[Transactions
Trans Fail]/Tabla18208[Total]</f>
        <v>0</v>
      </c>
    </row>
    <row r="35" spans="2:13" s="33" customFormat="1" x14ac:dyDescent="0.3">
      <c r="B35" s="37">
        <v>43119</v>
      </c>
      <c r="C35" s="35">
        <v>4328</v>
      </c>
      <c r="D35" s="34">
        <v>3576</v>
      </c>
      <c r="E35" s="24">
        <f>Tabla18208[Transactions 
Complete]/Tabla18208[Total]</f>
        <v>0.82624768946395566</v>
      </c>
      <c r="F35" s="34">
        <v>627</v>
      </c>
      <c r="G35" s="24">
        <f>Tabla18208[Transactions 
Failed]/Tabla18208[Total]</f>
        <v>0.14487060998151571</v>
      </c>
      <c r="H35" s="34">
        <v>0</v>
      </c>
      <c r="I35" s="24">
        <f>Tabla18208[Transactions 
In_Prog]/Tabla18208[Total]</f>
        <v>0</v>
      </c>
      <c r="J35" s="34">
        <v>125</v>
      </c>
      <c r="K35" s="24">
        <f>Tabla18208[Transactions 
Timeout]/Tabla18208[Total]</f>
        <v>2.8881700554528652E-2</v>
      </c>
      <c r="L35" s="34">
        <v>0</v>
      </c>
      <c r="M35" s="24">
        <f>Tabla18208[Transactions
Trans Fail]/Tabla18208[Total]</f>
        <v>0</v>
      </c>
    </row>
    <row r="36" spans="2:13" s="33" customFormat="1" x14ac:dyDescent="0.3">
      <c r="B36" s="37">
        <v>43120</v>
      </c>
      <c r="C36" s="35">
        <v>2248</v>
      </c>
      <c r="D36" s="34">
        <v>1876</v>
      </c>
      <c r="E36" s="24">
        <f>Tabla18208[Transactions 
Complete]/Tabla18208[Total]</f>
        <v>0.83451957295373669</v>
      </c>
      <c r="F36" s="34">
        <v>358</v>
      </c>
      <c r="G36" s="24">
        <f>Tabla18208[Transactions 
Failed]/Tabla18208[Total]</f>
        <v>0.15925266903914589</v>
      </c>
      <c r="H36" s="34">
        <v>0</v>
      </c>
      <c r="I36" s="24">
        <f>Tabla18208[Transactions 
In_Prog]/Tabla18208[Total]</f>
        <v>0</v>
      </c>
      <c r="J36" s="34">
        <v>14</v>
      </c>
      <c r="K36" s="24">
        <f>Tabla18208[Transactions 
Timeout]/Tabla18208[Total]</f>
        <v>6.2277580071174376E-3</v>
      </c>
      <c r="L36" s="34">
        <v>0</v>
      </c>
      <c r="M36" s="24">
        <f>Tabla18208[Transactions
Trans Fail]/Tabla18208[Total]</f>
        <v>0</v>
      </c>
    </row>
    <row r="37" spans="2:13" s="33" customFormat="1" x14ac:dyDescent="0.3">
      <c r="B37" s="37">
        <v>43121</v>
      </c>
      <c r="C37" s="35">
        <v>383</v>
      </c>
      <c r="D37" s="34">
        <v>311</v>
      </c>
      <c r="E37" s="24">
        <f>Tabla18208[Transactions 
Complete]/Tabla18208[Total]</f>
        <v>0.81201044386422971</v>
      </c>
      <c r="F37" s="34">
        <v>55</v>
      </c>
      <c r="G37" s="24">
        <f>Tabla18208[Transactions 
Failed]/Tabla18208[Total]</f>
        <v>0.14360313315926893</v>
      </c>
      <c r="H37" s="34">
        <v>0</v>
      </c>
      <c r="I37" s="24">
        <f>Tabla18208[Transactions 
In_Prog]/Tabla18208[Total]</f>
        <v>0</v>
      </c>
      <c r="J37" s="34">
        <v>17</v>
      </c>
      <c r="K37" s="24">
        <f>Tabla18208[Transactions 
Timeout]/Tabla18208[Total]</f>
        <v>4.4386422976501305E-2</v>
      </c>
      <c r="L37" s="34">
        <v>0</v>
      </c>
      <c r="M37" s="24">
        <f>Tabla18208[Transactions
Trans Fail]/Tabla18208[Total]</f>
        <v>0</v>
      </c>
    </row>
    <row r="38" spans="2:13" s="33" customFormat="1" x14ac:dyDescent="0.3">
      <c r="B38" s="37">
        <v>43122</v>
      </c>
      <c r="C38" s="35">
        <v>4972</v>
      </c>
      <c r="D38" s="34">
        <v>4294</v>
      </c>
      <c r="E38" s="24">
        <f>Tabla18208[Transactions 
Complete]/Tabla18208[Total]</f>
        <v>0.86363636363636365</v>
      </c>
      <c r="F38" s="34">
        <v>650</v>
      </c>
      <c r="G38" s="24">
        <f>Tabla18208[Transactions 
Failed]/Tabla18208[Total]</f>
        <v>0.13073209975864844</v>
      </c>
      <c r="H38" s="34">
        <v>0</v>
      </c>
      <c r="I38" s="24">
        <f>Tabla18208[Transactions 
In_Prog]/Tabla18208[Total]</f>
        <v>0</v>
      </c>
      <c r="J38" s="34">
        <v>28</v>
      </c>
      <c r="K38" s="24">
        <f>Tabla18208[Transactions 
Timeout]/Tabla18208[Total]</f>
        <v>5.6315366049879325E-3</v>
      </c>
      <c r="L38" s="34">
        <v>0</v>
      </c>
      <c r="M38" s="24">
        <f>Tabla18208[Transactions
Trans Fail]/Tabla18208[Total]</f>
        <v>0</v>
      </c>
    </row>
    <row r="39" spans="2:13" s="33" customFormat="1" x14ac:dyDescent="0.3">
      <c r="B39" s="37">
        <v>43123</v>
      </c>
      <c r="C39" s="35">
        <v>8700</v>
      </c>
      <c r="D39" s="34">
        <v>7872</v>
      </c>
      <c r="E39" s="24">
        <f>Tabla18208[Transactions 
Complete]/Tabla18208[Total]</f>
        <v>0.90482758620689652</v>
      </c>
      <c r="F39" s="34">
        <v>786</v>
      </c>
      <c r="G39" s="24">
        <f>Tabla18208[Transactions 
Failed]/Tabla18208[Total]</f>
        <v>9.0344827586206891E-2</v>
      </c>
      <c r="H39" s="34">
        <v>0</v>
      </c>
      <c r="I39" s="24">
        <f>Tabla18208[Transactions 
In_Prog]/Tabla18208[Total]</f>
        <v>0</v>
      </c>
      <c r="J39" s="34">
        <v>42</v>
      </c>
      <c r="K39" s="24">
        <f>Tabla18208[Transactions 
Timeout]/Tabla18208[Total]</f>
        <v>4.827586206896552E-3</v>
      </c>
      <c r="L39" s="34">
        <v>0</v>
      </c>
      <c r="M39" s="24">
        <f>Tabla18208[Transactions
Trans Fail]/Tabla18208[Total]</f>
        <v>0</v>
      </c>
    </row>
    <row r="40" spans="2:13" s="33" customFormat="1" x14ac:dyDescent="0.3">
      <c r="B40" s="37">
        <v>43124</v>
      </c>
      <c r="C40" s="35">
        <v>5619</v>
      </c>
      <c r="D40" s="34">
        <v>4869</v>
      </c>
      <c r="E40" s="24">
        <f>Tabla18208[Transactions 
Complete]/Tabla18208[Total]</f>
        <v>0.86652429257875063</v>
      </c>
      <c r="F40" s="34">
        <v>731</v>
      </c>
      <c r="G40" s="24">
        <f>Tabla18208[Transactions 
Failed]/Tabla18208[Total]</f>
        <v>0.13009432283324435</v>
      </c>
      <c r="H40" s="34">
        <v>0</v>
      </c>
      <c r="I40" s="24">
        <f>Tabla18208[Transactions 
In_Prog]/Tabla18208[Total]</f>
        <v>0</v>
      </c>
      <c r="J40" s="34">
        <v>19</v>
      </c>
      <c r="K40" s="24">
        <f>Tabla18208[Transactions 
Timeout]/Tabla18208[Total]</f>
        <v>3.3813845880049831E-3</v>
      </c>
      <c r="L40" s="34">
        <v>0</v>
      </c>
      <c r="M40" s="24">
        <f>Tabla18208[Transactions
Trans Fail]/Tabla18208[Total]</f>
        <v>0</v>
      </c>
    </row>
    <row r="41" spans="2:13" s="33" customFormat="1" x14ac:dyDescent="0.3">
      <c r="B41" s="37">
        <v>43125</v>
      </c>
      <c r="C41" s="35">
        <v>8352</v>
      </c>
      <c r="D41" s="34">
        <v>7434</v>
      </c>
      <c r="E41" s="24">
        <f>Tabla18208[Transactions 
Complete]/Tabla18208[Total]</f>
        <v>0.89008620689655171</v>
      </c>
      <c r="F41" s="34">
        <v>859</v>
      </c>
      <c r="G41" s="24">
        <f>Tabla18208[Transactions 
Failed]/Tabla18208[Total]</f>
        <v>0.10284961685823754</v>
      </c>
      <c r="H41" s="34">
        <v>0</v>
      </c>
      <c r="I41" s="24">
        <f>Tabla18208[Transactions 
In_Prog]/Tabla18208[Total]</f>
        <v>0</v>
      </c>
      <c r="J41" s="34">
        <v>59</v>
      </c>
      <c r="K41" s="24">
        <f>Tabla18208[Transactions 
Timeout]/Tabla18208[Total]</f>
        <v>7.0641762452107277E-3</v>
      </c>
      <c r="L41" s="34">
        <v>0</v>
      </c>
      <c r="M41" s="24">
        <f>Tabla18208[Transactions
Trans Fail]/Tabla18208[Total]</f>
        <v>0</v>
      </c>
    </row>
    <row r="42" spans="2:13" s="33" customFormat="1" x14ac:dyDescent="0.3">
      <c r="B42" s="37">
        <v>43126</v>
      </c>
      <c r="C42" s="35">
        <v>5185</v>
      </c>
      <c r="D42" s="34">
        <v>4548</v>
      </c>
      <c r="E42" s="24">
        <f>Tabla18208[Transactions 
Complete]/Tabla18208[Total]</f>
        <v>0.87714561234329802</v>
      </c>
      <c r="F42" s="34">
        <v>594</v>
      </c>
      <c r="G42" s="24">
        <f>Tabla18208[Transactions 
Failed]/Tabla18208[Total]</f>
        <v>0.11456123432979749</v>
      </c>
      <c r="H42" s="34">
        <v>0</v>
      </c>
      <c r="I42" s="24">
        <f>Tabla18208[Transactions 
In_Prog]/Tabla18208[Total]</f>
        <v>0</v>
      </c>
      <c r="J42" s="34">
        <v>43</v>
      </c>
      <c r="K42" s="24">
        <f>Tabla18208[Transactions 
Timeout]/Tabla18208[Total]</f>
        <v>8.2931533269045322E-3</v>
      </c>
      <c r="L42" s="34">
        <v>0</v>
      </c>
      <c r="M42" s="24">
        <f>Tabla18208[Transactions
Trans Fail]/Tabla18208[Total]</f>
        <v>0</v>
      </c>
    </row>
    <row r="43" spans="2:13" s="33" customFormat="1" x14ac:dyDescent="0.3">
      <c r="B43" s="37">
        <v>43127</v>
      </c>
      <c r="C43" s="35">
        <v>3340</v>
      </c>
      <c r="D43" s="34">
        <v>2887</v>
      </c>
      <c r="E43" s="24">
        <f>Tabla18208[Transactions 
Complete]/Tabla18208[Total]</f>
        <v>0.86437125748502996</v>
      </c>
      <c r="F43" s="34">
        <v>418</v>
      </c>
      <c r="G43" s="24">
        <f>Tabla18208[Transactions 
Failed]/Tabla18208[Total]</f>
        <v>0.1251497005988024</v>
      </c>
      <c r="H43" s="34">
        <v>0</v>
      </c>
      <c r="I43" s="24">
        <f>Tabla18208[Transactions 
In_Prog]/Tabla18208[Total]</f>
        <v>0</v>
      </c>
      <c r="J43" s="34">
        <v>35</v>
      </c>
      <c r="K43" s="24">
        <f>Tabla18208[Transactions 
Timeout]/Tabla18208[Total]</f>
        <v>1.0479041916167664E-2</v>
      </c>
      <c r="L43" s="34">
        <v>0</v>
      </c>
      <c r="M43" s="24">
        <f>Tabla18208[Transactions
Trans Fail]/Tabla18208[Total]</f>
        <v>0</v>
      </c>
    </row>
    <row r="44" spans="2:13" s="33" customFormat="1" x14ac:dyDescent="0.3">
      <c r="B44" s="37">
        <v>43128</v>
      </c>
      <c r="C44" s="35">
        <v>561</v>
      </c>
      <c r="D44" s="34">
        <v>434</v>
      </c>
      <c r="E44" s="24">
        <f>Tabla18208[Transactions 
Complete]/Tabla18208[Total]</f>
        <v>0.77361853832442062</v>
      </c>
      <c r="F44" s="34">
        <v>97</v>
      </c>
      <c r="G44" s="24">
        <f>Tabla18208[Transactions 
Failed]/Tabla18208[Total]</f>
        <v>0.17290552584670232</v>
      </c>
      <c r="H44" s="34">
        <v>0</v>
      </c>
      <c r="I44" s="24">
        <f>Tabla18208[Transactions 
In_Prog]/Tabla18208[Total]</f>
        <v>0</v>
      </c>
      <c r="J44" s="34">
        <v>30</v>
      </c>
      <c r="K44" s="24">
        <f>Tabla18208[Transactions 
Timeout]/Tabla18208[Total]</f>
        <v>5.3475935828877004E-2</v>
      </c>
      <c r="L44" s="34">
        <v>0</v>
      </c>
      <c r="M44" s="24">
        <f>Tabla18208[Transactions
Trans Fail]/Tabla18208[Total]</f>
        <v>0</v>
      </c>
    </row>
    <row r="45" spans="2:13" s="33" customFormat="1" x14ac:dyDescent="0.3">
      <c r="B45" s="37">
        <v>43129</v>
      </c>
      <c r="C45" s="35">
        <v>6023</v>
      </c>
      <c r="D45" s="34">
        <v>5039</v>
      </c>
      <c r="E45" s="24">
        <f>Tabla18208[Transactions 
Complete]/Tabla18208[Total]</f>
        <v>0.83662626598040846</v>
      </c>
      <c r="F45" s="34">
        <v>937</v>
      </c>
      <c r="G45" s="24">
        <f>Tabla18208[Transactions 
Failed]/Tabla18208[Total]</f>
        <v>0.15557031379711109</v>
      </c>
      <c r="H45" s="34">
        <v>0</v>
      </c>
      <c r="I45" s="24">
        <f>Tabla18208[Transactions 
In_Prog]/Tabla18208[Total]</f>
        <v>0</v>
      </c>
      <c r="J45" s="34">
        <v>47</v>
      </c>
      <c r="K45" s="24">
        <f>Tabla18208[Transactions 
Timeout]/Tabla18208[Total]</f>
        <v>7.8034202224804916E-3</v>
      </c>
      <c r="L45" s="34">
        <v>0</v>
      </c>
      <c r="M45" s="24">
        <f>Tabla18208[Transactions
Trans Fail]/Tabla18208[Total]</f>
        <v>0</v>
      </c>
    </row>
    <row r="46" spans="2:13" s="33" customFormat="1" x14ac:dyDescent="0.3">
      <c r="B46" s="37">
        <v>43130</v>
      </c>
      <c r="C46" s="35">
        <v>11410</v>
      </c>
      <c r="D46" s="34">
        <v>10121</v>
      </c>
      <c r="E46" s="24">
        <f>Tabla18208[Transactions 
Complete]/Tabla18208[Total]</f>
        <v>0.88702892199824712</v>
      </c>
      <c r="F46" s="34">
        <v>1229</v>
      </c>
      <c r="G46" s="24">
        <f>Tabla18208[Transactions 
Failed]/Tabla18208[Total]</f>
        <v>0.1077125328659071</v>
      </c>
      <c r="H46" s="34">
        <v>0</v>
      </c>
      <c r="I46" s="24">
        <f>Tabla18208[Transactions 
In_Prog]/Tabla18208[Total]</f>
        <v>0</v>
      </c>
      <c r="J46" s="34">
        <v>60</v>
      </c>
      <c r="K46" s="24">
        <f>Tabla18208[Transactions 
Timeout]/Tabla18208[Total]</f>
        <v>5.2585451358457495E-3</v>
      </c>
      <c r="L46" s="34">
        <v>0</v>
      </c>
      <c r="M46" s="24">
        <f>Tabla18208[Transactions
Trans Fail]/Tabla18208[Total]</f>
        <v>0</v>
      </c>
    </row>
    <row r="47" spans="2:13" s="33" customFormat="1" x14ac:dyDescent="0.3">
      <c r="B47" s="37">
        <v>43131</v>
      </c>
      <c r="C47" s="35">
        <v>8753</v>
      </c>
      <c r="D47" s="34">
        <v>7631</v>
      </c>
      <c r="E47" s="24">
        <f>Tabla18208[Transactions 
Complete]/Tabla18208[Total]</f>
        <v>0.87181537758482808</v>
      </c>
      <c r="F47" s="34">
        <v>1071</v>
      </c>
      <c r="G47" s="24">
        <f>Tabla18208[Transactions 
Failed]/Tabla18208[Total]</f>
        <v>0.12235804866902776</v>
      </c>
      <c r="H47" s="34">
        <v>0</v>
      </c>
      <c r="I47" s="24">
        <f>Tabla18208[Transactions 
In_Prog]/Tabla18208[Total]</f>
        <v>0</v>
      </c>
      <c r="J47" s="34">
        <v>51</v>
      </c>
      <c r="K47" s="24">
        <f>Tabla18208[Transactions 
Timeout]/Tabla18208[Total]</f>
        <v>5.8265737461441792E-3</v>
      </c>
      <c r="L47" s="34">
        <v>0</v>
      </c>
      <c r="M47" s="24">
        <f>Tabla18208[Transactions
Trans Fail]/Tabla18208[Total]</f>
        <v>0</v>
      </c>
    </row>
    <row r="48" spans="2:13" ht="24" x14ac:dyDescent="0.3">
      <c r="B48" s="82" t="s">
        <v>26</v>
      </c>
      <c r="C48" s="83">
        <f>SUM(Tabla18208[Total])</f>
        <v>165236</v>
      </c>
      <c r="D48" s="83">
        <f>SUM(Tabla18208[Transactions 
Complete])</f>
        <v>140390</v>
      </c>
      <c r="E48" s="84">
        <f>AVERAGE(Tabla18208[%
Complete])</f>
        <v>0.81500354453828605</v>
      </c>
      <c r="F48" s="83">
        <f>SUM(Tabla18208[Transactions 
Failed])</f>
        <v>20750</v>
      </c>
      <c r="G48" s="84">
        <f>AVERAGE(Tabla18208[% 
Failed])</f>
        <v>0.13475203909315445</v>
      </c>
      <c r="H48" s="83">
        <f>SUM(Tabla18208[Transactions 
In_Prog])</f>
        <v>0</v>
      </c>
      <c r="I48" s="84">
        <f>AVERAGE(Tabla18208[%
In_Prog])</f>
        <v>0</v>
      </c>
      <c r="J48" s="83">
        <f>SUM(Tabla18208[Transactions 
Timeout])</f>
        <v>4096</v>
      </c>
      <c r="K48" s="84">
        <f>AVERAGE(Tabla18208[%
Timeout])</f>
        <v>5.0244416368559593E-2</v>
      </c>
      <c r="L48" s="83">
        <f>SUM(Tabla18208[Transactions
Trans Fail])</f>
        <v>0</v>
      </c>
      <c r="M48" s="84">
        <f>AVERAGE(Tabla18208[% 
Trans Fail])</f>
        <v>0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3"/>
  <sheetViews>
    <sheetView topLeftCell="A7" workbookViewId="0">
      <selection activeCell="C15" sqref="C15:M1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40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>
        <f>D15</f>
        <v>128988</v>
      </c>
      <c r="D7" s="12">
        <f>C7/C6</f>
        <v>0.86900381272155358</v>
      </c>
    </row>
    <row r="8" spans="2:16" x14ac:dyDescent="0.3">
      <c r="B8" s="9" t="s">
        <v>7</v>
      </c>
      <c r="C8" s="11">
        <f>F15</f>
        <v>16239</v>
      </c>
      <c r="D8" s="12">
        <f>C8/C6</f>
        <v>0.10940361052799724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3205</v>
      </c>
      <c r="D10" s="12">
        <f>C10/C6</f>
        <v>2.1592374637738235E-2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148432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SUM(Tabla18203[Total])</f>
        <v>148432.02999999997</v>
      </c>
      <c r="D15" s="14">
        <f>SUM(Tabla18203[Transactions 
Complete])</f>
        <v>128988</v>
      </c>
      <c r="E15" s="15">
        <f>AVERAGE(Tabla18203[%
Complete])</f>
        <v>0.74311443724170234</v>
      </c>
      <c r="F15" s="14">
        <f>SUM(Tabla18203[Transactions 
Failed])</f>
        <v>16239</v>
      </c>
      <c r="G15" s="15">
        <f>AVERAGE(Tabla18203[% 
Failed])</f>
        <v>0.13744301582667229</v>
      </c>
      <c r="H15" s="14">
        <f>SUM(Tabla18203[Transactions 
In_Prog])</f>
        <v>0</v>
      </c>
      <c r="I15" s="15">
        <f>AVERAGE(Tabla18203[%
In_Prog])</f>
        <v>0</v>
      </c>
      <c r="J15" s="14">
        <f>SUM(Tabla18203[Transactions 
Timeout])</f>
        <v>3205</v>
      </c>
      <c r="K15" s="15">
        <f>AVERAGE(Tabla18203[%
Timeout])</f>
        <v>1.2299689788768378E-2</v>
      </c>
      <c r="L15" s="14">
        <f>SUM(Tabla18203[Transactions
Trans Fail])</f>
        <v>0</v>
      </c>
      <c r="M15" s="15">
        <f>AVERAGE(Tabla18203[%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>
        <f>Tabla18203[Transactions 
Complete]/Tabla18203[Total]</f>
        <v>0.82278237444679625</v>
      </c>
      <c r="F17" s="34">
        <v>905</v>
      </c>
      <c r="G17" s="36">
        <f>Tabla18203[Transactions 
Failed]/Tabla18203[Total]</f>
        <v>0.17413892630363673</v>
      </c>
      <c r="H17" s="34">
        <v>0</v>
      </c>
      <c r="I17" s="36">
        <f>Tabla18203[Transactions 
In_Prog]/Tabla18203[Total]</f>
        <v>0</v>
      </c>
      <c r="J17" s="34">
        <v>16</v>
      </c>
      <c r="K17" s="36">
        <f>Tabla18203[Transactions 
Timeout]/Tabla18203[Total]</f>
        <v>3.0786992495670578E-3</v>
      </c>
      <c r="L17" s="34">
        <v>0</v>
      </c>
      <c r="M17" s="36">
        <f>Tabla18203[Transactions
Trans Fail]/Tabla18203[Total]</f>
        <v>0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>
        <f>Tabla18203[Transactions 
Complete]/Tabla18203[Total]</f>
        <v>0.87614951053099965</v>
      </c>
      <c r="F18" s="34">
        <v>805</v>
      </c>
      <c r="G18" s="36">
        <f>Tabla18203[Transactions 
Failed]/Tabla18203[Total]</f>
        <v>0.11940077128448531</v>
      </c>
      <c r="H18" s="34">
        <v>0</v>
      </c>
      <c r="I18" s="36">
        <f>Tabla18203[Transactions 
In_Prog]/Tabla18203[Total]</f>
        <v>0</v>
      </c>
      <c r="J18" s="34">
        <v>30</v>
      </c>
      <c r="K18" s="36">
        <f>Tabla18203[Transactions 
Timeout]/Tabla18203[Total]</f>
        <v>4.4497181845149806E-3</v>
      </c>
      <c r="L18" s="34">
        <v>0</v>
      </c>
      <c r="M18" s="36">
        <f>Tabla18203[Transactions
Trans Fail]/Tabla18203[Total]</f>
        <v>0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>
        <f>Tabla18203[Transactions 
Complete]/Tabla18203[Total]</f>
        <v>0.85344827586206895</v>
      </c>
      <c r="F19" s="34">
        <v>366</v>
      </c>
      <c r="G19" s="36">
        <f>Tabla18203[Transactions 
Failed]/Tabla18203[Total]</f>
        <v>0.13718140929535233</v>
      </c>
      <c r="H19" s="34">
        <v>0</v>
      </c>
      <c r="I19" s="36">
        <f>Tabla18203[Transactions 
In_Prog]/Tabla18203[Total]</f>
        <v>0</v>
      </c>
      <c r="J19" s="34">
        <v>25</v>
      </c>
      <c r="K19" s="36">
        <f>Tabla18203[Transactions 
Timeout]/Tabla18203[Total]</f>
        <v>9.370314842578711E-3</v>
      </c>
      <c r="L19" s="34">
        <v>0</v>
      </c>
      <c r="M19" s="36">
        <f>Tabla18203[Transactions
Trans Fail]/Tabla18203[Total]</f>
        <v>0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>
        <f>Tabla18203[Transactions 
Complete]/Tabla18203[Total]</f>
        <v>0.88888888888888884</v>
      </c>
      <c r="F20" s="34">
        <v>140</v>
      </c>
      <c r="G20" s="36">
        <f>Tabla18203[Transactions 
Failed]/Tabla18203[Total]</f>
        <v>0.10582010582010581</v>
      </c>
      <c r="H20" s="34">
        <v>0</v>
      </c>
      <c r="I20" s="36">
        <f>Tabla18203[Transactions 
In_Prog]/Tabla18203[Total]</f>
        <v>0</v>
      </c>
      <c r="J20" s="34">
        <v>7</v>
      </c>
      <c r="K20" s="36">
        <f>Tabla18203[Transactions 
Timeout]/Tabla18203[Total]</f>
        <v>5.2910052910052907E-3</v>
      </c>
      <c r="L20" s="34">
        <v>0</v>
      </c>
      <c r="M20" s="36">
        <f>Tabla18203[Transactions
Trans Fail]/Tabla18203[Total]</f>
        <v>0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>
        <f>Tabla18203[Transactions 
Complete]/Tabla18203[Total]</f>
        <v>0.85763000852514915</v>
      </c>
      <c r="F21" s="34">
        <v>959</v>
      </c>
      <c r="G21" s="36">
        <f>Tabla18203[Transactions 
Failed]/Tabla18203[Total]</f>
        <v>0.13626030122193805</v>
      </c>
      <c r="H21" s="34">
        <v>0</v>
      </c>
      <c r="I21" s="36">
        <f>Tabla18203[Transactions 
In_Prog]/Tabla18203[Total]</f>
        <v>0</v>
      </c>
      <c r="J21" s="34">
        <v>43</v>
      </c>
      <c r="K21" s="36">
        <f>Tabla18203[Transactions 
Timeout]/Tabla18203[Total]</f>
        <v>6.1096902529127594E-3</v>
      </c>
      <c r="L21" s="34">
        <v>0</v>
      </c>
      <c r="M21" s="36">
        <f>Tabla18203[Transactions
Trans Fail]/Tabla18203[Total]</f>
        <v>0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>
        <f>Tabla18203[Transactions 
Complete]/Tabla18203[Total]</f>
        <v>0.91541714725105727</v>
      </c>
      <c r="F22" s="34">
        <v>869</v>
      </c>
      <c r="G22" s="36">
        <f>Tabla18203[Transactions 
Failed]/Tabla18203[Total]</f>
        <v>8.3525567089580935E-2</v>
      </c>
      <c r="H22" s="34">
        <v>0</v>
      </c>
      <c r="I22" s="36">
        <f>Tabla18203[Transactions 
In_Prog]/Tabla18203[Total]</f>
        <v>0</v>
      </c>
      <c r="J22" s="34">
        <v>11</v>
      </c>
      <c r="K22" s="36">
        <f>Tabla18203[Transactions 
Timeout]/Tabla18203[Total]</f>
        <v>1.057285659361784E-3</v>
      </c>
      <c r="L22" s="34">
        <v>0</v>
      </c>
      <c r="M22" s="36">
        <f>Tabla18203[Transactions
Trans Fail]/Tabla18203[Total]</f>
        <v>0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>
        <f>Tabla18203[Transactions 
Complete]/Tabla18203[Total]</f>
        <v>0.882954345143663</v>
      </c>
      <c r="F23" s="34">
        <v>647</v>
      </c>
      <c r="G23" s="36">
        <f>Tabla18203[Transactions 
Failed]/Tabla18203[Total]</f>
        <v>0.11404900405429226</v>
      </c>
      <c r="H23" s="39">
        <v>0</v>
      </c>
      <c r="I23" s="36">
        <f>Tabla18203[Transactions 
In_Prog]/Tabla18203[Total]</f>
        <v>0</v>
      </c>
      <c r="J23" s="34">
        <v>17</v>
      </c>
      <c r="K23" s="36">
        <f>Tabla18203[Transactions 
Timeout]/Tabla18203[Total]</f>
        <v>2.9966508020447735E-3</v>
      </c>
      <c r="L23" s="39">
        <v>0</v>
      </c>
      <c r="M23" s="36">
        <f>Tabla18203[Transactions
Trans Fail]/Tabla18203[Total]</f>
        <v>0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>
        <f>Tabla18203[Transactions 
Complete]/Tabla18203[Total]</f>
        <v>0.88339222614840984</v>
      </c>
      <c r="F24" s="34">
        <v>729</v>
      </c>
      <c r="G24" s="36">
        <f>Tabla18203[Transactions 
Failed]/Tabla18203[Total]</f>
        <v>0.11199877093255492</v>
      </c>
      <c r="H24" s="34">
        <v>0</v>
      </c>
      <c r="I24" s="36">
        <f>Tabla18203[Transactions 
In_Prog]/Tabla18203[Total]</f>
        <v>0</v>
      </c>
      <c r="J24" s="34">
        <v>30</v>
      </c>
      <c r="K24" s="36">
        <f>Tabla18203[Transactions 
Timeout]/Tabla18203[Total]</f>
        <v>4.6090029190351822E-3</v>
      </c>
      <c r="L24" s="34">
        <v>0</v>
      </c>
      <c r="M24" s="36">
        <f>Tabla18203[Transactions
Trans Fail]/Tabla18203[Total]</f>
        <v>0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>
        <f>Tabla18203[Transactions 
Complete]/Tabla18203[Total]</f>
        <v>0.85795578901291314</v>
      </c>
      <c r="F25" s="34">
        <v>604</v>
      </c>
      <c r="G25" s="36">
        <f>Tabla18203[Transactions 
Failed]/Tabla18203[Total]</f>
        <v>0.13219522871525499</v>
      </c>
      <c r="H25" s="34">
        <v>0</v>
      </c>
      <c r="I25" s="36">
        <f>Tabla18203[Transactions 
In_Prog]/Tabla18203[Total]</f>
        <v>0</v>
      </c>
      <c r="J25" s="34">
        <v>45</v>
      </c>
      <c r="K25" s="36">
        <f>Tabla18203[Transactions 
Timeout]/Tabla18203[Total]</f>
        <v>9.8489822718319103E-3</v>
      </c>
      <c r="L25" s="34">
        <v>0</v>
      </c>
      <c r="M25" s="36">
        <f>Tabla18203[Transactions
Trans Fail]/Tabla18203[Total]</f>
        <v>0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>
        <f>Tabla18203[Transactions 
Complete]/Tabla18203[Total]</f>
        <v>0.87598425196850394</v>
      </c>
      <c r="F26" s="34">
        <v>305</v>
      </c>
      <c r="G26" s="36">
        <f>Tabla18203[Transactions 
Failed]/Tabla18203[Total]</f>
        <v>0.12007874015748031</v>
      </c>
      <c r="H26" s="34">
        <v>0</v>
      </c>
      <c r="I26" s="36">
        <f>Tabla18203[Transactions 
In_Prog]/Tabla18203[Total]</f>
        <v>0</v>
      </c>
      <c r="J26" s="34">
        <v>10</v>
      </c>
      <c r="K26" s="36">
        <f>Tabla18203[Transactions 
Timeout]/Tabla18203[Total]</f>
        <v>3.937007874015748E-3</v>
      </c>
      <c r="L26" s="34">
        <v>0</v>
      </c>
      <c r="M26" s="36">
        <f>Tabla18203[Transactions
Trans Fail]/Tabla18203[Total]</f>
        <v>0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>
        <f>Tabla18203[Transactions 
Complete]/Tabla18203[Total]</f>
        <v>0.77401129943502822</v>
      </c>
      <c r="F27" s="34">
        <v>119</v>
      </c>
      <c r="G27" s="36">
        <f>Tabla18203[Transactions 
Failed]/Tabla18203[Total]</f>
        <v>0.22410546139359699</v>
      </c>
      <c r="H27" s="34">
        <v>0</v>
      </c>
      <c r="I27" s="36">
        <f>Tabla18203[Transactions 
In_Prog]/Tabla18203[Total]</f>
        <v>0</v>
      </c>
      <c r="J27" s="34">
        <v>1</v>
      </c>
      <c r="K27" s="36">
        <f>Tabla18203[Transactions 
Timeout]/Tabla18203[Total]</f>
        <v>1.8832391713747645E-3</v>
      </c>
      <c r="L27" s="34">
        <v>0</v>
      </c>
      <c r="M27" s="36">
        <f>Tabla18203[Transactions
Trans Fail]/Tabla18203[Total]</f>
        <v>0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>
        <f>Tabla18203[Transactions 
Complete]/Tabla18203[Total]</f>
        <v>0.91428143263899297</v>
      </c>
      <c r="F28" s="34">
        <v>556</v>
      </c>
      <c r="G28" s="36">
        <f>Tabla18203[Transactions 
Failed]/Tabla18203[Total]</f>
        <v>8.3320845197062787E-2</v>
      </c>
      <c r="H28" s="34">
        <v>0</v>
      </c>
      <c r="I28" s="36">
        <f>Tabla18203[Transactions 
In_Prog]/Tabla18203[Total]</f>
        <v>0</v>
      </c>
      <c r="J28" s="34">
        <v>16</v>
      </c>
      <c r="K28" s="36">
        <f>Tabla18203[Transactions 
Timeout]/Tabla18203[Total]</f>
        <v>2.3977221639442528E-3</v>
      </c>
      <c r="L28" s="34">
        <v>0</v>
      </c>
      <c r="M28" s="36">
        <f>Tabla18203[Transactions
Trans Fail]/Tabla18203[Total]</f>
        <v>0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>
        <f>Tabla18203[Transactions 
Complete]/Tabla18203[Total]</f>
        <v>0.88711734693877553</v>
      </c>
      <c r="F29" s="34">
        <v>514</v>
      </c>
      <c r="G29" s="36">
        <f>Tabla18203[Transactions 
Failed]/Tabla18203[Total]</f>
        <v>0.10926870748299319</v>
      </c>
      <c r="H29" s="34">
        <v>0</v>
      </c>
      <c r="I29" s="36">
        <f>Tabla18203[Transactions 
In_Prog]/Tabla18203[Total]</f>
        <v>0</v>
      </c>
      <c r="J29" s="34">
        <v>17</v>
      </c>
      <c r="K29" s="36">
        <f>Tabla18203[Transactions 
Timeout]/Tabla18203[Total]</f>
        <v>3.6139455782312926E-3</v>
      </c>
      <c r="L29" s="34">
        <v>0</v>
      </c>
      <c r="M29" s="36">
        <f>Tabla18203[Transactions
Trans Fail]/Tabla18203[Total]</f>
        <v>0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>
        <f>Tabla18203[Transactions 
Complete]/Tabla18203[Total]</f>
        <v>0.85146579804560263</v>
      </c>
      <c r="F30" s="34">
        <v>223</v>
      </c>
      <c r="G30" s="36">
        <f>Tabla18203[Transactions 
Failed]/Tabla18203[Total]</f>
        <v>0.14527687296416938</v>
      </c>
      <c r="H30" s="34">
        <v>0</v>
      </c>
      <c r="I30" s="36">
        <f>Tabla18203[Transactions 
In_Prog]/Tabla18203[Total]</f>
        <v>0</v>
      </c>
      <c r="J30" s="34">
        <v>5</v>
      </c>
      <c r="K30" s="36">
        <f>Tabla18203[Transactions 
Timeout]/Tabla18203[Total]</f>
        <v>3.2573289902280132E-3</v>
      </c>
      <c r="L30" s="34">
        <v>0</v>
      </c>
      <c r="M30" s="36">
        <f>Tabla18203[Transactions
Trans Fail]/Tabla18203[Total]</f>
        <v>0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>
        <f>Tabla18203[Transactions 
Complete]/Tabla18203[Total]</f>
        <v>0.87492410443230118</v>
      </c>
      <c r="F31" s="34">
        <v>597</v>
      </c>
      <c r="G31" s="36">
        <f>Tabla18203[Transactions 
Failed]/Tabla18203[Total]</f>
        <v>0.12082574377656345</v>
      </c>
      <c r="H31" s="34">
        <v>0</v>
      </c>
      <c r="I31" s="36">
        <f>Tabla18203[Transactions 
In_Prog]/Tabla18203[Total]</f>
        <v>0</v>
      </c>
      <c r="J31" s="34">
        <v>21</v>
      </c>
      <c r="K31" s="36">
        <f>Tabla18203[Transactions 
Timeout]/Tabla18203[Total]</f>
        <v>4.2501517911353974E-3</v>
      </c>
      <c r="L31" s="34">
        <v>0</v>
      </c>
      <c r="M31" s="36">
        <f>Tabla18203[Transactions
Trans Fail]/Tabla18203[Total]</f>
        <v>0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36">
        <f>Tabla18203[Transactions 
Complete]/Tabla18203[Total]</f>
        <v>0.86162657502863693</v>
      </c>
      <c r="F32" s="21">
        <v>593</v>
      </c>
      <c r="G32" s="36">
        <f>Tabla18203[Transactions 
Failed]/Tabla18203[Total]</f>
        <v>0.13585337915234821</v>
      </c>
      <c r="H32" s="21">
        <v>0</v>
      </c>
      <c r="I32" s="36">
        <f>Tabla18203[Transactions 
In_Prog]/Tabla18203[Total]</f>
        <v>0</v>
      </c>
      <c r="J32" s="21">
        <v>11</v>
      </c>
      <c r="K32" s="36">
        <f>Tabla18203[Transactions 
Timeout]/Tabla18203[Total]</f>
        <v>2.5200458190148913E-3</v>
      </c>
      <c r="L32" s="21">
        <v>0</v>
      </c>
      <c r="M32" s="36">
        <f>Tabla18203[Transactions
Trans Fail]/Tabla18203[Total]</f>
        <v>0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>
        <f>Tabla18203[Transactions 
Complete]/Tabla18203[Total]</f>
        <v>0.96875</v>
      </c>
      <c r="F33" s="34">
        <v>1</v>
      </c>
      <c r="G33" s="36">
        <f>Tabla18203[Transactions 
Failed]/Tabla18203[Total]</f>
        <v>3.125E-2</v>
      </c>
      <c r="H33" s="34">
        <v>0</v>
      </c>
      <c r="I33" s="36">
        <f>Tabla18203[Transactions 
In_Prog]/Tabla18203[Total]</f>
        <v>0</v>
      </c>
      <c r="J33" s="34">
        <v>0</v>
      </c>
      <c r="K33" s="36">
        <f>Tabla18203[Transactions 
Timeout]/Tabla18203[Total]</f>
        <v>0</v>
      </c>
      <c r="L33" s="34">
        <v>0</v>
      </c>
      <c r="M33" s="36">
        <f>Tabla18203[Transactions
Trans Fail]/Tabla18203[Total]</f>
        <v>0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>
        <f>Tabla18203[Transactions 
Complete]/Tabla18203[Total]</f>
        <v>0</v>
      </c>
      <c r="F34" s="34">
        <v>0</v>
      </c>
      <c r="G34" s="36">
        <f>Tabla18203[Transactions 
Failed]/Tabla18203[Total]</f>
        <v>0</v>
      </c>
      <c r="H34" s="34">
        <v>0</v>
      </c>
      <c r="I34" s="36">
        <f>Tabla18203[Transactions 
In_Prog]/Tabla18203[Total]</f>
        <v>0</v>
      </c>
      <c r="J34" s="34">
        <v>0</v>
      </c>
      <c r="K34" s="36">
        <f>Tabla18203[Transactions 
Timeout]/Tabla18203[Total]</f>
        <v>0</v>
      </c>
      <c r="L34" s="34">
        <v>0</v>
      </c>
      <c r="M34" s="36">
        <f>Tabla18203[Transactions
Trans Fail]/Tabla18203[Total]</f>
        <v>0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>
        <f>Tabla18203[Transactions 
Complete]/Tabla18203[Total]</f>
        <v>0</v>
      </c>
      <c r="F35" s="34">
        <v>0</v>
      </c>
      <c r="G35" s="36">
        <f>Tabla18203[Transactions 
Failed]/Tabla18203[Total]</f>
        <v>0</v>
      </c>
      <c r="H35" s="34">
        <v>0</v>
      </c>
      <c r="I35" s="36">
        <f>Tabla18203[Transactions 
In_Prog]/Tabla18203[Total]</f>
        <v>0</v>
      </c>
      <c r="J35" s="34">
        <v>0</v>
      </c>
      <c r="K35" s="36">
        <f>Tabla18203[Transactions 
Timeout]/Tabla18203[Total]</f>
        <v>0</v>
      </c>
      <c r="L35" s="34">
        <v>0</v>
      </c>
      <c r="M35" s="36">
        <f>Tabla18203[Transactions
Trans Fail]/Tabla18203[Total]</f>
        <v>0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>
        <f>Tabla18203[Transactions 
Complete]/Tabla18203[Total]</f>
        <v>0</v>
      </c>
      <c r="F36" s="34">
        <v>0</v>
      </c>
      <c r="G36" s="36">
        <f>Tabla18203[Transactions 
Failed]/Tabla18203[Total]</f>
        <v>0</v>
      </c>
      <c r="H36" s="34">
        <v>0</v>
      </c>
      <c r="I36" s="36">
        <f>Tabla18203[Transactions 
In_Prog]/Tabla18203[Total]</f>
        <v>0</v>
      </c>
      <c r="J36" s="34">
        <v>0</v>
      </c>
      <c r="K36" s="36">
        <f>Tabla18203[Transactions 
Timeout]/Tabla18203[Total]</f>
        <v>0</v>
      </c>
      <c r="L36" s="34">
        <v>0</v>
      </c>
      <c r="M36" s="36">
        <f>Tabla18203[Transactions
Trans Fail]/Tabla18203[Total]</f>
        <v>0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>
        <f>Tabla18203[Transactions 
Complete]/Tabla18203[Total]</f>
        <v>0</v>
      </c>
      <c r="F37" s="34">
        <v>1</v>
      </c>
      <c r="G37" s="36">
        <f>Tabla18203[Transactions 
Failed]/Tabla18203[Total]</f>
        <v>1</v>
      </c>
      <c r="H37" s="34">
        <v>0</v>
      </c>
      <c r="I37" s="36">
        <f>Tabla18203[Transactions 
In_Prog]/Tabla18203[Total]</f>
        <v>0</v>
      </c>
      <c r="J37" s="34">
        <v>0</v>
      </c>
      <c r="K37" s="36">
        <f>Tabla18203[Transactions 
Timeout]/Tabla18203[Total]</f>
        <v>0</v>
      </c>
      <c r="L37" s="34">
        <v>0</v>
      </c>
      <c r="M37" s="36">
        <f>Tabla18203[Transactions
Trans Fail]/Tabla18203[Total]</f>
        <v>0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>
        <f>Tabla18203[Transactions 
Complete]/Tabla18203[Total]</f>
        <v>0.89523538884152698</v>
      </c>
      <c r="F38" s="34">
        <v>976</v>
      </c>
      <c r="G38" s="36">
        <f>Tabla18203[Transactions 
Failed]/Tabla18203[Total]</f>
        <v>9.2450506772757415E-2</v>
      </c>
      <c r="H38" s="34">
        <v>0</v>
      </c>
      <c r="I38" s="36">
        <f>Tabla18203[Transactions 
In_Prog]/Tabla18203[Total]</f>
        <v>0</v>
      </c>
      <c r="J38" s="34">
        <v>130</v>
      </c>
      <c r="K38" s="36">
        <f>Tabla18203[Transactions 
Timeout]/Tabla18203[Total]</f>
        <v>1.2314104385715639E-2</v>
      </c>
      <c r="L38" s="34">
        <v>0</v>
      </c>
      <c r="M38" s="36">
        <f>Tabla18203[Transactions
Trans Fail]/Tabla18203[Total]</f>
        <v>0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>
        <f>Tabla18203[Transactions 
Complete]/Tabla18203[Total]</f>
        <v>0.84851908643370189</v>
      </c>
      <c r="F39" s="34">
        <v>1760</v>
      </c>
      <c r="G39" s="36">
        <f>Tabla18203[Transactions 
Failed]/Tabla18203[Total]</f>
        <v>0.14203857638608666</v>
      </c>
      <c r="H39" s="34">
        <v>0</v>
      </c>
      <c r="I39" s="36">
        <f>Tabla18203[Transactions 
In_Prog]/Tabla18203[Total]</f>
        <v>0</v>
      </c>
      <c r="J39" s="34">
        <v>117</v>
      </c>
      <c r="K39" s="36">
        <f>Tabla18203[Transactions 
Timeout]/Tabla18203[Total]</f>
        <v>9.4423371802114433E-3</v>
      </c>
      <c r="L39" s="34">
        <v>0</v>
      </c>
      <c r="M39" s="36">
        <f>Tabla18203[Transactions
Trans Fail]/Tabla18203[Total]</f>
        <v>0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>
        <f>Tabla18203[Transactions 
Complete]/Tabla18203[Total]</f>
        <v>0.90022050716648294</v>
      </c>
      <c r="F40" s="34">
        <v>512</v>
      </c>
      <c r="G40" s="36">
        <f>Tabla18203[Transactions 
Failed]/Tabla18203[Total]</f>
        <v>9.4083057699375236E-2</v>
      </c>
      <c r="H40" s="34">
        <v>0</v>
      </c>
      <c r="I40" s="36">
        <f>Tabla18203[Transactions 
In_Prog]/Tabla18203[Total]</f>
        <v>0</v>
      </c>
      <c r="J40" s="34">
        <v>31</v>
      </c>
      <c r="K40" s="36">
        <f>Tabla18203[Transactions 
Timeout]/Tabla18203[Total]</f>
        <v>5.6964351341418596E-3</v>
      </c>
      <c r="L40" s="34">
        <v>0</v>
      </c>
      <c r="M40" s="36">
        <f>Tabla18203[Transactions
Trans Fail]/Tabla18203[Total]</f>
        <v>0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>
        <f>Tabla18203[Transactions 
Complete]/Tabla18203[Total]</f>
        <v>0.74772147283995627</v>
      </c>
      <c r="F41" s="34">
        <v>497</v>
      </c>
      <c r="G41" s="36">
        <f>Tabla18203[Transactions 
Failed]/Tabla18203[Total]</f>
        <v>0.18118847976667882</v>
      </c>
      <c r="H41" s="34">
        <v>0</v>
      </c>
      <c r="I41" s="36">
        <f>Tabla18203[Transactions 
In_Prog]/Tabla18203[Total]</f>
        <v>0</v>
      </c>
      <c r="J41" s="34">
        <v>195</v>
      </c>
      <c r="K41" s="36">
        <f>Tabla18203[Transactions 
Timeout]/Tabla18203[Total]</f>
        <v>7.1090047393364927E-2</v>
      </c>
      <c r="L41" s="34">
        <v>0</v>
      </c>
      <c r="M41" s="36">
        <f>Tabla18203[Transactions
Trans Fail]/Tabla18203[Total]</f>
        <v>0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>
        <f>Tabla18203[Transactions 
Complete]/Tabla18203[Total]</f>
        <v>0.90011630293493872</v>
      </c>
      <c r="F42" s="34">
        <v>1413</v>
      </c>
      <c r="G42" s="36">
        <f>Tabla18203[Transactions 
Failed]/Tabla18203[Total]</f>
        <v>9.6668262981459946E-2</v>
      </c>
      <c r="H42" s="34">
        <v>0</v>
      </c>
      <c r="I42" s="36">
        <f>Tabla18203[Transactions 
In_Prog]/Tabla18203[Total]</f>
        <v>0</v>
      </c>
      <c r="J42" s="34">
        <v>47</v>
      </c>
      <c r="K42" s="36">
        <f>Tabla18203[Transactions 
Timeout]/Tabla18203[Total]</f>
        <v>3.2154340836012861E-3</v>
      </c>
      <c r="L42" s="34">
        <v>0</v>
      </c>
      <c r="M42" s="36">
        <f>Tabla18203[Transactions
Trans Fail]/Tabla18203[Total]</f>
        <v>0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>
        <f>Tabla18203[Transactions 
Complete]/Tabla18203[Total]</f>
        <v>0.88804807478299574</v>
      </c>
      <c r="F43" s="34">
        <v>863</v>
      </c>
      <c r="G43" s="36">
        <f>Tabla18203[Transactions 
Failed]/Tabla18203[Total]</f>
        <v>6.4025521181096515E-2</v>
      </c>
      <c r="H43" s="34">
        <v>0</v>
      </c>
      <c r="I43" s="36">
        <f>Tabla18203[Transactions 
In_Prog]/Tabla18203[Total]</f>
        <v>0</v>
      </c>
      <c r="J43" s="34">
        <v>646</v>
      </c>
      <c r="K43" s="36">
        <f>Tabla18203[Transactions 
Timeout]/Tabla18203[Total]</f>
        <v>4.7926404035907706E-2</v>
      </c>
      <c r="L43" s="34">
        <v>0</v>
      </c>
      <c r="M43" s="36">
        <f>Tabla18203[Transactions
Trans Fail]/Tabla18203[Total]</f>
        <v>0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>
        <f>Tabla18203[Transactions 
Complete]/Tabla18203[Total]</f>
        <v>0.78056403547027187</v>
      </c>
      <c r="F44" s="34">
        <v>1285</v>
      </c>
      <c r="G44" s="36">
        <f>Tabla18203[Transactions 
Failed]/Tabla18203[Total]</f>
        <v>9.3400203517953195E-2</v>
      </c>
      <c r="H44" s="34">
        <v>0</v>
      </c>
      <c r="I44" s="36">
        <f>Tabla18203[Transactions 
In_Prog]/Tabla18203[Total]</f>
        <v>0</v>
      </c>
      <c r="J44" s="34">
        <v>1734</v>
      </c>
      <c r="K44" s="36">
        <f>Tabla18203[Transactions 
Timeout]/Tabla18203[Total]</f>
        <v>0.12603576101177497</v>
      </c>
      <c r="L44" s="34">
        <v>0</v>
      </c>
      <c r="M44" s="36">
        <f>Tabla18203[Transactions
Trans Fail]/Tabla18203[Total]</f>
        <v>0</v>
      </c>
    </row>
    <row r="45" spans="2:13" ht="24" x14ac:dyDescent="0.3">
      <c r="B45" s="82" t="s">
        <v>26</v>
      </c>
      <c r="C45" s="83">
        <f>SUM(C17:C44)</f>
        <v>148432.02999999997</v>
      </c>
      <c r="D45" s="83">
        <f>SUM(D17:D44)</f>
        <v>128988</v>
      </c>
      <c r="E45" s="88">
        <f>AVERAGE(E17:E44)</f>
        <v>0.74311443724170234</v>
      </c>
      <c r="F45" s="83">
        <f>SUM(F17:F44)</f>
        <v>16239</v>
      </c>
      <c r="G45" s="88">
        <f>AVERAGE(G17:G44)</f>
        <v>0.13744301582667229</v>
      </c>
      <c r="H45" s="83">
        <f>SUM(H17:H44)</f>
        <v>0</v>
      </c>
      <c r="I45" s="88">
        <f>AVERAGE(I17:I44)</f>
        <v>0</v>
      </c>
      <c r="J45" s="83">
        <f>SUM(J17:J44)</f>
        <v>3205</v>
      </c>
      <c r="K45" s="88">
        <f>AVERAGE(K17:K44)</f>
        <v>1.2299689788768378E-2</v>
      </c>
      <c r="L45" s="83">
        <f>SUM(L17:L44)</f>
        <v>0</v>
      </c>
      <c r="M45" s="88">
        <f>AVERAGE(M17:M44)</f>
        <v>0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6"/>
  <sheetViews>
    <sheetView topLeftCell="A11" workbookViewId="0">
      <selection activeCell="C15" sqref="C15:M1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199613</v>
      </c>
      <c r="D6" s="4"/>
    </row>
    <row r="7" spans="2:16" x14ac:dyDescent="0.3">
      <c r="B7" s="9" t="s">
        <v>6</v>
      </c>
      <c r="C7" s="11">
        <f>D15</f>
        <v>175839</v>
      </c>
      <c r="D7" s="12">
        <f>C7/C6</f>
        <v>0.88089954061108244</v>
      </c>
    </row>
    <row r="8" spans="2:16" x14ac:dyDescent="0.3">
      <c r="B8" s="9" t="s">
        <v>7</v>
      </c>
      <c r="C8" s="11">
        <f>F15</f>
        <v>21622</v>
      </c>
      <c r="D8" s="12">
        <f>C8/C6</f>
        <v>0.1083195984229484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2147</v>
      </c>
      <c r="D10" s="12">
        <f>C10/C6</f>
        <v>1.0755812497182047E-2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199608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SUM(Tabla18204[Total])</f>
        <v>199613</v>
      </c>
      <c r="D15" s="14">
        <f>SUM(Tabla18204[Transactions 
Complete])</f>
        <v>175839</v>
      </c>
      <c r="E15" s="15">
        <f>AVERAGE(Tabla18204[%
Complete])</f>
        <v>0.85785201658059718</v>
      </c>
      <c r="F15" s="14">
        <f>SUM(Tabla18204[Transactions 
Failed])</f>
        <v>21622</v>
      </c>
      <c r="G15" s="15">
        <f>AVERAGE(Tabla18204[% 
Failed])</f>
        <v>0.11900736247746613</v>
      </c>
      <c r="H15" s="14">
        <f>SUM(Tabla18204[Transactions 
In_Prog])</f>
        <v>0</v>
      </c>
      <c r="I15" s="15">
        <f>AVERAGE(Tabla18204[%
In_Prog])</f>
        <v>0</v>
      </c>
      <c r="J15" s="14">
        <f>SUM(Tabla18204[Transactions 
Timeout])</f>
        <v>2147</v>
      </c>
      <c r="K15" s="15">
        <f>AVERAGE(Tabla18204[%
Timeout])</f>
        <v>2.3127837370360171E-2</v>
      </c>
      <c r="L15" s="14">
        <f>SUM(Tabla18204[Transactions
Trans Fail])</f>
        <v>0</v>
      </c>
      <c r="M15" s="15">
        <f>AVERAGE(Tabla18204[%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>
        <f>Tabla18204[Transactions 
Complete]/Tabla18204[Total]</f>
        <v>0.86638727967459628</v>
      </c>
      <c r="F17" s="34">
        <v>1903</v>
      </c>
      <c r="G17" s="36">
        <f>Tabla18204[Transactions 
Failed]/Tabla18204[Total]</f>
        <v>0.11728090718599778</v>
      </c>
      <c r="H17" s="34">
        <v>0</v>
      </c>
      <c r="I17" s="36">
        <f>Tabla18204[Transactions 
In_Prog]/Tabla18204[Total]</f>
        <v>0</v>
      </c>
      <c r="J17" s="34">
        <v>265</v>
      </c>
      <c r="K17" s="36">
        <f>Tabla18204[Transactions 
Timeout]/Tabla18204[Total]</f>
        <v>1.633181313940589E-2</v>
      </c>
      <c r="L17" s="34">
        <v>0</v>
      </c>
      <c r="M17" s="36">
        <f>Tabla18204[Transactions
Trans Fail]/Tabla18204[Total]</f>
        <v>0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>
        <f>Tabla18204[Transactions 
Complete]/Tabla18204[Total]</f>
        <v>0.91420555227406974</v>
      </c>
      <c r="F18" s="34">
        <v>1056</v>
      </c>
      <c r="G18" s="36">
        <f>Tabla18204[Transactions 
Failed]/Tabla18204[Total]</f>
        <v>7.7968103957471946E-2</v>
      </c>
      <c r="H18" s="34">
        <v>0</v>
      </c>
      <c r="I18" s="36">
        <f>Tabla18204[Transactions 
In_Prog]/Tabla18204[Total]</f>
        <v>0</v>
      </c>
      <c r="J18" s="34">
        <v>106</v>
      </c>
      <c r="K18" s="36">
        <f>Tabla18204[Transactions 
Timeout]/Tabla18204[Total]</f>
        <v>7.8263437684583572E-3</v>
      </c>
      <c r="L18" s="34">
        <v>0</v>
      </c>
      <c r="M18" s="36">
        <f>Tabla18204[Transactions
Trans Fail]/Tabla18204[Total]</f>
        <v>0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>
        <f>Tabla18204[Transactions 
Complete]/Tabla18204[Total]</f>
        <v>0.95545692319885867</v>
      </c>
      <c r="F19" s="34">
        <v>557</v>
      </c>
      <c r="G19" s="36">
        <f>Tabla18204[Transactions 
Failed]/Tabla18204[Total]</f>
        <v>4.4146786082269955E-2</v>
      </c>
      <c r="H19" s="34">
        <v>0</v>
      </c>
      <c r="I19" s="36">
        <f>Tabla18204[Transactions 
In_Prog]/Tabla18204[Total]</f>
        <v>0</v>
      </c>
      <c r="J19" s="34">
        <v>0</v>
      </c>
      <c r="K19" s="36">
        <f>Tabla18204[Transactions 
Timeout]/Tabla18204[Total]</f>
        <v>0</v>
      </c>
      <c r="L19" s="34">
        <v>0</v>
      </c>
      <c r="M19" s="36">
        <f>Tabla18204[Transactions
Trans Fail]/Tabla18204[Total]</f>
        <v>0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>
        <f>Tabla18204[Transactions 
Complete]/Tabla18204[Total]</f>
        <v>0.97218863361547758</v>
      </c>
      <c r="F20" s="34">
        <v>108</v>
      </c>
      <c r="G20" s="36">
        <f>Tabla18204[Transactions 
Failed]/Tabla18204[Total]</f>
        <v>2.6118500604594922E-2</v>
      </c>
      <c r="H20" s="34">
        <v>0</v>
      </c>
      <c r="I20" s="36">
        <f>Tabla18204[Transactions 
In_Prog]/Tabla18204[Total]</f>
        <v>0</v>
      </c>
      <c r="J20" s="34">
        <v>7</v>
      </c>
      <c r="K20" s="36">
        <f>Tabla18204[Transactions 
Timeout]/Tabla18204[Total]</f>
        <v>1.6928657799274486E-3</v>
      </c>
      <c r="L20" s="34">
        <v>0</v>
      </c>
      <c r="M20" s="36">
        <f>Tabla18204[Transactions
Trans Fail]/Tabla18204[Total]</f>
        <v>0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>
        <f>Tabla18204[Transactions 
Complete]/Tabla18204[Total]</f>
        <v>0.89528287804149875</v>
      </c>
      <c r="F21" s="34">
        <v>1317</v>
      </c>
      <c r="G21" s="36">
        <f>Tabla18204[Transactions 
Failed]/Tabla18204[Total]</f>
        <v>9.8298253470667257E-2</v>
      </c>
      <c r="H21" s="34">
        <v>0</v>
      </c>
      <c r="I21" s="36">
        <f>Tabla18204[Transactions 
In_Prog]/Tabla18204[Total]</f>
        <v>0</v>
      </c>
      <c r="J21" s="34">
        <v>86</v>
      </c>
      <c r="K21" s="36">
        <f>Tabla18204[Transactions 
Timeout]/Tabla18204[Total]</f>
        <v>6.4188684878340053E-3</v>
      </c>
      <c r="L21" s="34">
        <v>0</v>
      </c>
      <c r="M21" s="36">
        <f>Tabla18204[Transactions
Trans Fail]/Tabla18204[Total]</f>
        <v>0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>
        <f>Tabla18204[Transactions 
Complete]/Tabla18204[Total]</f>
        <v>0.85761589403973515</v>
      </c>
      <c r="F22" s="34">
        <v>925</v>
      </c>
      <c r="G22" s="36">
        <f>Tabla18204[Transactions 
Failed]/Tabla18204[Total]</f>
        <v>0.13317016988194644</v>
      </c>
      <c r="H22" s="34">
        <v>0</v>
      </c>
      <c r="I22" s="36">
        <f>Tabla18204[Transactions 
In_Prog]/Tabla18204[Total]</f>
        <v>0</v>
      </c>
      <c r="J22" s="34">
        <v>64</v>
      </c>
      <c r="K22" s="36">
        <f>Tabla18204[Transactions 
Timeout]/Tabla18204[Total]</f>
        <v>9.2139360783184566E-3</v>
      </c>
      <c r="L22" s="34">
        <v>0</v>
      </c>
      <c r="M22" s="36">
        <f>Tabla18204[Transactions
Trans Fail]/Tabla18204[Total]</f>
        <v>0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>
        <f>Tabla18204[Transactions 
Complete]/Tabla18204[Total]</f>
        <v>0.88470242136229915</v>
      </c>
      <c r="F23" s="34">
        <v>961</v>
      </c>
      <c r="G23" s="36">
        <f>Tabla18204[Transactions 
Failed]/Tabla18204[Total]</f>
        <v>0.10873500792034396</v>
      </c>
      <c r="H23" s="34">
        <v>0</v>
      </c>
      <c r="I23" s="36">
        <f>Tabla18204[Transactions 
In_Prog]/Tabla18204[Total]</f>
        <v>0</v>
      </c>
      <c r="J23" s="34">
        <v>58</v>
      </c>
      <c r="K23" s="36">
        <f>Tabla18204[Transactions 
Timeout]/Tabla18204[Total]</f>
        <v>6.5625707173568677E-3</v>
      </c>
      <c r="L23" s="34">
        <v>0</v>
      </c>
      <c r="M23" s="36">
        <f>Tabla18204[Transactions
Trans Fail]/Tabla18204[Total]</f>
        <v>0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>
        <f>Tabla18204[Transactions 
Complete]/Tabla18204[Total]</f>
        <v>0.85342502696871625</v>
      </c>
      <c r="F24" s="34">
        <v>1031</v>
      </c>
      <c r="G24" s="36">
        <f>Tabla18204[Transactions 
Failed]/Tabla18204[Total]</f>
        <v>0.13902373247033442</v>
      </c>
      <c r="H24" s="34">
        <v>0</v>
      </c>
      <c r="I24" s="36">
        <f>Tabla18204[Transactions 
In_Prog]/Tabla18204[Total]</f>
        <v>0</v>
      </c>
      <c r="J24" s="34">
        <v>56</v>
      </c>
      <c r="K24" s="36">
        <f>Tabla18204[Transactions 
Timeout]/Tabla18204[Total]</f>
        <v>7.551240560949299E-3</v>
      </c>
      <c r="L24" s="34">
        <v>0</v>
      </c>
      <c r="M24" s="36">
        <f>Tabla18204[Transactions
Trans Fail]/Tabla18204[Total]</f>
        <v>0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>
        <f>Tabla18204[Transactions 
Complete]/Tabla18204[Total]</f>
        <v>0.81311286291097862</v>
      </c>
      <c r="F25" s="34">
        <v>907</v>
      </c>
      <c r="G25" s="36">
        <f>Tabla18204[Transactions 
Failed]/Tabla18204[Total]</f>
        <v>0.17438954047298597</v>
      </c>
      <c r="H25" s="34">
        <v>0</v>
      </c>
      <c r="I25" s="36">
        <f>Tabla18204[Transactions 
In_Prog]/Tabla18204[Total]</f>
        <v>0</v>
      </c>
      <c r="J25" s="34">
        <v>65</v>
      </c>
      <c r="K25" s="36">
        <f>Tabla18204[Transactions 
Timeout]/Tabla18204[Total]</f>
        <v>1.2497596616035379E-2</v>
      </c>
      <c r="L25" s="34">
        <v>0</v>
      </c>
      <c r="M25" s="36">
        <f>Tabla18204[Transactions
Trans Fail]/Tabla18204[Total]</f>
        <v>0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>
        <f>Tabla18204[Transactions 
Complete]/Tabla18204[Total]</f>
        <v>0.86630434782608701</v>
      </c>
      <c r="F26" s="34">
        <v>432</v>
      </c>
      <c r="G26" s="36">
        <f>Tabla18204[Transactions 
Failed]/Tabla18204[Total]</f>
        <v>0.11739130434782609</v>
      </c>
      <c r="H26" s="34">
        <v>0</v>
      </c>
      <c r="I26" s="36">
        <f>Tabla18204[Transactions 
In_Prog]/Tabla18204[Total]</f>
        <v>0</v>
      </c>
      <c r="J26" s="34">
        <v>60</v>
      </c>
      <c r="K26" s="36">
        <f>Tabla18204[Transactions 
Timeout]/Tabla18204[Total]</f>
        <v>1.6304347826086956E-2</v>
      </c>
      <c r="L26" s="34">
        <v>0</v>
      </c>
      <c r="M26" s="36">
        <f>Tabla18204[Transactions
Trans Fail]/Tabla18204[Total]</f>
        <v>0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>
        <f>Tabla18204[Transactions 
Complete]/Tabla18204[Total]</f>
        <v>0.67971014492753623</v>
      </c>
      <c r="F27" s="34">
        <v>181</v>
      </c>
      <c r="G27" s="36">
        <f>Tabla18204[Transactions 
Failed]/Tabla18204[Total]</f>
        <v>0.26231884057971017</v>
      </c>
      <c r="H27" s="34">
        <v>0</v>
      </c>
      <c r="I27" s="36">
        <f>Tabla18204[Transactions 
In_Prog]/Tabla18204[Total]</f>
        <v>0</v>
      </c>
      <c r="J27" s="34">
        <v>40</v>
      </c>
      <c r="K27" s="36">
        <f>Tabla18204[Transactions 
Timeout]/Tabla18204[Total]</f>
        <v>5.7971014492753624E-2</v>
      </c>
      <c r="L27" s="34">
        <v>0</v>
      </c>
      <c r="M27" s="36">
        <f>Tabla18204[Transactions
Trans Fail]/Tabla18204[Total]</f>
        <v>0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>
        <f>Tabla18204[Transactions 
Complete]/Tabla18204[Total]</f>
        <v>0.85059635907093534</v>
      </c>
      <c r="F28" s="34">
        <v>904</v>
      </c>
      <c r="G28" s="36">
        <f>Tabla18204[Transactions 
Failed]/Tabla18204[Total]</f>
        <v>0.14187068424356561</v>
      </c>
      <c r="H28" s="34">
        <v>0</v>
      </c>
      <c r="I28" s="36">
        <f>Tabla18204[Transactions 
In_Prog]/Tabla18204[Total]</f>
        <v>0</v>
      </c>
      <c r="J28" s="34">
        <v>48</v>
      </c>
      <c r="K28" s="36">
        <f>Tabla18204[Transactions 
Timeout]/Tabla18204[Total]</f>
        <v>7.5329566854990581E-3</v>
      </c>
      <c r="L28" s="34">
        <v>0</v>
      </c>
      <c r="M28" s="36">
        <f>Tabla18204[Transactions
Trans Fail]/Tabla18204[Total]</f>
        <v>0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>
        <f>Tabla18204[Transactions 
Complete]/Tabla18204[Total]</f>
        <v>0.85351681957186543</v>
      </c>
      <c r="F29" s="34">
        <v>899</v>
      </c>
      <c r="G29" s="36">
        <f>Tabla18204[Transactions 
Failed]/Tabla18204[Total]</f>
        <v>0.13746177370030582</v>
      </c>
      <c r="H29" s="34">
        <v>0</v>
      </c>
      <c r="I29" s="36">
        <f>Tabla18204[Transactions 
In_Prog]/Tabla18204[Total]</f>
        <v>0</v>
      </c>
      <c r="J29" s="34">
        <v>59</v>
      </c>
      <c r="K29" s="36">
        <f>Tabla18204[Transactions 
Timeout]/Tabla18204[Total]</f>
        <v>9.0214067278287461E-3</v>
      </c>
      <c r="L29" s="34">
        <v>0</v>
      </c>
      <c r="M29" s="36">
        <f>Tabla18204[Transactions
Trans Fail]/Tabla18204[Total]</f>
        <v>0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>
        <f>Tabla18204[Transactions 
Complete]/Tabla18204[Total]</f>
        <v>0.83739255014326652</v>
      </c>
      <c r="F30" s="34">
        <v>621</v>
      </c>
      <c r="G30" s="36">
        <f>Tabla18204[Transactions 
Failed]/Tabla18204[Total]</f>
        <v>0.14828080229226362</v>
      </c>
      <c r="H30" s="34">
        <v>0</v>
      </c>
      <c r="I30" s="36">
        <f>Tabla18204[Transactions 
In_Prog]/Tabla18204[Total]</f>
        <v>0</v>
      </c>
      <c r="J30" s="34">
        <v>60</v>
      </c>
      <c r="K30" s="36">
        <f>Tabla18204[Transactions 
Timeout]/Tabla18204[Total]</f>
        <v>1.4326647564469915E-2</v>
      </c>
      <c r="L30" s="34">
        <v>0</v>
      </c>
      <c r="M30" s="36">
        <f>Tabla18204[Transactions
Trans Fail]/Tabla18204[Total]</f>
        <v>0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>
        <f>Tabla18204[Transactions 
Complete]/Tabla18204[Total]</f>
        <v>0.84139138044191641</v>
      </c>
      <c r="F31" s="34">
        <v>675</v>
      </c>
      <c r="G31" s="36">
        <f>Tabla18204[Transactions 
Failed]/Tabla18204[Total]</f>
        <v>0.14767009407131917</v>
      </c>
      <c r="H31" s="34">
        <v>0</v>
      </c>
      <c r="I31" s="36">
        <f>Tabla18204[Transactions 
In_Prog]/Tabla18204[Total]</f>
        <v>0</v>
      </c>
      <c r="J31" s="34">
        <v>50</v>
      </c>
      <c r="K31" s="36">
        <f>Tabla18204[Transactions 
Timeout]/Tabla18204[Total]</f>
        <v>1.0938525486764383E-2</v>
      </c>
      <c r="L31" s="34">
        <v>0</v>
      </c>
      <c r="M31" s="36">
        <f>Tabla18204[Transactions
Trans Fail]/Tabla18204[Total]</f>
        <v>0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>
        <f>Tabla18204[Transactions 
Complete]/Tabla18204[Total]</f>
        <v>0.83843686205890933</v>
      </c>
      <c r="F32" s="34">
        <v>483</v>
      </c>
      <c r="G32" s="36">
        <f>Tabla18204[Transactions 
Failed]/Tabla18204[Total]</f>
        <v>0.14085739282589677</v>
      </c>
      <c r="H32" s="34">
        <v>0</v>
      </c>
      <c r="I32" s="36">
        <f>Tabla18204[Transactions 
In_Prog]/Tabla18204[Total]</f>
        <v>0</v>
      </c>
      <c r="J32" s="34">
        <v>71</v>
      </c>
      <c r="K32" s="36">
        <f>Tabla18204[Transactions 
Timeout]/Tabla18204[Total]</f>
        <v>2.0705745115193935E-2</v>
      </c>
      <c r="L32" s="34">
        <v>0</v>
      </c>
      <c r="M32" s="36">
        <f>Tabla18204[Transactions
Trans Fail]/Tabla18204[Total]</f>
        <v>0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>
        <f>Tabla18204[Transactions 
Complete]/Tabla18204[Total]</f>
        <v>0.8456973293768546</v>
      </c>
      <c r="F33" s="34">
        <v>266</v>
      </c>
      <c r="G33" s="36">
        <f>Tabla18204[Transactions 
Failed]/Tabla18204[Total]</f>
        <v>0.13155291790306628</v>
      </c>
      <c r="H33" s="34">
        <v>0</v>
      </c>
      <c r="I33" s="36">
        <f>Tabla18204[Transactions 
In_Prog]/Tabla18204[Total]</f>
        <v>0</v>
      </c>
      <c r="J33" s="34">
        <v>46</v>
      </c>
      <c r="K33" s="36">
        <f>Tabla18204[Transactions 
Timeout]/Tabla18204[Total]</f>
        <v>2.274975272007913E-2</v>
      </c>
      <c r="L33" s="34">
        <v>0</v>
      </c>
      <c r="M33" s="36">
        <f>Tabla18204[Transactions
Trans Fail]/Tabla18204[Total]</f>
        <v>0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>
        <f>Tabla18204[Transactions 
Complete]/Tabla18204[Total]</f>
        <v>0.8236434108527132</v>
      </c>
      <c r="F34" s="34">
        <v>52</v>
      </c>
      <c r="G34" s="36">
        <f>Tabla18204[Transactions 
Failed]/Tabla18204[Total]</f>
        <v>0.10077519379844961</v>
      </c>
      <c r="H34" s="34">
        <v>0</v>
      </c>
      <c r="I34" s="36">
        <f>Tabla18204[Transactions 
In_Prog]/Tabla18204[Total]</f>
        <v>0</v>
      </c>
      <c r="J34" s="34">
        <v>39</v>
      </c>
      <c r="K34" s="36">
        <f>Tabla18204[Transactions 
Timeout]/Tabla18204[Total]</f>
        <v>7.5581395348837205E-2</v>
      </c>
      <c r="L34" s="34">
        <v>0</v>
      </c>
      <c r="M34" s="36">
        <f>Tabla18204[Transactions
Trans Fail]/Tabla18204[Total]</f>
        <v>0</v>
      </c>
    </row>
    <row r="35" spans="2:13" s="33" customFormat="1" x14ac:dyDescent="0.3">
      <c r="B35" s="41">
        <v>43178</v>
      </c>
      <c r="C35" s="35">
        <v>8604</v>
      </c>
      <c r="D35" s="34">
        <v>7471</v>
      </c>
      <c r="E35" s="36">
        <f>Tabla18204[Transactions 
Complete]/Tabla18204[Total]</f>
        <v>0.86831706183170621</v>
      </c>
      <c r="F35" s="34">
        <v>1076</v>
      </c>
      <c r="G35" s="36">
        <f>Tabla18204[Transactions 
Failed]/Tabla18204[Total]</f>
        <v>0.12505811250581125</v>
      </c>
      <c r="H35" s="34">
        <v>0</v>
      </c>
      <c r="I35" s="36">
        <f>Tabla18204[Transactions 
In_Prog]/Tabla18204[Total]</f>
        <v>0</v>
      </c>
      <c r="J35" s="34">
        <v>57</v>
      </c>
      <c r="K35" s="36">
        <f>Tabla18204[Transactions 
Timeout]/Tabla18204[Total]</f>
        <v>6.6248256624825662E-3</v>
      </c>
      <c r="L35" s="34">
        <v>0</v>
      </c>
      <c r="M35" s="36">
        <f>Tabla18204[Transactions
Trans Fail]/Tabla18204[Total]</f>
        <v>0</v>
      </c>
    </row>
    <row r="36" spans="2:13" s="33" customFormat="1" x14ac:dyDescent="0.3">
      <c r="B36" s="41">
        <v>43179</v>
      </c>
      <c r="C36" s="35">
        <v>5815</v>
      </c>
      <c r="D36" s="34">
        <v>5091</v>
      </c>
      <c r="E36" s="36">
        <f>Tabla18204[Transactions 
Complete]/Tabla18204[Total]</f>
        <v>0.87549441100601888</v>
      </c>
      <c r="F36" s="34">
        <v>636</v>
      </c>
      <c r="G36" s="36">
        <f>Tabla18204[Transactions 
Failed]/Tabla18204[Total]</f>
        <v>0.10937231298366294</v>
      </c>
      <c r="H36" s="34">
        <v>0</v>
      </c>
      <c r="I36" s="36">
        <f>Tabla18204[Transactions 
In_Prog]/Tabla18204[Total]</f>
        <v>0</v>
      </c>
      <c r="J36" s="34">
        <v>88</v>
      </c>
      <c r="K36" s="36">
        <f>Tabla18204[Transactions 
Timeout]/Tabla18204[Total]</f>
        <v>1.5133276010318143E-2</v>
      </c>
      <c r="L36" s="34">
        <v>0</v>
      </c>
      <c r="M36" s="36">
        <f>Tabla18204[Transactions
Trans Fail]/Tabla18204[Total]</f>
        <v>0</v>
      </c>
    </row>
    <row r="37" spans="2:13" s="33" customFormat="1" x14ac:dyDescent="0.3">
      <c r="B37" s="41">
        <v>43180</v>
      </c>
      <c r="C37" s="35">
        <v>5742</v>
      </c>
      <c r="D37" s="34">
        <v>4990</v>
      </c>
      <c r="E37" s="36">
        <f>Tabla18204[Transactions 
Complete]/Tabla18204[Total]</f>
        <v>0.86903517938000696</v>
      </c>
      <c r="F37" s="34">
        <v>702</v>
      </c>
      <c r="G37" s="36">
        <f>Tabla18204[Transactions 
Failed]/Tabla18204[Total]</f>
        <v>0.12225705329153605</v>
      </c>
      <c r="H37" s="34">
        <v>0</v>
      </c>
      <c r="I37" s="36">
        <f>Tabla18204[Transactions 
In_Prog]/Tabla18204[Total]</f>
        <v>0</v>
      </c>
      <c r="J37" s="34">
        <v>50</v>
      </c>
      <c r="K37" s="36">
        <f>Tabla18204[Transactions 
Timeout]/Tabla18204[Total]</f>
        <v>8.7077673284569838E-3</v>
      </c>
      <c r="L37" s="34">
        <v>0</v>
      </c>
      <c r="M37" s="36">
        <f>Tabla18204[Transactions
Trans Fail]/Tabla18204[Total]</f>
        <v>0</v>
      </c>
    </row>
    <row r="38" spans="2:13" s="33" customFormat="1" x14ac:dyDescent="0.3">
      <c r="B38" s="41">
        <v>43181</v>
      </c>
      <c r="C38" s="35">
        <v>7025</v>
      </c>
      <c r="D38" s="34">
        <v>6131</v>
      </c>
      <c r="E38" s="36">
        <f>Tabla18204[Transactions 
Complete]/Tabla18204[Total]</f>
        <v>0.87274021352313169</v>
      </c>
      <c r="F38" s="34">
        <v>820</v>
      </c>
      <c r="G38" s="36">
        <f>Tabla18204[Transactions 
Failed]/Tabla18204[Total]</f>
        <v>0.11672597864768683</v>
      </c>
      <c r="H38" s="34">
        <v>0</v>
      </c>
      <c r="I38" s="36">
        <f>Tabla18204[Transactions 
In_Prog]/Tabla18204[Total]</f>
        <v>0</v>
      </c>
      <c r="J38" s="34">
        <v>74</v>
      </c>
      <c r="K38" s="36">
        <f>Tabla18204[Transactions 
Timeout]/Tabla18204[Total]</f>
        <v>1.0533807829181495E-2</v>
      </c>
      <c r="L38" s="34">
        <v>0</v>
      </c>
      <c r="M38" s="36">
        <f>Tabla18204[Transactions
Trans Fail]/Tabla18204[Total]</f>
        <v>0</v>
      </c>
    </row>
    <row r="39" spans="2:13" s="33" customFormat="1" x14ac:dyDescent="0.3">
      <c r="B39" s="41">
        <v>43182</v>
      </c>
      <c r="C39" s="35">
        <v>7551</v>
      </c>
      <c r="D39" s="34">
        <v>6833</v>
      </c>
      <c r="E39" s="36">
        <f>Tabla18204[Transactions 
Complete]/Tabla18204[Total]</f>
        <v>0.90491325652231491</v>
      </c>
      <c r="F39" s="34">
        <v>651</v>
      </c>
      <c r="G39" s="36">
        <f>Tabla18204[Transactions 
Failed]/Tabla18204[Total]</f>
        <v>8.6213746523639251E-2</v>
      </c>
      <c r="H39" s="34">
        <v>0</v>
      </c>
      <c r="I39" s="36">
        <f>Tabla18204[Transactions 
In_Prog]/Tabla18204[Total]</f>
        <v>0</v>
      </c>
      <c r="J39" s="34">
        <v>67</v>
      </c>
      <c r="K39" s="36">
        <f>Tabla18204[Transactions 
Timeout]/Tabla18204[Total]</f>
        <v>8.8729969540458226E-3</v>
      </c>
      <c r="L39" s="34">
        <v>0</v>
      </c>
      <c r="M39" s="36">
        <f>Tabla18204[Transactions
Trans Fail]/Tabla18204[Total]</f>
        <v>0</v>
      </c>
    </row>
    <row r="40" spans="2:13" s="33" customFormat="1" x14ac:dyDescent="0.3">
      <c r="B40" s="41">
        <v>43183</v>
      </c>
      <c r="C40" s="35">
        <v>3465</v>
      </c>
      <c r="D40" s="34">
        <v>3085</v>
      </c>
      <c r="E40" s="36">
        <f>Tabla18204[Transactions 
Complete]/Tabla18204[Total]</f>
        <v>0.89033189033189031</v>
      </c>
      <c r="F40" s="34">
        <v>327</v>
      </c>
      <c r="G40" s="36">
        <f>Tabla18204[Transactions 
Failed]/Tabla18204[Total]</f>
        <v>9.4372294372294371E-2</v>
      </c>
      <c r="H40" s="34">
        <v>0</v>
      </c>
      <c r="I40" s="36">
        <f>Tabla18204[Transactions 
In_Prog]/Tabla18204[Total]</f>
        <v>0</v>
      </c>
      <c r="J40" s="34">
        <v>53</v>
      </c>
      <c r="K40" s="36">
        <f>Tabla18204[Transactions 
Timeout]/Tabla18204[Total]</f>
        <v>1.5295815295815297E-2</v>
      </c>
      <c r="L40" s="34">
        <v>0</v>
      </c>
      <c r="M40" s="36">
        <f>Tabla18204[Transactions
Trans Fail]/Tabla18204[Total]</f>
        <v>0</v>
      </c>
    </row>
    <row r="41" spans="2:13" s="33" customFormat="1" x14ac:dyDescent="0.3">
      <c r="B41" s="41">
        <v>43184</v>
      </c>
      <c r="C41" s="35">
        <v>394</v>
      </c>
      <c r="D41" s="34">
        <v>286</v>
      </c>
      <c r="E41" s="36">
        <f>Tabla18204[Transactions 
Complete]/Tabla18204[Total]</f>
        <v>0.7258883248730964</v>
      </c>
      <c r="F41" s="34">
        <v>56</v>
      </c>
      <c r="G41" s="36">
        <f>Tabla18204[Transactions 
Failed]/Tabla18204[Total]</f>
        <v>0.14213197969543148</v>
      </c>
      <c r="H41" s="34">
        <v>0</v>
      </c>
      <c r="I41" s="36">
        <f>Tabla18204[Transactions 
In_Prog]/Tabla18204[Total]</f>
        <v>0</v>
      </c>
      <c r="J41" s="34">
        <v>52</v>
      </c>
      <c r="K41" s="36">
        <f>Tabla18204[Transactions 
Timeout]/Tabla18204[Total]</f>
        <v>0.13197969543147209</v>
      </c>
      <c r="L41" s="34">
        <v>0</v>
      </c>
      <c r="M41" s="36">
        <f>Tabla18204[Transactions
Trans Fail]/Tabla18204[Total]</f>
        <v>0</v>
      </c>
    </row>
    <row r="42" spans="2:13" s="33" customFormat="1" x14ac:dyDescent="0.3">
      <c r="B42" s="41">
        <v>43185</v>
      </c>
      <c r="C42" s="35">
        <v>14195</v>
      </c>
      <c r="D42" s="34">
        <v>12962</v>
      </c>
      <c r="E42" s="36">
        <f>Tabla18204[Transactions 
Complete]/Tabla18204[Total]</f>
        <v>0.91313842902430431</v>
      </c>
      <c r="F42" s="34">
        <v>1181</v>
      </c>
      <c r="G42" s="36">
        <f>Tabla18204[Transactions 
Failed]/Tabla18204[Total]</f>
        <v>8.3198309263825293E-2</v>
      </c>
      <c r="H42" s="34">
        <v>0</v>
      </c>
      <c r="I42" s="36">
        <f>Tabla18204[Transactions 
In_Prog]/Tabla18204[Total]</f>
        <v>0</v>
      </c>
      <c r="J42" s="34">
        <v>52</v>
      </c>
      <c r="K42" s="36">
        <f>Tabla18204[Transactions 
Timeout]/Tabla18204[Total]</f>
        <v>3.663261711870377E-3</v>
      </c>
      <c r="L42" s="34">
        <v>0</v>
      </c>
      <c r="M42" s="36">
        <f>Tabla18204[Transactions
Trans Fail]/Tabla18204[Total]</f>
        <v>0</v>
      </c>
    </row>
    <row r="43" spans="2:13" s="33" customFormat="1" x14ac:dyDescent="0.3">
      <c r="B43" s="41">
        <v>43186</v>
      </c>
      <c r="C43" s="35">
        <v>7128</v>
      </c>
      <c r="D43" s="34">
        <v>6281</v>
      </c>
      <c r="E43" s="36">
        <f>Tabla18204[Transactions 
Complete]/Tabla18204[Total]</f>
        <v>0.88117283950617287</v>
      </c>
      <c r="F43" s="34">
        <v>777</v>
      </c>
      <c r="G43" s="36">
        <f>Tabla18204[Transactions 
Failed]/Tabla18204[Total]</f>
        <v>0.10900673400673401</v>
      </c>
      <c r="H43" s="34">
        <v>0</v>
      </c>
      <c r="I43" s="36">
        <f>Tabla18204[Transactions 
In_Prog]/Tabla18204[Total]</f>
        <v>0</v>
      </c>
      <c r="J43" s="34">
        <v>70</v>
      </c>
      <c r="K43" s="36">
        <f>Tabla18204[Transactions 
Timeout]/Tabla18204[Total]</f>
        <v>9.8204264870931542E-3</v>
      </c>
      <c r="L43" s="34">
        <v>0</v>
      </c>
      <c r="M43" s="36">
        <f>Tabla18204[Transactions
Trans Fail]/Tabla18204[Total]</f>
        <v>0</v>
      </c>
    </row>
    <row r="44" spans="2:13" s="33" customFormat="1" x14ac:dyDescent="0.3">
      <c r="B44" s="41">
        <v>43187</v>
      </c>
      <c r="C44" s="35">
        <v>5555</v>
      </c>
      <c r="D44" s="34">
        <v>4906</v>
      </c>
      <c r="E44" s="36">
        <f>Tabla18204[Transactions 
Complete]/Tabla18204[Total]</f>
        <v>0.88316831683168318</v>
      </c>
      <c r="F44" s="34">
        <v>556</v>
      </c>
      <c r="G44" s="36">
        <f>Tabla18204[Transactions 
Failed]/Tabla18204[Total]</f>
        <v>0.10009000900090009</v>
      </c>
      <c r="H44" s="34">
        <v>0</v>
      </c>
      <c r="I44" s="36">
        <f>Tabla18204[Transactions 
In_Prog]/Tabla18204[Total]</f>
        <v>0</v>
      </c>
      <c r="J44" s="34">
        <v>93</v>
      </c>
      <c r="K44" s="36">
        <f>Tabla18204[Transactions 
Timeout]/Tabla18204[Total]</f>
        <v>1.6741674167416742E-2</v>
      </c>
      <c r="L44" s="34">
        <v>0</v>
      </c>
      <c r="M44" s="36">
        <f>Tabla18204[Transactions
Trans Fail]/Tabla18204[Total]</f>
        <v>0</v>
      </c>
    </row>
    <row r="45" spans="2:13" s="33" customFormat="1" x14ac:dyDescent="0.3">
      <c r="B45" s="41">
        <v>43188</v>
      </c>
      <c r="C45" s="35">
        <v>9473</v>
      </c>
      <c r="D45" s="34">
        <v>8385</v>
      </c>
      <c r="E45" s="36">
        <f>Tabla18204[Transactions 
Complete]/Tabla18204[Total]</f>
        <v>0.88514726063549032</v>
      </c>
      <c r="F45" s="34">
        <v>989</v>
      </c>
      <c r="G45" s="36">
        <f>Tabla18204[Transactions 
Failed]/Tabla18204[Total]</f>
        <v>0.10440198458777579</v>
      </c>
      <c r="H45" s="34">
        <v>0</v>
      </c>
      <c r="I45" s="36">
        <f>Tabla18204[Transactions 
In_Prog]/Tabla18204[Total]</f>
        <v>0</v>
      </c>
      <c r="J45" s="34">
        <v>99</v>
      </c>
      <c r="K45" s="36">
        <f>Tabla18204[Transactions 
Timeout]/Tabla18204[Total]</f>
        <v>1.0450754776733875E-2</v>
      </c>
      <c r="L45" s="34">
        <v>0</v>
      </c>
      <c r="M45" s="36">
        <f>Tabla18204[Transactions
Trans Fail]/Tabla18204[Total]</f>
        <v>0</v>
      </c>
    </row>
    <row r="46" spans="2:13" s="33" customFormat="1" x14ac:dyDescent="0.3">
      <c r="B46" s="41">
        <v>43189</v>
      </c>
      <c r="C46" s="35">
        <v>706</v>
      </c>
      <c r="D46" s="34">
        <v>523</v>
      </c>
      <c r="E46" s="36">
        <f>Tabla18204[Transactions 
Complete]/Tabla18204[Total]</f>
        <v>0.74079320113314451</v>
      </c>
      <c r="F46" s="34">
        <v>80</v>
      </c>
      <c r="G46" s="36">
        <f>Tabla18204[Transactions 
Failed]/Tabla18204[Total]</f>
        <v>0.11331444759206799</v>
      </c>
      <c r="H46" s="34">
        <v>0</v>
      </c>
      <c r="I46" s="36">
        <f>Tabla18204[Transactions 
In_Prog]/Tabla18204[Total]</f>
        <v>0</v>
      </c>
      <c r="J46" s="34">
        <v>103</v>
      </c>
      <c r="K46" s="36">
        <f>Tabla18204[Transactions 
Timeout]/Tabla18204[Total]</f>
        <v>0.14589235127478753</v>
      </c>
      <c r="L46" s="34">
        <v>0</v>
      </c>
      <c r="M46" s="36">
        <f>Tabla18204[Transactions
Trans Fail]/Tabla18204[Total]</f>
        <v>0</v>
      </c>
    </row>
    <row r="47" spans="2:13" s="33" customFormat="1" x14ac:dyDescent="0.3">
      <c r="B47" s="41">
        <v>43190</v>
      </c>
      <c r="C47" s="35">
        <v>3631</v>
      </c>
      <c r="D47" s="34">
        <v>3029</v>
      </c>
      <c r="E47" s="36">
        <f>Tabla18204[Transactions 
Complete]/Tabla18204[Total]</f>
        <v>0.83420545304323879</v>
      </c>
      <c r="F47" s="34">
        <v>493</v>
      </c>
      <c r="G47" s="36">
        <f>Tabla18204[Transactions 
Failed]/Tabla18204[Total]</f>
        <v>0.13577526852106858</v>
      </c>
      <c r="H47" s="34">
        <v>0</v>
      </c>
      <c r="I47" s="36">
        <f>Tabla18204[Transactions 
In_Prog]/Tabla18204[Total]</f>
        <v>0</v>
      </c>
      <c r="J47" s="34">
        <v>109</v>
      </c>
      <c r="K47" s="36">
        <f>Tabla18204[Transactions 
Timeout]/Tabla18204[Total]</f>
        <v>3.0019278435692645E-2</v>
      </c>
      <c r="L47" s="34">
        <v>0</v>
      </c>
      <c r="M47" s="36">
        <f>Tabla18204[Transactions
Trans Fail]/Tabla18204[Total]</f>
        <v>0</v>
      </c>
    </row>
    <row r="48" spans="2:13" ht="24" x14ac:dyDescent="0.3">
      <c r="B48" s="82" t="s">
        <v>26</v>
      </c>
      <c r="C48" s="83">
        <f>SUM(C17:C47)</f>
        <v>199613</v>
      </c>
      <c r="D48" s="83">
        <f>SUM(D17:D47)</f>
        <v>175839</v>
      </c>
      <c r="E48" s="84">
        <f>AVERAGE(E17:E47)</f>
        <v>0.85785201658059718</v>
      </c>
      <c r="F48" s="83">
        <f>SUM(F17:F47)</f>
        <v>21622</v>
      </c>
      <c r="G48" s="84">
        <f>AVERAGE(G17:G47)</f>
        <v>0.11900736247746613</v>
      </c>
      <c r="H48" s="83">
        <f>SUM(H17:H47)</f>
        <v>0</v>
      </c>
      <c r="I48" s="84">
        <f>AVERAGE(I17:I47)</f>
        <v>0</v>
      </c>
      <c r="J48" s="83">
        <f>SUM(J17:J47)</f>
        <v>2147</v>
      </c>
      <c r="K48" s="84">
        <f>AVERAGE(K17:K47)</f>
        <v>2.3127837370360171E-2</v>
      </c>
      <c r="L48" s="83">
        <f>SUM(L17:L47)</f>
        <v>0</v>
      </c>
      <c r="M48" s="84">
        <f>AVERAGE(M17:M47)</f>
        <v>0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5"/>
  <sheetViews>
    <sheetView workbookViewId="0">
      <selection activeCell="C15" sqref="C15:M1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4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>
        <f>D15</f>
        <v>134575</v>
      </c>
      <c r="D7" s="12">
        <f>C7/C6</f>
        <v>0.86376210679007193</v>
      </c>
    </row>
    <row r="8" spans="2:16" x14ac:dyDescent="0.3">
      <c r="B8" s="9" t="s">
        <v>7</v>
      </c>
      <c r="C8" s="11">
        <f>F15</f>
        <v>16073</v>
      </c>
      <c r="D8" s="12">
        <f>C8/C6</f>
        <v>0.10316365106770817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5153</v>
      </c>
      <c r="D10" s="12">
        <f>C10/C6</f>
        <v>3.3074242142219885E-2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155801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SUM(Tabla18205[Total])</f>
        <v>155801</v>
      </c>
      <c r="D15" s="14">
        <f>SUM(Tabla18205[Transactions 
Complete])</f>
        <v>134575</v>
      </c>
      <c r="E15" s="15">
        <f>AVERAGE(Tabla18205[%
Complete])</f>
        <v>0.77702970830028562</v>
      </c>
      <c r="F15" s="14">
        <f>SUM(Tabla18205[Transactions 
Failed])</f>
        <v>16073</v>
      </c>
      <c r="G15" s="15">
        <f>AVERAGE(Tabla18205[% 
Failed])</f>
        <v>0.12617392400561733</v>
      </c>
      <c r="H15" s="14">
        <f>SUM(Tabla18205[Transactions 
In_Prog])</f>
        <v>0</v>
      </c>
      <c r="I15" s="15">
        <f>AVERAGE(Tabla18205[%
In_Prog])</f>
        <v>0</v>
      </c>
      <c r="J15" s="14">
        <f>SUM(Tabla18205[Transactions 
Timeout])</f>
        <v>5153</v>
      </c>
      <c r="K15" s="15">
        <f>AVERAGE(Tabla18205[%
Timeout])</f>
        <v>9.679636769409683E-2</v>
      </c>
      <c r="L15" s="14">
        <f>SUM(Tabla18205[Transactions
Trans Fail])</f>
        <v>0</v>
      </c>
      <c r="M15" s="15">
        <f>AVERAGE(Tabla18205[%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1">
        <v>43191</v>
      </c>
      <c r="C17" s="35">
        <v>496</v>
      </c>
      <c r="D17" s="34">
        <v>231</v>
      </c>
      <c r="E17" s="36">
        <f>Tabla18205[[#This Row],[Transactions 
Complete]]/Tabla18205[Total]</f>
        <v>0.46572580645161288</v>
      </c>
      <c r="F17" s="34">
        <v>173</v>
      </c>
      <c r="G17" s="36">
        <f>Tabla18205[[#This Row],[Transactions 
Failed]]/Tabla18205[Total]</f>
        <v>0.34879032258064518</v>
      </c>
      <c r="H17" s="34">
        <v>0</v>
      </c>
      <c r="I17" s="36">
        <f>Tabla18205[[#This Row],[Transactions 
In_Prog]]/Tabla18205[Total]</f>
        <v>0</v>
      </c>
      <c r="J17" s="34">
        <v>92</v>
      </c>
      <c r="K17" s="36">
        <f>Tabla18205[[#This Row],[Transactions 
Timeout]]/Tabla18205[Total]</f>
        <v>0.18548387096774194</v>
      </c>
      <c r="L17" s="34">
        <v>0</v>
      </c>
      <c r="M17" s="36">
        <f>Tabla18205[[#This Row],[Transactions
Trans Fail]]/Tabla18205[Total]</f>
        <v>0</v>
      </c>
    </row>
    <row r="18" spans="2:13" s="33" customFormat="1" x14ac:dyDescent="0.3">
      <c r="B18" s="41">
        <v>43192</v>
      </c>
      <c r="C18" s="35">
        <v>619</v>
      </c>
      <c r="D18" s="34">
        <v>416</v>
      </c>
      <c r="E18" s="36">
        <f>Tabla18205[[#This Row],[Transactions 
Complete]]/Tabla18205[Total]</f>
        <v>0.67205169628432959</v>
      </c>
      <c r="F18" s="34">
        <v>80</v>
      </c>
      <c r="G18" s="36">
        <f>Tabla18205[[#This Row],[Transactions 
Failed]]/Tabla18205[Total]</f>
        <v>0.12924071082390953</v>
      </c>
      <c r="H18" s="34">
        <v>0</v>
      </c>
      <c r="I18" s="36">
        <f>Tabla18205[[#This Row],[Transactions 
In_Prog]]/Tabla18205[Total]</f>
        <v>0</v>
      </c>
      <c r="J18" s="34">
        <v>123</v>
      </c>
      <c r="K18" s="36">
        <f>Tabla18205[[#This Row],[Transactions 
Timeout]]/Tabla18205[Total]</f>
        <v>0.1987075928917609</v>
      </c>
      <c r="L18" s="34">
        <v>0</v>
      </c>
      <c r="M18" s="36">
        <f>Tabla18205[[#This Row],[Transactions
Trans Fail]]/Tabla18205[Total]</f>
        <v>0</v>
      </c>
    </row>
    <row r="19" spans="2:13" s="33" customFormat="1" x14ac:dyDescent="0.3">
      <c r="B19" s="41">
        <v>43193</v>
      </c>
      <c r="C19" s="35">
        <v>10228</v>
      </c>
      <c r="D19" s="34">
        <v>8967</v>
      </c>
      <c r="E19" s="36">
        <f>Tabla18205[[#This Row],[Transactions 
Complete]]/Tabla18205[Total]</f>
        <v>0.87671098944075088</v>
      </c>
      <c r="F19" s="34">
        <v>1110</v>
      </c>
      <c r="G19" s="36">
        <f>Tabla18205[[#This Row],[Transactions 
Failed]]/Tabla18205[Total]</f>
        <v>0.10852561595619867</v>
      </c>
      <c r="H19" s="34">
        <v>0</v>
      </c>
      <c r="I19" s="36">
        <f>Tabla18205[[#This Row],[Transactions 
In_Prog]]/Tabla18205[Total]</f>
        <v>0</v>
      </c>
      <c r="J19" s="34">
        <v>151</v>
      </c>
      <c r="K19" s="36">
        <f>Tabla18205[[#This Row],[Transactions 
Timeout]]/Tabla18205[Total]</f>
        <v>1.4763394603050449E-2</v>
      </c>
      <c r="L19" s="34">
        <v>0</v>
      </c>
      <c r="M19" s="36">
        <f>Tabla18205[[#This Row],[Transactions
Trans Fail]]/Tabla18205[Total]</f>
        <v>0</v>
      </c>
    </row>
    <row r="20" spans="2:13" s="33" customFormat="1" x14ac:dyDescent="0.3">
      <c r="B20" s="41">
        <v>43194</v>
      </c>
      <c r="C20" s="35">
        <v>6554</v>
      </c>
      <c r="D20" s="34">
        <v>5686</v>
      </c>
      <c r="E20" s="36">
        <f>Tabla18205[[#This Row],[Transactions 
Complete]]/Tabla18205[Total]</f>
        <v>0.86756179432407687</v>
      </c>
      <c r="F20" s="34">
        <v>736</v>
      </c>
      <c r="G20" s="36">
        <f>Tabla18205[[#This Row],[Transactions 
Failed]]/Tabla18205[Total]</f>
        <v>0.11229783338419286</v>
      </c>
      <c r="H20" s="34">
        <v>0</v>
      </c>
      <c r="I20" s="36">
        <f>Tabla18205[[#This Row],[Transactions 
In_Prog]]/Tabla18205[Total]</f>
        <v>0</v>
      </c>
      <c r="J20" s="34">
        <v>132</v>
      </c>
      <c r="K20" s="36">
        <f>Tabla18205[[#This Row],[Transactions 
Timeout]]/Tabla18205[Total]</f>
        <v>2.0140372291730241E-2</v>
      </c>
      <c r="L20" s="34">
        <v>0</v>
      </c>
      <c r="M20" s="36">
        <f>Tabla18205[[#This Row],[Transactions
Trans Fail]]/Tabla18205[Total]</f>
        <v>0</v>
      </c>
    </row>
    <row r="21" spans="2:13" s="33" customFormat="1" x14ac:dyDescent="0.3">
      <c r="B21" s="41">
        <v>43195</v>
      </c>
      <c r="C21" s="35">
        <v>19312</v>
      </c>
      <c r="D21" s="34">
        <v>17466</v>
      </c>
      <c r="E21" s="36">
        <f>Tabla18205[[#This Row],[Transactions 
Complete]]/Tabla18205[Total]</f>
        <v>0.90441176470588236</v>
      </c>
      <c r="F21" s="34">
        <v>1642</v>
      </c>
      <c r="G21" s="36">
        <f>Tabla18205[[#This Row],[Transactions 
Failed]]/Tabla18205[Total]</f>
        <v>8.50248550124275E-2</v>
      </c>
      <c r="H21" s="34">
        <v>0</v>
      </c>
      <c r="I21" s="36">
        <f>Tabla18205[[#This Row],[Transactions 
In_Prog]]/Tabla18205[Total]</f>
        <v>0</v>
      </c>
      <c r="J21" s="34">
        <v>204</v>
      </c>
      <c r="K21" s="36">
        <f>Tabla18205[[#This Row],[Transactions 
Timeout]]/Tabla18205[Total]</f>
        <v>1.0563380281690141E-2</v>
      </c>
      <c r="L21" s="34">
        <v>0</v>
      </c>
      <c r="M21" s="36">
        <f>Tabla18205[[#This Row],[Transactions
Trans Fail]]/Tabla18205[Total]</f>
        <v>0</v>
      </c>
    </row>
    <row r="22" spans="2:13" s="33" customFormat="1" x14ac:dyDescent="0.3">
      <c r="B22" s="41">
        <v>43196</v>
      </c>
      <c r="C22" s="35">
        <v>8809</v>
      </c>
      <c r="D22" s="34">
        <v>7839</v>
      </c>
      <c r="E22" s="36">
        <f>Tabla18205[[#This Row],[Transactions 
Complete]]/Tabla18205[Total]</f>
        <v>0.88988534453399937</v>
      </c>
      <c r="F22" s="34">
        <v>852</v>
      </c>
      <c r="G22" s="36">
        <f>Tabla18205[[#This Row],[Transactions 
Failed]]/Tabla18205[Total]</f>
        <v>9.6719264388693382E-2</v>
      </c>
      <c r="H22" s="34">
        <v>0</v>
      </c>
      <c r="I22" s="36">
        <f>Tabla18205[[#This Row],[Transactions 
In_Prog]]/Tabla18205[Total]</f>
        <v>0</v>
      </c>
      <c r="J22" s="34">
        <v>118</v>
      </c>
      <c r="K22" s="36">
        <f>Tabla18205[[#This Row],[Transactions 
Timeout]]/Tabla18205[Total]</f>
        <v>1.3395391077307299E-2</v>
      </c>
      <c r="L22" s="34">
        <v>0</v>
      </c>
      <c r="M22" s="36">
        <f>Tabla18205[[#This Row],[Transactions
Trans Fail]]/Tabla18205[Total]</f>
        <v>0</v>
      </c>
    </row>
    <row r="23" spans="2:13" s="33" customFormat="1" x14ac:dyDescent="0.3">
      <c r="B23" s="41">
        <v>43197</v>
      </c>
      <c r="C23" s="35">
        <v>4293</v>
      </c>
      <c r="D23" s="34">
        <v>3750</v>
      </c>
      <c r="E23" s="36">
        <f>Tabla18205[[#This Row],[Transactions 
Complete]]/Tabla18205[Total]</f>
        <v>0.87351502445842066</v>
      </c>
      <c r="F23" s="34">
        <v>443</v>
      </c>
      <c r="G23" s="36">
        <f>Tabla18205[[#This Row],[Transactions 
Failed]]/Tabla18205[Total]</f>
        <v>0.10319124155602143</v>
      </c>
      <c r="H23" s="34">
        <v>0</v>
      </c>
      <c r="I23" s="36">
        <f>Tabla18205[[#This Row],[Transactions 
In_Prog]]/Tabla18205[Total]</f>
        <v>0</v>
      </c>
      <c r="J23" s="34">
        <v>100</v>
      </c>
      <c r="K23" s="36">
        <f>Tabla18205[[#This Row],[Transactions 
Timeout]]/Tabla18205[Total]</f>
        <v>2.3293733985557886E-2</v>
      </c>
      <c r="L23" s="34">
        <v>0</v>
      </c>
      <c r="M23" s="36">
        <f>Tabla18205[[#This Row],[Transactions
Trans Fail]]/Tabla18205[Total]</f>
        <v>0</v>
      </c>
    </row>
    <row r="24" spans="2:13" s="33" customFormat="1" x14ac:dyDescent="0.3">
      <c r="B24" s="41">
        <v>43198</v>
      </c>
      <c r="C24" s="35">
        <v>513</v>
      </c>
      <c r="D24" s="34">
        <v>339</v>
      </c>
      <c r="E24" s="36">
        <f>Tabla18205[[#This Row],[Transactions 
Complete]]/Tabla18205[Total]</f>
        <v>0.66081871345029242</v>
      </c>
      <c r="F24" s="34">
        <v>71</v>
      </c>
      <c r="G24" s="36">
        <f>Tabla18205[[#This Row],[Transactions 
Failed]]/Tabla18205[Total]</f>
        <v>0.13840155945419103</v>
      </c>
      <c r="H24" s="34">
        <v>0</v>
      </c>
      <c r="I24" s="36">
        <f>Tabla18205[[#This Row],[Transactions 
In_Prog]]/Tabla18205[Total]</f>
        <v>0</v>
      </c>
      <c r="J24" s="34">
        <v>103</v>
      </c>
      <c r="K24" s="36">
        <f>Tabla18205[[#This Row],[Transactions 
Timeout]]/Tabla18205[Total]</f>
        <v>0.20077972709551656</v>
      </c>
      <c r="L24" s="34">
        <v>0</v>
      </c>
      <c r="M24" s="36">
        <f>Tabla18205[[#This Row],[Transactions
Trans Fail]]/Tabla18205[Total]</f>
        <v>0</v>
      </c>
    </row>
    <row r="25" spans="2:13" s="33" customFormat="1" x14ac:dyDescent="0.3">
      <c r="B25" s="41">
        <v>43199</v>
      </c>
      <c r="C25" s="35">
        <v>16881</v>
      </c>
      <c r="D25" s="34">
        <v>15504</v>
      </c>
      <c r="E25" s="36">
        <f>Tabla18205[[#This Row],[Transactions 
Complete]]/Tabla18205[Total]</f>
        <v>0.91842900302114805</v>
      </c>
      <c r="F25" s="34">
        <v>1264</v>
      </c>
      <c r="G25" s="36">
        <f>Tabla18205[[#This Row],[Transactions 
Failed]]/Tabla18205[Total]</f>
        <v>7.487708074166223E-2</v>
      </c>
      <c r="H25" s="34">
        <v>0</v>
      </c>
      <c r="I25" s="36">
        <f>Tabla18205[[#This Row],[Transactions 
In_Prog]]/Tabla18205[Total]</f>
        <v>0</v>
      </c>
      <c r="J25" s="34">
        <v>113</v>
      </c>
      <c r="K25" s="36">
        <f>Tabla18205[[#This Row],[Transactions 
Timeout]]/Tabla18205[Total]</f>
        <v>6.6939162371897403E-3</v>
      </c>
      <c r="L25" s="34">
        <v>0</v>
      </c>
      <c r="M25" s="36">
        <f>Tabla18205[[#This Row],[Transactions
Trans Fail]]/Tabla18205[Total]</f>
        <v>0</v>
      </c>
    </row>
    <row r="26" spans="2:13" s="33" customFormat="1" x14ac:dyDescent="0.3">
      <c r="B26" s="41">
        <v>43200</v>
      </c>
      <c r="C26" s="35">
        <v>14666</v>
      </c>
      <c r="D26" s="34">
        <v>13217</v>
      </c>
      <c r="E26" s="36">
        <f>Tabla18205[[#This Row],[Transactions 
Complete]]/Tabla18205[Total]</f>
        <v>0.90120005454793395</v>
      </c>
      <c r="F26" s="34">
        <v>925</v>
      </c>
      <c r="G26" s="36">
        <f>Tabla18205[[#This Row],[Transactions 
Failed]]/Tabla18205[Total]</f>
        <v>6.3071048684031086E-2</v>
      </c>
      <c r="H26" s="34">
        <v>0</v>
      </c>
      <c r="I26" s="36">
        <f>Tabla18205[[#This Row],[Transactions 
In_Prog]]/Tabla18205[Total]</f>
        <v>0</v>
      </c>
      <c r="J26" s="34">
        <v>524</v>
      </c>
      <c r="K26" s="36">
        <f>Tabla18205[[#This Row],[Transactions 
Timeout]]/Tabla18205[Total]</f>
        <v>3.572889676803491E-2</v>
      </c>
      <c r="L26" s="34">
        <v>0</v>
      </c>
      <c r="M26" s="36">
        <f>Tabla18205[[#This Row],[Transactions
Trans Fail]]/Tabla18205[Total]</f>
        <v>0</v>
      </c>
    </row>
    <row r="27" spans="2:13" s="33" customFormat="1" x14ac:dyDescent="0.3">
      <c r="B27" s="41">
        <v>43201</v>
      </c>
      <c r="C27" s="35">
        <v>8112</v>
      </c>
      <c r="D27" s="34">
        <v>7139</v>
      </c>
      <c r="E27" s="36">
        <f>Tabla18205[[#This Row],[Transactions 
Complete]]/Tabla18205[Total]</f>
        <v>0.88005424063116366</v>
      </c>
      <c r="F27" s="34">
        <v>422</v>
      </c>
      <c r="G27" s="36">
        <f>Tabla18205[[#This Row],[Transactions 
Failed]]/Tabla18205[Total]</f>
        <v>5.2021696252465485E-2</v>
      </c>
      <c r="H27" s="34">
        <v>0</v>
      </c>
      <c r="I27" s="36">
        <f>Tabla18205[[#This Row],[Transactions 
In_Prog]]/Tabla18205[Total]</f>
        <v>0</v>
      </c>
      <c r="J27" s="34">
        <v>551</v>
      </c>
      <c r="K27" s="36">
        <f>Tabla18205[[#This Row],[Transactions 
Timeout]]/Tabla18205[Total]</f>
        <v>6.7924063116370809E-2</v>
      </c>
      <c r="L27" s="34">
        <v>0</v>
      </c>
      <c r="M27" s="36">
        <f>Tabla18205[[#This Row],[Transactions
Trans Fail]]/Tabla18205[Total]</f>
        <v>0</v>
      </c>
    </row>
    <row r="28" spans="2:13" s="33" customFormat="1" x14ac:dyDescent="0.3">
      <c r="B28" s="41">
        <v>43202</v>
      </c>
      <c r="C28" s="35">
        <v>5183</v>
      </c>
      <c r="D28" s="34">
        <v>4215</v>
      </c>
      <c r="E28" s="36">
        <f>Tabla18205[[#This Row],[Transactions 
Complete]]/Tabla18205[Total]</f>
        <v>0.81323557785066569</v>
      </c>
      <c r="F28" s="34">
        <v>840</v>
      </c>
      <c r="G28" s="36">
        <f>Tabla18205[[#This Row],[Transactions 
Failed]]/Tabla18205[Total]</f>
        <v>0.16206830021223229</v>
      </c>
      <c r="H28" s="34">
        <v>0</v>
      </c>
      <c r="I28" s="36">
        <f>Tabla18205[[#This Row],[Transactions 
In_Prog]]/Tabla18205[Total]</f>
        <v>0</v>
      </c>
      <c r="J28" s="34">
        <v>128</v>
      </c>
      <c r="K28" s="36">
        <f>Tabla18205[[#This Row],[Transactions 
Timeout]]/Tabla18205[Total]</f>
        <v>2.4696121937102064E-2</v>
      </c>
      <c r="L28" s="34">
        <v>0</v>
      </c>
      <c r="M28" s="36">
        <f>Tabla18205[[#This Row],[Transactions
Trans Fail]]/Tabla18205[Total]</f>
        <v>0</v>
      </c>
    </row>
    <row r="29" spans="2:13" s="33" customFormat="1" x14ac:dyDescent="0.3">
      <c r="B29" s="41">
        <v>43203</v>
      </c>
      <c r="C29" s="35">
        <v>2469</v>
      </c>
      <c r="D29" s="34">
        <v>2031</v>
      </c>
      <c r="E29" s="36">
        <f>Tabla18205[[#This Row],[Transactions 
Complete]]/Tabla18205[Total]</f>
        <v>0.82260024301336576</v>
      </c>
      <c r="F29" s="34">
        <v>306</v>
      </c>
      <c r="G29" s="36">
        <f>Tabla18205[[#This Row],[Transactions 
Failed]]/Tabla18205[Total]</f>
        <v>0.12393681652490887</v>
      </c>
      <c r="H29" s="34">
        <v>0</v>
      </c>
      <c r="I29" s="36">
        <f>Tabla18205[[#This Row],[Transactions 
In_Prog]]/Tabla18205[Total]</f>
        <v>0</v>
      </c>
      <c r="J29" s="34">
        <v>132</v>
      </c>
      <c r="K29" s="36">
        <f>Tabla18205[[#This Row],[Transactions 
Timeout]]/Tabla18205[Total]</f>
        <v>5.3462940461725394E-2</v>
      </c>
      <c r="L29" s="34">
        <v>0</v>
      </c>
      <c r="M29" s="36">
        <f>Tabla18205[[#This Row],[Transactions
Trans Fail]]/Tabla18205[Total]</f>
        <v>0</v>
      </c>
    </row>
    <row r="30" spans="2:13" s="33" customFormat="1" x14ac:dyDescent="0.3">
      <c r="B30" s="41">
        <v>43204</v>
      </c>
      <c r="C30" s="35">
        <v>1410</v>
      </c>
      <c r="D30" s="34">
        <v>1104</v>
      </c>
      <c r="E30" s="36">
        <f>Tabla18205[[#This Row],[Transactions 
Complete]]/Tabla18205[Total]</f>
        <v>0.78297872340425534</v>
      </c>
      <c r="F30" s="34">
        <v>176</v>
      </c>
      <c r="G30" s="36">
        <f>Tabla18205[[#This Row],[Transactions 
Failed]]/Tabla18205[Total]</f>
        <v>0.12482269503546099</v>
      </c>
      <c r="H30" s="34">
        <v>0</v>
      </c>
      <c r="I30" s="36">
        <f>Tabla18205[[#This Row],[Transactions 
In_Prog]]/Tabla18205[Total]</f>
        <v>0</v>
      </c>
      <c r="J30" s="34">
        <v>130</v>
      </c>
      <c r="K30" s="36">
        <f>Tabla18205[[#This Row],[Transactions 
Timeout]]/Tabla18205[Total]</f>
        <v>9.2198581560283682E-2</v>
      </c>
      <c r="L30" s="34">
        <v>0</v>
      </c>
      <c r="M30" s="36">
        <f>Tabla18205[[#This Row],[Transactions
Trans Fail]]/Tabla18205[Total]</f>
        <v>0</v>
      </c>
    </row>
    <row r="31" spans="2:13" s="33" customFormat="1" x14ac:dyDescent="0.3">
      <c r="B31" s="41">
        <v>43205</v>
      </c>
      <c r="C31" s="35">
        <v>254</v>
      </c>
      <c r="D31" s="34">
        <v>90</v>
      </c>
      <c r="E31" s="36">
        <f>Tabla18205[[#This Row],[Transactions 
Complete]]/Tabla18205[Total]</f>
        <v>0.3543307086614173</v>
      </c>
      <c r="F31" s="34">
        <v>48</v>
      </c>
      <c r="G31" s="36">
        <f>Tabla18205[[#This Row],[Transactions 
Failed]]/Tabla18205[Total]</f>
        <v>0.1889763779527559</v>
      </c>
      <c r="H31" s="34">
        <v>0</v>
      </c>
      <c r="I31" s="36">
        <f>Tabla18205[[#This Row],[Transactions 
In_Prog]]/Tabla18205[Total]</f>
        <v>0</v>
      </c>
      <c r="J31" s="34">
        <v>116</v>
      </c>
      <c r="K31" s="36">
        <f>Tabla18205[[#This Row],[Transactions 
Timeout]]/Tabla18205[Total]</f>
        <v>0.45669291338582679</v>
      </c>
      <c r="L31" s="34">
        <v>0</v>
      </c>
      <c r="M31" s="36">
        <f>Tabla18205[[#This Row],[Transactions
Trans Fail]]/Tabla18205[Total]</f>
        <v>0</v>
      </c>
    </row>
    <row r="32" spans="2:13" s="33" customFormat="1" x14ac:dyDescent="0.3">
      <c r="B32" s="41">
        <v>43206</v>
      </c>
      <c r="C32" s="35">
        <v>6061</v>
      </c>
      <c r="D32" s="34">
        <v>4980</v>
      </c>
      <c r="E32" s="36">
        <f>Tabla18205[[#This Row],[Transactions 
Complete]]/Tabla18205[Total]</f>
        <v>0.82164659297145681</v>
      </c>
      <c r="F32" s="34">
        <v>599</v>
      </c>
      <c r="G32" s="36">
        <f>Tabla18205[[#This Row],[Transactions 
Failed]]/Tabla18205[Total]</f>
        <v>9.8828576142550736E-2</v>
      </c>
      <c r="H32" s="34">
        <v>0</v>
      </c>
      <c r="I32" s="36">
        <f>Tabla18205[[#This Row],[Transactions 
In_Prog]]/Tabla18205[Total]</f>
        <v>0</v>
      </c>
      <c r="J32" s="34">
        <v>482</v>
      </c>
      <c r="K32" s="36">
        <f>Tabla18205[[#This Row],[Transactions 
Timeout]]/Tabla18205[Total]</f>
        <v>7.9524830885992409E-2</v>
      </c>
      <c r="L32" s="34">
        <v>0</v>
      </c>
      <c r="M32" s="36">
        <f>Tabla18205[[#This Row],[Transactions
Trans Fail]]/Tabla18205[Total]</f>
        <v>0</v>
      </c>
    </row>
    <row r="33" spans="2:13" s="33" customFormat="1" x14ac:dyDescent="0.3">
      <c r="B33" s="41">
        <v>43207</v>
      </c>
      <c r="C33" s="35">
        <v>4317</v>
      </c>
      <c r="D33" s="34">
        <v>3335</v>
      </c>
      <c r="E33" s="36">
        <f>Tabla18205[[#This Row],[Transactions 
Complete]]/Tabla18205[Total]</f>
        <v>0.77252721797544588</v>
      </c>
      <c r="F33" s="34">
        <v>817</v>
      </c>
      <c r="G33" s="36">
        <f>Tabla18205[[#This Row],[Transactions 
Failed]]/Tabla18205[Total]</f>
        <v>0.18925179522816771</v>
      </c>
      <c r="H33" s="34">
        <v>0</v>
      </c>
      <c r="I33" s="36">
        <f>Tabla18205[[#This Row],[Transactions 
In_Prog]]/Tabla18205[Total]</f>
        <v>0</v>
      </c>
      <c r="J33" s="34">
        <v>165</v>
      </c>
      <c r="K33" s="36">
        <f>Tabla18205[[#This Row],[Transactions 
Timeout]]/Tabla18205[Total]</f>
        <v>3.8220986796386379E-2</v>
      </c>
      <c r="L33" s="34">
        <v>0</v>
      </c>
      <c r="M33" s="36">
        <f>Tabla18205[[#This Row],[Transactions
Trans Fail]]/Tabla18205[Total]</f>
        <v>0</v>
      </c>
    </row>
    <row r="34" spans="2:13" s="33" customFormat="1" x14ac:dyDescent="0.3">
      <c r="B34" s="41">
        <v>43208</v>
      </c>
      <c r="C34" s="35">
        <v>4220</v>
      </c>
      <c r="D34" s="34">
        <v>3641</v>
      </c>
      <c r="E34" s="36">
        <f>Tabla18205[[#This Row],[Transactions 
Complete]]/Tabla18205[Total]</f>
        <v>0.86279620853080574</v>
      </c>
      <c r="F34" s="34">
        <v>479</v>
      </c>
      <c r="G34" s="36">
        <f>Tabla18205[[#This Row],[Transactions 
Failed]]/Tabla18205[Total]</f>
        <v>0.11350710900473934</v>
      </c>
      <c r="H34" s="34">
        <v>0</v>
      </c>
      <c r="I34" s="36">
        <f>Tabla18205[[#This Row],[Transactions 
In_Prog]]/Tabla18205[Total]</f>
        <v>0</v>
      </c>
      <c r="J34" s="34">
        <v>100</v>
      </c>
      <c r="K34" s="36">
        <f>Tabla18205[[#This Row],[Transactions 
Timeout]]/Tabla18205[Total]</f>
        <v>2.3696682464454975E-2</v>
      </c>
      <c r="L34" s="34">
        <v>0</v>
      </c>
      <c r="M34" s="36">
        <f>Tabla18205[[#This Row],[Transactions
Trans Fail]]/Tabla18205[Total]</f>
        <v>0</v>
      </c>
    </row>
    <row r="35" spans="2:13" s="33" customFormat="1" x14ac:dyDescent="0.3">
      <c r="B35" s="41">
        <v>43209</v>
      </c>
      <c r="C35" s="35">
        <v>3656</v>
      </c>
      <c r="D35" s="34">
        <v>3078</v>
      </c>
      <c r="E35" s="36">
        <f>Tabla18205[[#This Row],[Transactions 
Complete]]/Tabla18205[Total]</f>
        <v>0.84190371991247259</v>
      </c>
      <c r="F35" s="34">
        <v>468</v>
      </c>
      <c r="G35" s="36">
        <f>Tabla18205[[#This Row],[Transactions 
Failed]]/Tabla18205[Total]</f>
        <v>0.12800875273522977</v>
      </c>
      <c r="H35" s="34">
        <v>0</v>
      </c>
      <c r="I35" s="36">
        <f>Tabla18205[[#This Row],[Transactions 
In_Prog]]/Tabla18205[Total]</f>
        <v>0</v>
      </c>
      <c r="J35" s="34">
        <v>110</v>
      </c>
      <c r="K35" s="36">
        <f>Tabla18205[[#This Row],[Transactions 
Timeout]]/Tabla18205[Total]</f>
        <v>3.0087527352297593E-2</v>
      </c>
      <c r="L35" s="34">
        <v>0</v>
      </c>
      <c r="M35" s="36">
        <f>Tabla18205[[#This Row],[Transactions
Trans Fail]]/Tabla18205[Total]</f>
        <v>0</v>
      </c>
    </row>
    <row r="36" spans="2:13" s="33" customFormat="1" x14ac:dyDescent="0.3">
      <c r="B36" s="41">
        <v>43210</v>
      </c>
      <c r="C36" s="35">
        <v>2932</v>
      </c>
      <c r="D36" s="34">
        <v>2428</v>
      </c>
      <c r="E36" s="36">
        <f>Tabla18205[[#This Row],[Transactions 
Complete]]/Tabla18205[Total]</f>
        <v>0.82810368349249663</v>
      </c>
      <c r="F36" s="34">
        <v>395</v>
      </c>
      <c r="G36" s="36">
        <f>Tabla18205[[#This Row],[Transactions 
Failed]]/Tabla18205[Total]</f>
        <v>0.13472032742155526</v>
      </c>
      <c r="H36" s="34">
        <v>0</v>
      </c>
      <c r="I36" s="36">
        <f>Tabla18205[[#This Row],[Transactions 
In_Prog]]/Tabla18205[Total]</f>
        <v>0</v>
      </c>
      <c r="J36" s="34">
        <v>109</v>
      </c>
      <c r="K36" s="36">
        <f>Tabla18205[[#This Row],[Transactions 
Timeout]]/Tabla18205[Total]</f>
        <v>3.7175989085948158E-2</v>
      </c>
      <c r="L36" s="34">
        <v>0</v>
      </c>
      <c r="M36" s="36">
        <f>Tabla18205[[#This Row],[Transactions
Trans Fail]]/Tabla18205[Total]</f>
        <v>0</v>
      </c>
    </row>
    <row r="37" spans="2:13" s="33" customFormat="1" x14ac:dyDescent="0.3">
      <c r="B37" s="41">
        <v>43211</v>
      </c>
      <c r="C37" s="35">
        <v>1295</v>
      </c>
      <c r="D37" s="34">
        <v>998</v>
      </c>
      <c r="E37" s="36">
        <f>Tabla18205[[#This Row],[Transactions 
Complete]]/Tabla18205[Total]</f>
        <v>0.7706563706563706</v>
      </c>
      <c r="F37" s="34">
        <v>166</v>
      </c>
      <c r="G37" s="36">
        <f>Tabla18205[[#This Row],[Transactions 
Failed]]/Tabla18205[Total]</f>
        <v>0.12818532818532818</v>
      </c>
      <c r="H37" s="34">
        <v>0</v>
      </c>
      <c r="I37" s="36">
        <f>Tabla18205[[#This Row],[Transactions 
In_Prog]]/Tabla18205[Total]</f>
        <v>0</v>
      </c>
      <c r="J37" s="34">
        <v>131</v>
      </c>
      <c r="K37" s="36">
        <f>Tabla18205[[#This Row],[Transactions 
Timeout]]/Tabla18205[Total]</f>
        <v>0.10115830115830116</v>
      </c>
      <c r="L37" s="34">
        <v>0</v>
      </c>
      <c r="M37" s="36">
        <f>Tabla18205[[#This Row],[Transactions
Trans Fail]]/Tabla18205[Total]</f>
        <v>0</v>
      </c>
    </row>
    <row r="38" spans="2:13" s="33" customFormat="1" x14ac:dyDescent="0.3">
      <c r="B38" s="41">
        <v>43212</v>
      </c>
      <c r="C38" s="35">
        <v>186</v>
      </c>
      <c r="D38" s="34">
        <v>53</v>
      </c>
      <c r="E38" s="36">
        <f>Tabla18205[[#This Row],[Transactions 
Complete]]/Tabla18205[Total]</f>
        <v>0.28494623655913981</v>
      </c>
      <c r="F38" s="34">
        <v>28</v>
      </c>
      <c r="G38" s="36">
        <f>Tabla18205[[#This Row],[Transactions 
Failed]]/Tabla18205[Total]</f>
        <v>0.15053763440860216</v>
      </c>
      <c r="H38" s="34">
        <v>0</v>
      </c>
      <c r="I38" s="36">
        <f>Tabla18205[[#This Row],[Transactions 
In_Prog]]/Tabla18205[Total]</f>
        <v>0</v>
      </c>
      <c r="J38" s="34">
        <v>105</v>
      </c>
      <c r="K38" s="36">
        <f>Tabla18205[[#This Row],[Transactions 
Timeout]]/Tabla18205[Total]</f>
        <v>0.56451612903225812</v>
      </c>
      <c r="L38" s="34">
        <v>0</v>
      </c>
      <c r="M38" s="36">
        <f>Tabla18205[[#This Row],[Transactions
Trans Fail]]/Tabla18205[Total]</f>
        <v>0</v>
      </c>
    </row>
    <row r="39" spans="2:13" s="33" customFormat="1" x14ac:dyDescent="0.3">
      <c r="B39" s="41">
        <v>43213</v>
      </c>
      <c r="C39" s="35">
        <v>7376</v>
      </c>
      <c r="D39" s="34">
        <v>6416</v>
      </c>
      <c r="E39" s="36">
        <f>Tabla18205[[#This Row],[Transactions 
Complete]]/Tabla18205[Total]</f>
        <v>0.86984815618221256</v>
      </c>
      <c r="F39" s="34">
        <v>837</v>
      </c>
      <c r="G39" s="36">
        <f>Tabla18205[[#This Row],[Transactions 
Failed]]/Tabla18205[Total]</f>
        <v>0.1134761388286334</v>
      </c>
      <c r="H39" s="34">
        <v>0</v>
      </c>
      <c r="I39" s="36">
        <f>Tabla18205[[#This Row],[Transactions 
In_Prog]]/Tabla18205[Total]</f>
        <v>0</v>
      </c>
      <c r="J39" s="34">
        <v>123</v>
      </c>
      <c r="K39" s="36">
        <f>Tabla18205[[#This Row],[Transactions 
Timeout]]/Tabla18205[Total]</f>
        <v>1.6675704989154012E-2</v>
      </c>
      <c r="L39" s="34">
        <v>0</v>
      </c>
      <c r="M39" s="36">
        <f>Tabla18205[[#This Row],[Transactions
Trans Fail]]/Tabla18205[Total]</f>
        <v>0</v>
      </c>
    </row>
    <row r="40" spans="2:13" s="33" customFormat="1" x14ac:dyDescent="0.3">
      <c r="B40" s="41">
        <v>43214</v>
      </c>
      <c r="C40" s="35">
        <v>4626</v>
      </c>
      <c r="D40" s="34">
        <v>4049</v>
      </c>
      <c r="E40" s="36">
        <f>Tabla18205[[#This Row],[Transactions 
Complete]]/Tabla18205[Total]</f>
        <v>0.87527021184608733</v>
      </c>
      <c r="F40" s="34">
        <v>444</v>
      </c>
      <c r="G40" s="36">
        <f>Tabla18205[[#This Row],[Transactions 
Failed]]/Tabla18205[Total]</f>
        <v>9.5979247730220499E-2</v>
      </c>
      <c r="H40" s="34">
        <v>0</v>
      </c>
      <c r="I40" s="36">
        <f>Tabla18205[[#This Row],[Transactions 
In_Prog]]/Tabla18205[Total]</f>
        <v>0</v>
      </c>
      <c r="J40" s="34">
        <v>133</v>
      </c>
      <c r="K40" s="36">
        <f>Tabla18205[[#This Row],[Transactions 
Timeout]]/Tabla18205[Total]</f>
        <v>2.8750540423692173E-2</v>
      </c>
      <c r="L40" s="34">
        <v>0</v>
      </c>
      <c r="M40" s="36">
        <f>Tabla18205[[#This Row],[Transactions
Trans Fail]]/Tabla18205[Total]</f>
        <v>0</v>
      </c>
    </row>
    <row r="41" spans="2:13" s="33" customFormat="1" x14ac:dyDescent="0.3">
      <c r="B41" s="41">
        <v>43215</v>
      </c>
      <c r="C41" s="35">
        <v>2864</v>
      </c>
      <c r="D41" s="34">
        <v>2274</v>
      </c>
      <c r="E41" s="36">
        <f>Tabla18205[[#This Row],[Transactions 
Complete]]/Tabla18205[Total]</f>
        <v>0.79399441340782118</v>
      </c>
      <c r="F41" s="34">
        <v>445</v>
      </c>
      <c r="G41" s="36">
        <f>Tabla18205[[#This Row],[Transactions 
Failed]]/Tabla18205[Total]</f>
        <v>0.15537709497206703</v>
      </c>
      <c r="H41" s="34">
        <v>0</v>
      </c>
      <c r="I41" s="36">
        <f>Tabla18205[[#This Row],[Transactions 
In_Prog]]/Tabla18205[Total]</f>
        <v>0</v>
      </c>
      <c r="J41" s="34">
        <v>145</v>
      </c>
      <c r="K41" s="36">
        <f>Tabla18205[[#This Row],[Transactions 
Timeout]]/Tabla18205[Total]</f>
        <v>5.062849162011173E-2</v>
      </c>
      <c r="L41" s="34">
        <v>0</v>
      </c>
      <c r="M41" s="36">
        <f>Tabla18205[[#This Row],[Transactions
Trans Fail]]/Tabla18205[Total]</f>
        <v>0</v>
      </c>
    </row>
    <row r="42" spans="2:13" s="33" customFormat="1" x14ac:dyDescent="0.3">
      <c r="B42" s="41">
        <v>43216</v>
      </c>
      <c r="C42" s="35">
        <v>5706</v>
      </c>
      <c r="D42" s="34">
        <v>4891</v>
      </c>
      <c r="E42" s="36">
        <f>Tabla18205[[#This Row],[Transactions 
Complete]]/Tabla18205[Total]</f>
        <v>0.85716789344549593</v>
      </c>
      <c r="F42" s="34">
        <v>698</v>
      </c>
      <c r="G42" s="36">
        <f>Tabla18205[[#This Row],[Transactions 
Failed]]/Tabla18205[Total]</f>
        <v>0.12232737469330529</v>
      </c>
      <c r="H42" s="34">
        <v>0</v>
      </c>
      <c r="I42" s="36">
        <f>Tabla18205[[#This Row],[Transactions 
In_Prog]]/Tabla18205[Total]</f>
        <v>0</v>
      </c>
      <c r="J42" s="34">
        <v>117</v>
      </c>
      <c r="K42" s="36">
        <f>Tabla18205[[#This Row],[Transactions 
Timeout]]/Tabla18205[Total]</f>
        <v>2.0504731861198739E-2</v>
      </c>
      <c r="L42" s="34">
        <v>0</v>
      </c>
      <c r="M42" s="36">
        <f>Tabla18205[[#This Row],[Transactions
Trans Fail]]/Tabla18205[Total]</f>
        <v>0</v>
      </c>
    </row>
    <row r="43" spans="2:13" s="33" customFormat="1" x14ac:dyDescent="0.3">
      <c r="B43" s="41">
        <v>43217</v>
      </c>
      <c r="C43" s="35">
        <v>3672</v>
      </c>
      <c r="D43" s="34">
        <v>3057</v>
      </c>
      <c r="E43" s="36">
        <f>Tabla18205[[#This Row],[Transactions 
Complete]]/Tabla18205[Total]</f>
        <v>0.83251633986928109</v>
      </c>
      <c r="F43" s="34">
        <v>433</v>
      </c>
      <c r="G43" s="36">
        <f>Tabla18205[[#This Row],[Transactions 
Failed]]/Tabla18205[Total]</f>
        <v>0.11791938997821351</v>
      </c>
      <c r="H43" s="34">
        <v>0</v>
      </c>
      <c r="I43" s="36">
        <f>Tabla18205[[#This Row],[Transactions 
In_Prog]]/Tabla18205[Total]</f>
        <v>0</v>
      </c>
      <c r="J43" s="34">
        <v>182</v>
      </c>
      <c r="K43" s="36">
        <f>Tabla18205[[#This Row],[Transactions 
Timeout]]/Tabla18205[Total]</f>
        <v>4.9564270152505446E-2</v>
      </c>
      <c r="L43" s="34">
        <v>0</v>
      </c>
      <c r="M43" s="36">
        <f>Tabla18205[[#This Row],[Transactions
Trans Fail]]/Tabla18205[Total]</f>
        <v>0</v>
      </c>
    </row>
    <row r="44" spans="2:13" s="33" customFormat="1" x14ac:dyDescent="0.3">
      <c r="B44" s="41">
        <v>43218</v>
      </c>
      <c r="C44" s="35">
        <v>1687</v>
      </c>
      <c r="D44" s="34">
        <v>1321</v>
      </c>
      <c r="E44" s="36">
        <f>Tabla18205[[#This Row],[Transactions 
Complete]]/Tabla18205[Total]</f>
        <v>0.78304682868998221</v>
      </c>
      <c r="F44" s="34">
        <v>197</v>
      </c>
      <c r="G44" s="36">
        <f>Tabla18205[[#This Row],[Transactions 
Failed]]/Tabla18205[Total]</f>
        <v>0.11677534084173088</v>
      </c>
      <c r="H44" s="34">
        <v>0</v>
      </c>
      <c r="I44" s="36">
        <f>Tabla18205[[#This Row],[Transactions 
In_Prog]]/Tabla18205[Total]</f>
        <v>0</v>
      </c>
      <c r="J44" s="34">
        <v>169</v>
      </c>
      <c r="K44" s="36">
        <f>Tabla18205[[#This Row],[Transactions 
Timeout]]/Tabla18205[Total]</f>
        <v>0.1001778304682869</v>
      </c>
      <c r="L44" s="34">
        <v>0</v>
      </c>
      <c r="M44" s="36">
        <f>Tabla18205[[#This Row],[Transactions
Trans Fail]]/Tabla18205[Total]</f>
        <v>0</v>
      </c>
    </row>
    <row r="45" spans="2:13" s="33" customFormat="1" x14ac:dyDescent="0.3">
      <c r="B45" s="41">
        <v>43219</v>
      </c>
      <c r="C45" s="35">
        <v>472</v>
      </c>
      <c r="D45" s="34">
        <v>283</v>
      </c>
      <c r="E45" s="36">
        <f>Tabla18205[[#This Row],[Transactions 
Complete]]/Tabla18205[Total]</f>
        <v>0.59957627118644063</v>
      </c>
      <c r="F45" s="34">
        <v>34</v>
      </c>
      <c r="G45" s="36">
        <f>Tabla18205[[#This Row],[Transactions 
Failed]]/Tabla18205[Total]</f>
        <v>7.2033898305084748E-2</v>
      </c>
      <c r="H45" s="34">
        <v>0</v>
      </c>
      <c r="I45" s="36">
        <f>Tabla18205[[#This Row],[Transactions 
In_Prog]]/Tabla18205[Total]</f>
        <v>0</v>
      </c>
      <c r="J45" s="34">
        <v>155</v>
      </c>
      <c r="K45" s="36">
        <f>Tabla18205[[#This Row],[Transactions 
Timeout]]/Tabla18205[Total]</f>
        <v>0.32838983050847459</v>
      </c>
      <c r="L45" s="34">
        <v>0</v>
      </c>
      <c r="M45" s="36">
        <f>Tabla18205[[#This Row],[Transactions
Trans Fail]]/Tabla18205[Total]</f>
        <v>0</v>
      </c>
    </row>
    <row r="46" spans="2:13" s="33" customFormat="1" x14ac:dyDescent="0.3">
      <c r="B46" s="41">
        <v>43220</v>
      </c>
      <c r="C46" s="35">
        <v>6932</v>
      </c>
      <c r="D46" s="34">
        <v>5777</v>
      </c>
      <c r="E46" s="36">
        <f>Tabla18205[[#This Row],[Transactions 
Complete]]/Tabla18205[Total]</f>
        <v>0.83338141950375078</v>
      </c>
      <c r="F46" s="34">
        <v>945</v>
      </c>
      <c r="G46" s="36">
        <f>Tabla18205[[#This Row],[Transactions 
Failed]]/Tabla18205[Total]</f>
        <v>0.13632429313329486</v>
      </c>
      <c r="H46" s="34">
        <v>0</v>
      </c>
      <c r="I46" s="36">
        <f>Tabla18205[[#This Row],[Transactions 
In_Prog]]/Tabla18205[Total]</f>
        <v>0</v>
      </c>
      <c r="J46" s="34">
        <v>210</v>
      </c>
      <c r="K46" s="36">
        <f>Tabla18205[[#This Row],[Transactions 
Timeout]]/Tabla18205[Total]</f>
        <v>3.0294287362954413E-2</v>
      </c>
      <c r="L46" s="34">
        <v>0</v>
      </c>
      <c r="M46" s="36">
        <f>Tabla18205[[#This Row],[Transactions
Trans Fail]]/Tabla18205[Total]</f>
        <v>0</v>
      </c>
    </row>
    <row r="47" spans="2:13" ht="24" x14ac:dyDescent="0.3">
      <c r="B47" s="82" t="s">
        <v>26</v>
      </c>
      <c r="C47" s="83">
        <f>SUM(C17:C46)</f>
        <v>155801</v>
      </c>
      <c r="D47" s="83">
        <f>SUM(D17:D46)</f>
        <v>134575</v>
      </c>
      <c r="E47" s="84">
        <f>AVERAGE(E17:E46)</f>
        <v>0.77702970830028562</v>
      </c>
      <c r="F47" s="83">
        <f>SUM(F17:F46)</f>
        <v>16073</v>
      </c>
      <c r="G47" s="84">
        <f>AVERAGE(G17:G46)</f>
        <v>0.12617392400561733</v>
      </c>
      <c r="H47" s="83">
        <f>SUM(H17:H46)</f>
        <v>0</v>
      </c>
      <c r="I47" s="84">
        <f>AVERAGE(I17:I46)</f>
        <v>0</v>
      </c>
      <c r="J47" s="83">
        <f>SUM(J17:J46)</f>
        <v>5153</v>
      </c>
      <c r="K47" s="84">
        <f>AVERAGE(K17:K46)</f>
        <v>9.679636769409683E-2</v>
      </c>
      <c r="L47" s="83">
        <f>SUM(L17:L46)</f>
        <v>0</v>
      </c>
      <c r="M47" s="84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6"/>
  <sheetViews>
    <sheetView topLeftCell="A14" workbookViewId="0">
      <selection activeCell="C15" sqref="C15:M1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>
        <f>D15</f>
        <v>71165</v>
      </c>
      <c r="D7" s="12">
        <f>C7/C6</f>
        <v>0.81429143543680993</v>
      </c>
    </row>
    <row r="8" spans="2:16" x14ac:dyDescent="0.3">
      <c r="B8" s="9" t="s">
        <v>7</v>
      </c>
      <c r="C8" s="11">
        <f>F15</f>
        <v>11174</v>
      </c>
      <c r="D8" s="12">
        <f>C8/C6</f>
        <v>0.12785628468447852</v>
      </c>
    </row>
    <row r="9" spans="2:16" x14ac:dyDescent="0.3">
      <c r="B9" s="9" t="s">
        <v>8</v>
      </c>
      <c r="C9" s="11">
        <f>H15</f>
        <v>2</v>
      </c>
      <c r="D9" s="12">
        <f>C9/C6</f>
        <v>2.288460438240174E-5</v>
      </c>
      <c r="P9" s="1">
        <f>72+24</f>
        <v>96</v>
      </c>
    </row>
    <row r="10" spans="2:16" x14ac:dyDescent="0.3">
      <c r="B10" s="9" t="s">
        <v>9</v>
      </c>
      <c r="C10" s="11">
        <f>J15</f>
        <v>5053</v>
      </c>
      <c r="D10" s="12">
        <f>C10/C6</f>
        <v>5.7817952972137994E-2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87394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SUM(Tabla18206[Total])</f>
        <v>87395</v>
      </c>
      <c r="D15" s="14">
        <f>SUM(Tabla18206[Transactions 
Complete])</f>
        <v>71165</v>
      </c>
      <c r="E15" s="15">
        <f>AVERAGE(Tabla18206[%
Complete])</f>
        <v>0.77377332512384667</v>
      </c>
      <c r="F15" s="14">
        <f>SUM(Tabla18206[Transactions 
Failed])</f>
        <v>11174</v>
      </c>
      <c r="G15" s="15">
        <f>AVERAGE(Tabla18206[% 
Failed])</f>
        <v>0.13698684307401454</v>
      </c>
      <c r="H15" s="14">
        <f>SUM(Tabla18206[Transactions 
In_Prog])</f>
        <v>2</v>
      </c>
      <c r="I15" s="15">
        <f>AVERAGE(Tabla18206[%
In_Prog])</f>
        <v>2.5261780051955254E-5</v>
      </c>
      <c r="J15" s="14">
        <f>SUM(Tabla18206[Transactions 
Timeout])</f>
        <v>5053</v>
      </c>
      <c r="K15" s="15">
        <f>AVERAGE(Tabla18206[%
Timeout])</f>
        <v>8.9200239473656656E-2</v>
      </c>
      <c r="L15" s="14">
        <f>SUM(Tabla18206[Transactions
Trans Fail])</f>
        <v>0</v>
      </c>
      <c r="M15" s="15">
        <f>AVERAGE(Tabla18206[%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1">
        <v>43221</v>
      </c>
      <c r="C17" s="35">
        <v>3959</v>
      </c>
      <c r="D17" s="34">
        <v>3152</v>
      </c>
      <c r="E17" s="36">
        <f>Tabla18206[[#This Row],[Transactions 
Complete]]/Tabla18206[Total]</f>
        <v>0.7961606466279364</v>
      </c>
      <c r="F17" s="34">
        <v>620</v>
      </c>
      <c r="G17" s="36">
        <f>Tabla18206[[#This Row],[Transactions 
Failed]]/Tabla18206[Total]</f>
        <v>0.1566052033341753</v>
      </c>
      <c r="H17" s="34">
        <v>0</v>
      </c>
      <c r="I17" s="36">
        <f>Tabla18206[[#This Row],[Transactions 
In_Prog]]/Tabla18206[Total]</f>
        <v>0</v>
      </c>
      <c r="J17" s="34">
        <v>187</v>
      </c>
      <c r="K17" s="36">
        <f>Tabla18206[[#This Row],[Transactions 
Timeout]]/Tabla18206[Total]</f>
        <v>4.7234150037888355E-2</v>
      </c>
      <c r="L17" s="34">
        <v>0</v>
      </c>
      <c r="M17" s="36">
        <f>Tabla18206[[#This Row],[Transactions
Trans Fail]]/Tabla18206[Total]</f>
        <v>0</v>
      </c>
    </row>
    <row r="18" spans="2:13" s="33" customFormat="1" x14ac:dyDescent="0.3">
      <c r="B18" s="41">
        <v>43222</v>
      </c>
      <c r="C18" s="35">
        <v>2688</v>
      </c>
      <c r="D18" s="34">
        <v>2126</v>
      </c>
      <c r="E18" s="36">
        <f>Tabla18206[[#This Row],[Transactions 
Complete]]/Tabla18206[Total]</f>
        <v>0.79092261904761907</v>
      </c>
      <c r="F18" s="34">
        <v>386</v>
      </c>
      <c r="G18" s="36">
        <f>Tabla18206[[#This Row],[Transactions 
Failed]]/Tabla18206[Total]</f>
        <v>0.14360119047619047</v>
      </c>
      <c r="H18" s="34">
        <v>0</v>
      </c>
      <c r="I18" s="36">
        <f>Tabla18206[[#This Row],[Transactions 
In_Prog]]/Tabla18206[Total]</f>
        <v>0</v>
      </c>
      <c r="J18" s="34">
        <v>176</v>
      </c>
      <c r="K18" s="36">
        <f>Tabla18206[[#This Row],[Transactions 
Timeout]]/Tabla18206[Total]</f>
        <v>6.5476190476190479E-2</v>
      </c>
      <c r="L18" s="34">
        <v>0</v>
      </c>
      <c r="M18" s="36">
        <f>Tabla18206[[#This Row],[Transactions
Trans Fail]]/Tabla18206[Total]</f>
        <v>0</v>
      </c>
    </row>
    <row r="19" spans="2:13" s="33" customFormat="1" x14ac:dyDescent="0.3">
      <c r="B19" s="41">
        <v>43223</v>
      </c>
      <c r="C19" s="35">
        <v>2851</v>
      </c>
      <c r="D19" s="34">
        <v>2308</v>
      </c>
      <c r="E19" s="36">
        <f>Tabla18206[[#This Row],[Transactions 
Complete]]/Tabla18206[Total]</f>
        <v>0.80954051210101718</v>
      </c>
      <c r="F19" s="34">
        <v>388</v>
      </c>
      <c r="G19" s="36">
        <f>Tabla18206[[#This Row],[Transactions 
Failed]]/Tabla18206[Total]</f>
        <v>0.13609259908803928</v>
      </c>
      <c r="H19" s="34">
        <v>0</v>
      </c>
      <c r="I19" s="36">
        <f>Tabla18206[[#This Row],[Transactions 
In_Prog]]/Tabla18206[Total]</f>
        <v>0</v>
      </c>
      <c r="J19" s="34">
        <v>155</v>
      </c>
      <c r="K19" s="36">
        <f>Tabla18206[[#This Row],[Transactions 
Timeout]]/Tabla18206[Total]</f>
        <v>5.436688881094353E-2</v>
      </c>
      <c r="L19" s="34">
        <v>0</v>
      </c>
      <c r="M19" s="36">
        <f>Tabla18206[[#This Row],[Transactions
Trans Fail]]/Tabla18206[Total]</f>
        <v>0</v>
      </c>
    </row>
    <row r="20" spans="2:13" s="33" customFormat="1" x14ac:dyDescent="0.3">
      <c r="B20" s="41">
        <v>43224</v>
      </c>
      <c r="C20" s="35">
        <v>5917</v>
      </c>
      <c r="D20" s="34">
        <v>4908</v>
      </c>
      <c r="E20" s="36">
        <f>Tabla18206[[#This Row],[Transactions 
Complete]]/Tabla18206[Total]</f>
        <v>0.82947439580868687</v>
      </c>
      <c r="F20" s="34">
        <v>784</v>
      </c>
      <c r="G20" s="36">
        <f>Tabla18206[[#This Row],[Transactions 
Failed]]/Tabla18206[Total]</f>
        <v>0.1324995774885922</v>
      </c>
      <c r="H20" s="34">
        <v>0</v>
      </c>
      <c r="I20" s="36">
        <f>Tabla18206[[#This Row],[Transactions 
In_Prog]]/Tabla18206[Total]</f>
        <v>0</v>
      </c>
      <c r="J20" s="34">
        <v>225</v>
      </c>
      <c r="K20" s="36">
        <f>Tabla18206[[#This Row],[Transactions 
Timeout]]/Tabla18206[Total]</f>
        <v>3.8026026702720976E-2</v>
      </c>
      <c r="L20" s="34">
        <v>0</v>
      </c>
      <c r="M20" s="36">
        <f>Tabla18206[[#This Row],[Transactions
Trans Fail]]/Tabla18206[Total]</f>
        <v>0</v>
      </c>
    </row>
    <row r="21" spans="2:13" s="33" customFormat="1" x14ac:dyDescent="0.3">
      <c r="B21" s="41">
        <v>43225</v>
      </c>
      <c r="C21" s="35">
        <v>1530</v>
      </c>
      <c r="D21" s="34">
        <v>1257</v>
      </c>
      <c r="E21" s="36">
        <f>Tabla18206[[#This Row],[Transactions 
Complete]]/Tabla18206[Total]</f>
        <v>0.82156862745098036</v>
      </c>
      <c r="F21" s="34">
        <v>168</v>
      </c>
      <c r="G21" s="36">
        <f>Tabla18206[[#This Row],[Transactions 
Failed]]/Tabla18206[Total]</f>
        <v>0.10980392156862745</v>
      </c>
      <c r="H21" s="34">
        <v>0</v>
      </c>
      <c r="I21" s="36">
        <f>Tabla18206[[#This Row],[Transactions 
In_Prog]]/Tabla18206[Total]</f>
        <v>0</v>
      </c>
      <c r="J21" s="34">
        <v>105</v>
      </c>
      <c r="K21" s="36">
        <f>Tabla18206[[#This Row],[Transactions 
Timeout]]/Tabla18206[Total]</f>
        <v>6.8627450980392163E-2</v>
      </c>
      <c r="L21" s="34">
        <v>0</v>
      </c>
      <c r="M21" s="36">
        <f>Tabla18206[[#This Row],[Transactions
Trans Fail]]/Tabla18206[Total]</f>
        <v>0</v>
      </c>
    </row>
    <row r="22" spans="2:13" s="33" customFormat="1" x14ac:dyDescent="0.3">
      <c r="B22" s="44">
        <v>43226</v>
      </c>
      <c r="C22" s="35">
        <v>241</v>
      </c>
      <c r="D22" s="34">
        <v>109</v>
      </c>
      <c r="E22" s="36">
        <f>Tabla18206[[#This Row],[Transactions 
Complete]]/Tabla18206[Total]</f>
        <v>0.45228215767634855</v>
      </c>
      <c r="F22" s="34">
        <v>18</v>
      </c>
      <c r="G22" s="36">
        <f>Tabla18206[[#This Row],[Transactions 
Failed]]/Tabla18206[Total]</f>
        <v>7.4688796680497924E-2</v>
      </c>
      <c r="H22" s="34">
        <v>0</v>
      </c>
      <c r="I22" s="36">
        <f>Tabla18206[[#This Row],[Transactions 
In_Prog]]/Tabla18206[Total]</f>
        <v>0</v>
      </c>
      <c r="J22" s="34">
        <v>114</v>
      </c>
      <c r="K22" s="36">
        <f>Tabla18206[[#This Row],[Transactions 
Timeout]]/Tabla18206[Total]</f>
        <v>0.47302904564315351</v>
      </c>
      <c r="L22" s="34">
        <v>0</v>
      </c>
      <c r="M22" s="36">
        <f>Tabla18206[[#This Row],[Transactions
Trans Fail]]/Tabla18206[Total]</f>
        <v>0</v>
      </c>
    </row>
    <row r="23" spans="2:13" s="33" customFormat="1" x14ac:dyDescent="0.3">
      <c r="B23" s="44">
        <v>43227</v>
      </c>
      <c r="C23" s="35">
        <v>3337</v>
      </c>
      <c r="D23" s="34">
        <v>2863</v>
      </c>
      <c r="E23" s="36">
        <f>Tabla18206[[#This Row],[Transactions 
Complete]]/Tabla18206[Total]</f>
        <v>0.85795624812706028</v>
      </c>
      <c r="F23" s="34">
        <v>356</v>
      </c>
      <c r="G23" s="36">
        <f>Tabla18206[[#This Row],[Transactions 
Failed]]/Tabla18206[Total]</f>
        <v>0.10668264908600539</v>
      </c>
      <c r="H23" s="34">
        <v>0</v>
      </c>
      <c r="I23" s="36">
        <f>Tabla18206[[#This Row],[Transactions 
In_Prog]]/Tabla18206[Total]</f>
        <v>0</v>
      </c>
      <c r="J23" s="34">
        <v>118</v>
      </c>
      <c r="K23" s="36">
        <f>Tabla18206[[#This Row],[Transactions 
Timeout]]/Tabla18206[Total]</f>
        <v>3.536110278693437E-2</v>
      </c>
      <c r="L23" s="34">
        <v>0</v>
      </c>
      <c r="M23" s="36">
        <f>Tabla18206[[#This Row],[Transactions
Trans Fail]]/Tabla18206[Total]</f>
        <v>0</v>
      </c>
    </row>
    <row r="24" spans="2:13" s="33" customFormat="1" x14ac:dyDescent="0.3">
      <c r="B24" s="44">
        <v>43228</v>
      </c>
      <c r="C24" s="35">
        <v>5217</v>
      </c>
      <c r="D24" s="34">
        <v>4445</v>
      </c>
      <c r="E24" s="36">
        <f>Tabla18206[[#This Row],[Transactions 
Complete]]/Tabla18206[Total]</f>
        <v>0.85202223500095842</v>
      </c>
      <c r="F24" s="34">
        <v>654</v>
      </c>
      <c r="G24" s="36">
        <f>Tabla18206[[#This Row],[Transactions 
Failed]]/Tabla18206[Total]</f>
        <v>0.12535940195514664</v>
      </c>
      <c r="H24" s="34">
        <v>0</v>
      </c>
      <c r="I24" s="36">
        <f>Tabla18206[[#This Row],[Transactions 
In_Prog]]/Tabla18206[Total]</f>
        <v>0</v>
      </c>
      <c r="J24" s="34">
        <v>118</v>
      </c>
      <c r="K24" s="36">
        <f>Tabla18206[[#This Row],[Transactions 
Timeout]]/Tabla18206[Total]</f>
        <v>2.261836304389496E-2</v>
      </c>
      <c r="L24" s="34">
        <v>0</v>
      </c>
      <c r="M24" s="36">
        <f>Tabla18206[[#This Row],[Transactions
Trans Fail]]/Tabla18206[Total]</f>
        <v>0</v>
      </c>
    </row>
    <row r="25" spans="2:13" s="33" customFormat="1" x14ac:dyDescent="0.3">
      <c r="B25" s="44">
        <v>43229</v>
      </c>
      <c r="C25" s="35">
        <v>2951</v>
      </c>
      <c r="D25" s="34">
        <v>2443</v>
      </c>
      <c r="E25" s="36">
        <f>Tabla18206[[#This Row],[Transactions 
Complete]]/Tabla18206[Total]</f>
        <v>0.8278549644188411</v>
      </c>
      <c r="F25" s="34">
        <v>362</v>
      </c>
      <c r="G25" s="36">
        <f>Tabla18206[[#This Row],[Transactions 
Failed]]/Tabla18206[Total]</f>
        <v>0.12267028126058963</v>
      </c>
      <c r="H25" s="34">
        <v>1</v>
      </c>
      <c r="I25" s="36">
        <f>Tabla18206[[#This Row],[Transactions 
In_Prog]]/Tabla18206[Total]</f>
        <v>3.3886818027787193E-4</v>
      </c>
      <c r="J25" s="34">
        <v>145</v>
      </c>
      <c r="K25" s="36">
        <f>Tabla18206[[#This Row],[Transactions 
Timeout]]/Tabla18206[Total]</f>
        <v>4.9135886140291428E-2</v>
      </c>
      <c r="L25" s="34">
        <v>0</v>
      </c>
      <c r="M25" s="36">
        <f>Tabla18206[[#This Row],[Transactions
Trans Fail]]/Tabla18206[Total]</f>
        <v>0</v>
      </c>
    </row>
    <row r="26" spans="2:13" s="33" customFormat="1" x14ac:dyDescent="0.3">
      <c r="B26" s="44">
        <v>43230</v>
      </c>
      <c r="C26" s="35">
        <v>4018</v>
      </c>
      <c r="D26" s="34">
        <v>3461</v>
      </c>
      <c r="E26" s="36">
        <f>Tabla18206[[#This Row],[Transactions 
Complete]]/Tabla18206[Total]</f>
        <v>0.86137381781981082</v>
      </c>
      <c r="F26" s="34">
        <v>410</v>
      </c>
      <c r="G26" s="36">
        <f>Tabla18206[[#This Row],[Transactions 
Failed]]/Tabla18206[Total]</f>
        <v>0.10204081632653061</v>
      </c>
      <c r="H26" s="34">
        <v>0</v>
      </c>
      <c r="I26" s="36">
        <f>Tabla18206[[#This Row],[Transactions 
In_Prog]]/Tabla18206[Total]</f>
        <v>0</v>
      </c>
      <c r="J26" s="34">
        <v>147</v>
      </c>
      <c r="K26" s="36">
        <f>Tabla18206[[#This Row],[Transactions 
Timeout]]/Tabla18206[Total]</f>
        <v>3.6585365853658534E-2</v>
      </c>
      <c r="L26" s="34">
        <v>0</v>
      </c>
      <c r="M26" s="36">
        <f>Tabla18206[[#This Row],[Transactions
Trans Fail]]/Tabla18206[Total]</f>
        <v>0</v>
      </c>
    </row>
    <row r="27" spans="2:13" s="33" customFormat="1" x14ac:dyDescent="0.3">
      <c r="B27" s="44">
        <v>43231</v>
      </c>
      <c r="C27" s="35">
        <v>2773</v>
      </c>
      <c r="D27" s="34">
        <v>2253</v>
      </c>
      <c r="E27" s="36">
        <f>Tabla18206[[#This Row],[Transactions 
Complete]]/Tabla18206[Total]</f>
        <v>0.81247746123332132</v>
      </c>
      <c r="F27" s="34">
        <v>360</v>
      </c>
      <c r="G27" s="36">
        <f>Tabla18206[[#This Row],[Transactions 
Failed]]/Tabla18206[Total]</f>
        <v>0.12982329606923909</v>
      </c>
      <c r="H27" s="34">
        <v>0</v>
      </c>
      <c r="I27" s="36">
        <f>Tabla18206[[#This Row],[Transactions 
In_Prog]]/Tabla18206[Total]</f>
        <v>0</v>
      </c>
      <c r="J27" s="34">
        <v>160</v>
      </c>
      <c r="K27" s="36">
        <f>Tabla18206[[#This Row],[Transactions 
Timeout]]/Tabla18206[Total]</f>
        <v>5.7699242697439597E-2</v>
      </c>
      <c r="L27" s="34">
        <v>0</v>
      </c>
      <c r="M27" s="36">
        <f>Tabla18206[[#This Row],[Transactions
Trans Fail]]/Tabla18206[Total]</f>
        <v>0</v>
      </c>
    </row>
    <row r="28" spans="2:13" s="33" customFormat="1" x14ac:dyDescent="0.3">
      <c r="B28" s="44">
        <v>43232</v>
      </c>
      <c r="C28" s="35">
        <v>1370</v>
      </c>
      <c r="D28" s="34">
        <v>1058</v>
      </c>
      <c r="E28" s="36">
        <f>Tabla18206[[#This Row],[Transactions 
Complete]]/Tabla18206[Total]</f>
        <v>0.77226277372262775</v>
      </c>
      <c r="F28" s="34">
        <v>163</v>
      </c>
      <c r="G28" s="36">
        <f>Tabla18206[[#This Row],[Transactions 
Failed]]/Tabla18206[Total]</f>
        <v>0.11897810218978103</v>
      </c>
      <c r="H28" s="34">
        <v>0</v>
      </c>
      <c r="I28" s="36">
        <f>Tabla18206[[#This Row],[Transactions 
In_Prog]]/Tabla18206[Total]</f>
        <v>0</v>
      </c>
      <c r="J28" s="34">
        <v>149</v>
      </c>
      <c r="K28" s="36">
        <f>Tabla18206[[#This Row],[Transactions 
Timeout]]/Tabla18206[Total]</f>
        <v>0.10875912408759124</v>
      </c>
      <c r="L28" s="34">
        <v>0</v>
      </c>
      <c r="M28" s="36">
        <f>Tabla18206[[#This Row],[Transactions
Trans Fail]]/Tabla18206[Total]</f>
        <v>0</v>
      </c>
    </row>
    <row r="29" spans="2:13" s="33" customFormat="1" x14ac:dyDescent="0.3">
      <c r="B29" s="41">
        <v>43233</v>
      </c>
      <c r="C29" s="35">
        <v>201</v>
      </c>
      <c r="D29" s="34">
        <v>71</v>
      </c>
      <c r="E29" s="36">
        <f>Tabla18206[[#This Row],[Transactions 
Complete]]/Tabla18206[Total]</f>
        <v>0.35323383084577115</v>
      </c>
      <c r="F29" s="34">
        <v>19</v>
      </c>
      <c r="G29" s="36">
        <f>Tabla18206[[#This Row],[Transactions 
Failed]]/Tabla18206[Total]</f>
        <v>9.4527363184079602E-2</v>
      </c>
      <c r="H29" s="34">
        <v>0</v>
      </c>
      <c r="I29" s="36">
        <f>Tabla18206[[#This Row],[Transactions 
In_Prog]]/Tabla18206[Total]</f>
        <v>0</v>
      </c>
      <c r="J29" s="34">
        <v>111</v>
      </c>
      <c r="K29" s="36">
        <f>Tabla18206[[#This Row],[Transactions 
Timeout]]/Tabla18206[Total]</f>
        <v>0.55223880597014929</v>
      </c>
      <c r="L29" s="34">
        <v>0</v>
      </c>
      <c r="M29" s="36">
        <f>Tabla18206[[#This Row],[Transactions
Trans Fail]]/Tabla18206[Total]</f>
        <v>0</v>
      </c>
    </row>
    <row r="30" spans="2:13" s="33" customFormat="1" x14ac:dyDescent="0.3">
      <c r="B30" s="37">
        <v>43234</v>
      </c>
      <c r="C30" s="45">
        <v>2764</v>
      </c>
      <c r="D30" s="34">
        <v>1898</v>
      </c>
      <c r="E30" s="36">
        <f>Tabla18206[[#This Row],[Transactions 
Complete]]/Tabla18206[Total]</f>
        <v>0.68668596237337187</v>
      </c>
      <c r="F30" s="34">
        <v>354</v>
      </c>
      <c r="G30" s="36">
        <f>Tabla18206[[#This Row],[Transactions 
Failed]]/Tabla18206[Total]</f>
        <v>0.12807525325615052</v>
      </c>
      <c r="H30" s="34">
        <v>0</v>
      </c>
      <c r="I30" s="36">
        <f>Tabla18206[[#This Row],[Transactions 
In_Prog]]/Tabla18206[Total]</f>
        <v>0</v>
      </c>
      <c r="J30" s="34">
        <v>512</v>
      </c>
      <c r="K30" s="36">
        <f>Tabla18206[[#This Row],[Transactions 
Timeout]]/Tabla18206[Total]</f>
        <v>0.18523878437047755</v>
      </c>
      <c r="L30" s="34">
        <v>0</v>
      </c>
      <c r="M30" s="36">
        <f>Tabla18206[[#This Row],[Transactions
Trans Fail]]/Tabla18206[Total]</f>
        <v>0</v>
      </c>
    </row>
    <row r="31" spans="2:13" s="33" customFormat="1" x14ac:dyDescent="0.3">
      <c r="B31" s="37">
        <v>43235</v>
      </c>
      <c r="C31" s="45">
        <v>2251</v>
      </c>
      <c r="D31" s="34">
        <v>1691</v>
      </c>
      <c r="E31" s="36">
        <f>Tabla18206[[#This Row],[Transactions 
Complete]]/Tabla18206[Total]</f>
        <v>0.75122167925366501</v>
      </c>
      <c r="F31" s="34">
        <v>390</v>
      </c>
      <c r="G31" s="36">
        <f>Tabla18206[[#This Row],[Transactions 
Failed]]/Tabla18206[Total]</f>
        <v>0.17325633051976899</v>
      </c>
      <c r="H31" s="34">
        <v>1</v>
      </c>
      <c r="I31" s="36">
        <f>Tabla18206[[#This Row],[Transactions 
In_Prog]]/Tabla18206[Total]</f>
        <v>4.4424700133274098E-4</v>
      </c>
      <c r="J31" s="34">
        <v>168</v>
      </c>
      <c r="K31" s="36">
        <f>Tabla18206[[#This Row],[Transactions 
Timeout]]/Tabla18206[Total]</f>
        <v>7.4633496223900489E-2</v>
      </c>
      <c r="L31" s="34">
        <v>0</v>
      </c>
      <c r="M31" s="36">
        <f>Tabla18206[[#This Row],[Transactions
Trans Fail]]/Tabla18206[Total]</f>
        <v>0</v>
      </c>
    </row>
    <row r="32" spans="2:13" s="33" customFormat="1" x14ac:dyDescent="0.3">
      <c r="B32" s="37">
        <v>43236</v>
      </c>
      <c r="C32" s="45">
        <v>3377</v>
      </c>
      <c r="D32" s="34">
        <v>2892</v>
      </c>
      <c r="E32" s="36">
        <f>Tabla18206[[#This Row],[Transactions 
Complete]]/Tabla18206[Total]</f>
        <v>0.85638140361267401</v>
      </c>
      <c r="F32" s="34">
        <v>437</v>
      </c>
      <c r="G32" s="36">
        <f>Tabla18206[[#This Row],[Transactions 
Failed]]/Tabla18206[Total]</f>
        <v>0.12940479715724015</v>
      </c>
      <c r="H32" s="34">
        <v>0</v>
      </c>
      <c r="I32" s="36">
        <f>Tabla18206[[#This Row],[Transactions 
In_Prog]]/Tabla18206[Total]</f>
        <v>0</v>
      </c>
      <c r="J32" s="34">
        <v>48</v>
      </c>
      <c r="K32" s="36">
        <f>Tabla18206[[#This Row],[Transactions 
Timeout]]/Tabla18206[Total]</f>
        <v>1.4213799230085875E-2</v>
      </c>
      <c r="L32" s="34">
        <v>0</v>
      </c>
      <c r="M32" s="36">
        <f>Tabla18206[[#This Row],[Transactions
Trans Fail]]/Tabla18206[Total]</f>
        <v>0</v>
      </c>
    </row>
    <row r="33" spans="2:13" s="33" customFormat="1" x14ac:dyDescent="0.3">
      <c r="B33" s="37">
        <v>43237</v>
      </c>
      <c r="C33" s="45">
        <v>12389</v>
      </c>
      <c r="D33" s="34">
        <v>10752</v>
      </c>
      <c r="E33" s="36">
        <f>Tabla18206[[#This Row],[Transactions 
Complete]]/Tabla18206[Total]</f>
        <v>0.86786665590443135</v>
      </c>
      <c r="F33" s="34">
        <v>1531</v>
      </c>
      <c r="G33" s="36">
        <f>Tabla18206[[#This Row],[Transactions 
Failed]]/Tabla18206[Total]</f>
        <v>0.12357736701912987</v>
      </c>
      <c r="H33" s="34">
        <v>0</v>
      </c>
      <c r="I33" s="36">
        <f>Tabla18206[[#This Row],[Transactions 
In_Prog]]/Tabla18206[Total]</f>
        <v>0</v>
      </c>
      <c r="J33" s="34">
        <v>106</v>
      </c>
      <c r="K33" s="36">
        <f>Tabla18206[[#This Row],[Transactions 
Timeout]]/Tabla18206[Total]</f>
        <v>8.5559770764387765E-3</v>
      </c>
      <c r="L33" s="34">
        <v>0</v>
      </c>
      <c r="M33" s="36">
        <f>Tabla18206[[#This Row],[Transactions
Trans Fail]]/Tabla18206[Total]</f>
        <v>0</v>
      </c>
    </row>
    <row r="34" spans="2:13" s="33" customFormat="1" x14ac:dyDescent="0.3">
      <c r="B34" s="37">
        <v>43238</v>
      </c>
      <c r="C34" s="45">
        <v>3205</v>
      </c>
      <c r="D34" s="34">
        <v>2679</v>
      </c>
      <c r="E34" s="36">
        <f>Tabla18206[[#This Row],[Transactions 
Complete]]/Tabla18206[Total]</f>
        <v>0.83588143525741032</v>
      </c>
      <c r="F34" s="34">
        <v>423</v>
      </c>
      <c r="G34" s="36">
        <f>Tabla18206[[#This Row],[Transactions 
Failed]]/Tabla18206[Total]</f>
        <v>0.13198127925117004</v>
      </c>
      <c r="H34" s="34">
        <v>0</v>
      </c>
      <c r="I34" s="36">
        <f>Tabla18206[[#This Row],[Transactions 
In_Prog]]/Tabla18206[Total]</f>
        <v>0</v>
      </c>
      <c r="J34" s="34">
        <v>103</v>
      </c>
      <c r="K34" s="36">
        <f>Tabla18206[[#This Row],[Transactions 
Timeout]]/Tabla18206[Total]</f>
        <v>3.2137285491419657E-2</v>
      </c>
      <c r="L34" s="34">
        <v>0</v>
      </c>
      <c r="M34" s="36">
        <f>Tabla18206[[#This Row],[Transactions
Trans Fail]]/Tabla18206[Total]</f>
        <v>0</v>
      </c>
    </row>
    <row r="35" spans="2:13" s="33" customFormat="1" x14ac:dyDescent="0.3">
      <c r="B35" s="37">
        <v>43239</v>
      </c>
      <c r="C35" s="45">
        <v>1386</v>
      </c>
      <c r="D35" s="34">
        <v>1111</v>
      </c>
      <c r="E35" s="36">
        <f>Tabla18206[[#This Row],[Transactions 
Complete]]/Tabla18206[Total]</f>
        <v>0.80158730158730163</v>
      </c>
      <c r="F35" s="34">
        <v>190</v>
      </c>
      <c r="G35" s="36">
        <f>Tabla18206[[#This Row],[Transactions 
Failed]]/Tabla18206[Total]</f>
        <v>0.13708513708513709</v>
      </c>
      <c r="H35" s="34">
        <v>0</v>
      </c>
      <c r="I35" s="36">
        <f>Tabla18206[[#This Row],[Transactions 
In_Prog]]/Tabla18206[Total]</f>
        <v>0</v>
      </c>
      <c r="J35" s="34">
        <v>85</v>
      </c>
      <c r="K35" s="36">
        <f>Tabla18206[[#This Row],[Transactions 
Timeout]]/Tabla18206[Total]</f>
        <v>6.1327561327561328E-2</v>
      </c>
      <c r="L35" s="34">
        <v>0</v>
      </c>
      <c r="M35" s="36">
        <f>Tabla18206[[#This Row],[Transactions
Trans Fail]]/Tabla18206[Total]</f>
        <v>0</v>
      </c>
    </row>
    <row r="36" spans="2:13" s="33" customFormat="1" x14ac:dyDescent="0.3">
      <c r="B36" s="37">
        <v>43240</v>
      </c>
      <c r="C36" s="45">
        <v>358</v>
      </c>
      <c r="D36" s="34">
        <v>208</v>
      </c>
      <c r="E36" s="36">
        <f>Tabla18206[[#This Row],[Transactions 
Complete]]/Tabla18206[Total]</f>
        <v>0.58100558659217882</v>
      </c>
      <c r="F36" s="34">
        <v>52</v>
      </c>
      <c r="G36" s="36">
        <f>Tabla18206[[#This Row],[Transactions 
Failed]]/Tabla18206[Total]</f>
        <v>0.14525139664804471</v>
      </c>
      <c r="H36" s="34">
        <v>0</v>
      </c>
      <c r="I36" s="36">
        <f>Tabla18206[[#This Row],[Transactions 
In_Prog]]/Tabla18206[Total]</f>
        <v>0</v>
      </c>
      <c r="J36" s="34">
        <v>98</v>
      </c>
      <c r="K36" s="36">
        <f>Tabla18206[[#This Row],[Transactions 
Timeout]]/Tabla18206[Total]</f>
        <v>0.27374301675977653</v>
      </c>
      <c r="L36" s="34">
        <v>0</v>
      </c>
      <c r="M36" s="36">
        <f>Tabla18206[[#This Row],[Transactions
Trans Fail]]/Tabla18206[Total]</f>
        <v>0</v>
      </c>
    </row>
    <row r="37" spans="2:13" s="33" customFormat="1" x14ac:dyDescent="0.3">
      <c r="B37" s="37">
        <v>43241</v>
      </c>
      <c r="C37" s="45">
        <v>5339</v>
      </c>
      <c r="D37" s="34">
        <v>3712</v>
      </c>
      <c r="E37" s="36">
        <f>Tabla18206[[#This Row],[Transactions 
Complete]]/Tabla18206[Total]</f>
        <v>0.69526128488480987</v>
      </c>
      <c r="F37" s="34">
        <v>737</v>
      </c>
      <c r="G37" s="36">
        <f>Tabla18206[[#This Row],[Transactions 
Failed]]/Tabla18206[Total]</f>
        <v>0.13804083161640757</v>
      </c>
      <c r="H37" s="34">
        <v>0</v>
      </c>
      <c r="I37" s="36">
        <f>Tabla18206[[#This Row],[Transactions 
In_Prog]]/Tabla18206[Total]</f>
        <v>0</v>
      </c>
      <c r="J37" s="34">
        <v>890</v>
      </c>
      <c r="K37" s="36">
        <f>Tabla18206[[#This Row],[Transactions 
Timeout]]/Tabla18206[Total]</f>
        <v>0.16669788349878253</v>
      </c>
      <c r="L37" s="34">
        <v>0</v>
      </c>
      <c r="M37" s="36">
        <f>Tabla18206[[#This Row],[Transactions
Trans Fail]]/Tabla18206[Total]</f>
        <v>0</v>
      </c>
    </row>
    <row r="38" spans="2:13" s="33" customFormat="1" x14ac:dyDescent="0.3">
      <c r="B38" s="37">
        <v>43242</v>
      </c>
      <c r="C38" s="45">
        <v>4283</v>
      </c>
      <c r="D38" s="34">
        <v>2887</v>
      </c>
      <c r="E38" s="36">
        <f>Tabla18206[[#This Row],[Transactions 
Complete]]/Tabla18206[Total]</f>
        <v>0.67406023815082883</v>
      </c>
      <c r="F38" s="34">
        <v>600</v>
      </c>
      <c r="G38" s="36">
        <f>Tabla18206[[#This Row],[Transactions 
Failed]]/Tabla18206[Total]</f>
        <v>0.14008872285780993</v>
      </c>
      <c r="H38" s="34">
        <v>0</v>
      </c>
      <c r="I38" s="36">
        <f>Tabla18206[[#This Row],[Transactions 
In_Prog]]/Tabla18206[Total]</f>
        <v>0</v>
      </c>
      <c r="J38" s="34">
        <v>796</v>
      </c>
      <c r="K38" s="36">
        <f>Tabla18206[[#This Row],[Transactions 
Timeout]]/Tabla18206[Total]</f>
        <v>0.18585103899136118</v>
      </c>
      <c r="L38" s="34">
        <v>0</v>
      </c>
      <c r="M38" s="36">
        <f>Tabla18206[[#This Row],[Transactions
Trans Fail]]/Tabla18206[Total]</f>
        <v>0</v>
      </c>
    </row>
    <row r="39" spans="2:13" s="33" customFormat="1" x14ac:dyDescent="0.3">
      <c r="B39" s="37">
        <v>43243</v>
      </c>
      <c r="C39" s="45">
        <v>1773</v>
      </c>
      <c r="D39" s="34">
        <v>1485</v>
      </c>
      <c r="E39" s="36">
        <f>Tabla18206[[#This Row],[Transactions 
Complete]]/Tabla18206[Total]</f>
        <v>0.8375634517766497</v>
      </c>
      <c r="F39" s="34">
        <v>178</v>
      </c>
      <c r="G39" s="36">
        <f>Tabla18206[[#This Row],[Transactions 
Failed]]/Tabla18206[Total]</f>
        <v>0.10039481105470953</v>
      </c>
      <c r="H39" s="34">
        <v>0</v>
      </c>
      <c r="I39" s="36">
        <f>Tabla18206[[#This Row],[Transactions 
In_Prog]]/Tabla18206[Total]</f>
        <v>0</v>
      </c>
      <c r="J39" s="34">
        <v>110</v>
      </c>
      <c r="K39" s="36">
        <f>Tabla18206[[#This Row],[Transactions 
Timeout]]/Tabla18206[Total]</f>
        <v>6.2041737168640719E-2</v>
      </c>
      <c r="L39" s="34">
        <v>0</v>
      </c>
      <c r="M39" s="36">
        <f>Tabla18206[[#This Row],[Transactions
Trans Fail]]/Tabla18206[Total]</f>
        <v>0</v>
      </c>
    </row>
    <row r="40" spans="2:13" s="33" customFormat="1" x14ac:dyDescent="0.3">
      <c r="B40" s="37">
        <v>43244</v>
      </c>
      <c r="C40" s="45">
        <v>6216</v>
      </c>
      <c r="D40" s="34">
        <v>5552</v>
      </c>
      <c r="E40" s="36">
        <f>Tabla18206[[#This Row],[Transactions 
Complete]]/Tabla18206[Total]</f>
        <v>0.89317889317889321</v>
      </c>
      <c r="F40" s="34">
        <v>538</v>
      </c>
      <c r="G40" s="36">
        <f>Tabla18206[[#This Row],[Transactions 
Failed]]/Tabla18206[Total]</f>
        <v>8.6550836550836549E-2</v>
      </c>
      <c r="H40" s="34">
        <v>0</v>
      </c>
      <c r="I40" s="36">
        <f>Tabla18206[[#This Row],[Transactions 
In_Prog]]/Tabla18206[Total]</f>
        <v>0</v>
      </c>
      <c r="J40" s="34">
        <v>126</v>
      </c>
      <c r="K40" s="36">
        <f>Tabla18206[[#This Row],[Transactions 
Timeout]]/Tabla18206[Total]</f>
        <v>2.0270270270270271E-2</v>
      </c>
      <c r="L40" s="34">
        <v>0</v>
      </c>
      <c r="M40" s="36">
        <f>Tabla18206[[#This Row],[Transactions
Trans Fail]]/Tabla18206[Total]</f>
        <v>0</v>
      </c>
    </row>
    <row r="41" spans="2:13" s="33" customFormat="1" x14ac:dyDescent="0.3">
      <c r="B41" s="37">
        <v>43245</v>
      </c>
      <c r="C41" s="45">
        <v>1973</v>
      </c>
      <c r="D41" s="34">
        <v>1726</v>
      </c>
      <c r="E41" s="36">
        <f>Tabla18206[[#This Row],[Transactions 
Complete]]/Tabla18206[Total]</f>
        <v>0.87480993411049168</v>
      </c>
      <c r="F41" s="34">
        <v>168</v>
      </c>
      <c r="G41" s="36">
        <f>Tabla18206[[#This Row],[Transactions 
Failed]]/Tabla18206[Total]</f>
        <v>8.5149518499746585E-2</v>
      </c>
      <c r="H41" s="34">
        <v>0</v>
      </c>
      <c r="I41" s="36">
        <f>Tabla18206[[#This Row],[Transactions 
In_Prog]]/Tabla18206[Total]</f>
        <v>0</v>
      </c>
      <c r="J41" s="34">
        <v>79</v>
      </c>
      <c r="K41" s="36">
        <f>Tabla18206[[#This Row],[Transactions 
Timeout]]/Tabla18206[Total]</f>
        <v>4.0040547389761781E-2</v>
      </c>
      <c r="L41" s="34">
        <v>0</v>
      </c>
      <c r="M41" s="36">
        <f>Tabla18206[[#This Row],[Transactions
Trans Fail]]/Tabla18206[Total]</f>
        <v>0</v>
      </c>
    </row>
    <row r="42" spans="2:13" s="33" customFormat="1" x14ac:dyDescent="0.3">
      <c r="B42" s="37">
        <v>43246</v>
      </c>
      <c r="C42" s="45">
        <v>275</v>
      </c>
      <c r="D42" s="34">
        <v>241</v>
      </c>
      <c r="E42" s="36">
        <f>Tabla18206[[#This Row],[Transactions 
Complete]]/Tabla18206[Total]</f>
        <v>0.87636363636363634</v>
      </c>
      <c r="F42" s="34">
        <v>33</v>
      </c>
      <c r="G42" s="36">
        <f>Tabla18206[[#This Row],[Transactions 
Failed]]/Tabla18206[Total]</f>
        <v>0.12</v>
      </c>
      <c r="H42" s="34">
        <v>0</v>
      </c>
      <c r="I42" s="36">
        <f>Tabla18206[[#This Row],[Transactions 
In_Prog]]/Tabla18206[Total]</f>
        <v>0</v>
      </c>
      <c r="J42" s="34">
        <v>1</v>
      </c>
      <c r="K42" s="36">
        <f>Tabla18206[[#This Row],[Transactions 
Timeout]]/Tabla18206[Total]</f>
        <v>3.6363636363636364E-3</v>
      </c>
      <c r="L42" s="34">
        <v>0</v>
      </c>
      <c r="M42" s="36">
        <f>Tabla18206[[#This Row],[Transactions
Trans Fail]]/Tabla18206[Total]</f>
        <v>0</v>
      </c>
    </row>
    <row r="43" spans="2:13" s="33" customFormat="1" x14ac:dyDescent="0.3">
      <c r="B43" s="37">
        <v>43247</v>
      </c>
      <c r="C43" s="45">
        <v>19</v>
      </c>
      <c r="D43" s="34">
        <v>12</v>
      </c>
      <c r="E43" s="36">
        <f>Tabla18206[[#This Row],[Transactions 
Complete]]/Tabla18206[Total]</f>
        <v>0.63157894736842102</v>
      </c>
      <c r="F43" s="34">
        <v>7</v>
      </c>
      <c r="G43" s="36">
        <f>Tabla18206[[#This Row],[Transactions 
Failed]]/Tabla18206[Total]</f>
        <v>0.36842105263157893</v>
      </c>
      <c r="H43" s="34">
        <v>0</v>
      </c>
      <c r="I43" s="36">
        <f>Tabla18206[[#This Row],[Transactions 
In_Prog]]/Tabla18206[Total]</f>
        <v>0</v>
      </c>
      <c r="J43" s="34">
        <v>0</v>
      </c>
      <c r="K43" s="36">
        <f>Tabla18206[[#This Row],[Transactions 
Timeout]]/Tabla18206[Total]</f>
        <v>0</v>
      </c>
      <c r="L43" s="34">
        <v>0</v>
      </c>
      <c r="M43" s="36">
        <f>Tabla18206[[#This Row],[Transactions
Trans Fail]]/Tabla18206[Total]</f>
        <v>0</v>
      </c>
    </row>
    <row r="44" spans="2:13" s="33" customFormat="1" x14ac:dyDescent="0.3">
      <c r="B44" s="37">
        <v>43248</v>
      </c>
      <c r="C44" s="45">
        <v>636</v>
      </c>
      <c r="D44" s="34">
        <v>530</v>
      </c>
      <c r="E44" s="36">
        <f>Tabla18206[[#This Row],[Transactions 
Complete]]/Tabla18206[Total]</f>
        <v>0.83333333333333337</v>
      </c>
      <c r="F44" s="34">
        <v>98</v>
      </c>
      <c r="G44" s="36">
        <f>Tabla18206[[#This Row],[Transactions 
Failed]]/Tabla18206[Total]</f>
        <v>0.1540880503144654</v>
      </c>
      <c r="H44" s="34">
        <v>0</v>
      </c>
      <c r="I44" s="36">
        <f>Tabla18206[[#This Row],[Transactions 
In_Prog]]/Tabla18206[Total]</f>
        <v>0</v>
      </c>
      <c r="J44" s="34">
        <v>8</v>
      </c>
      <c r="K44" s="36">
        <f>Tabla18206[[#This Row],[Transactions 
Timeout]]/Tabla18206[Total]</f>
        <v>1.2578616352201259E-2</v>
      </c>
      <c r="L44" s="34">
        <v>0</v>
      </c>
      <c r="M44" s="36">
        <f>Tabla18206[[#This Row],[Transactions
Trans Fail]]/Tabla18206[Total]</f>
        <v>0</v>
      </c>
    </row>
    <row r="45" spans="2:13" s="33" customFormat="1" x14ac:dyDescent="0.3">
      <c r="B45" s="37">
        <v>43249</v>
      </c>
      <c r="C45" s="45">
        <v>1868</v>
      </c>
      <c r="D45" s="34">
        <v>1480</v>
      </c>
      <c r="E45" s="36">
        <f>Tabla18206[[#This Row],[Transactions 
Complete]]/Tabla18206[Total]</f>
        <v>0.79229122055674517</v>
      </c>
      <c r="F45" s="34">
        <v>386</v>
      </c>
      <c r="G45" s="36">
        <f>Tabla18206[[#This Row],[Transactions 
Failed]]/Tabla18206[Total]</f>
        <v>0.20663811563169165</v>
      </c>
      <c r="H45" s="34">
        <v>0</v>
      </c>
      <c r="I45" s="36">
        <f>Tabla18206[[#This Row],[Transactions 
In_Prog]]/Tabla18206[Total]</f>
        <v>0</v>
      </c>
      <c r="J45" s="34">
        <v>2</v>
      </c>
      <c r="K45" s="36">
        <f>Tabla18206[[#This Row],[Transactions 
Timeout]]/Tabla18206[Total]</f>
        <v>1.0706638115631692E-3</v>
      </c>
      <c r="L45" s="34">
        <v>0</v>
      </c>
      <c r="M45" s="36">
        <f>Tabla18206[[#This Row],[Transactions
Trans Fail]]/Tabla18206[Total]</f>
        <v>0</v>
      </c>
    </row>
    <row r="46" spans="2:13" s="33" customFormat="1" x14ac:dyDescent="0.3">
      <c r="B46" s="37">
        <v>43250</v>
      </c>
      <c r="C46" s="45">
        <v>785</v>
      </c>
      <c r="D46" s="34">
        <v>648</v>
      </c>
      <c r="E46" s="36">
        <f>Tabla18206[[#This Row],[Transactions 
Complete]]/Tabla18206[Total]</f>
        <v>0.82547770700636947</v>
      </c>
      <c r="F46" s="34">
        <v>126</v>
      </c>
      <c r="G46" s="36">
        <f>Tabla18206[[#This Row],[Transactions 
Failed]]/Tabla18206[Total]</f>
        <v>0.16050955414012738</v>
      </c>
      <c r="H46" s="34">
        <v>0</v>
      </c>
      <c r="I46" s="36">
        <f>Tabla18206[[#This Row],[Transactions 
In_Prog]]/Tabla18206[Total]</f>
        <v>0</v>
      </c>
      <c r="J46" s="34">
        <v>11</v>
      </c>
      <c r="K46" s="36">
        <f>Tabla18206[[#This Row],[Transactions 
Timeout]]/Tabla18206[Total]</f>
        <v>1.4012738853503185E-2</v>
      </c>
      <c r="L46" s="34">
        <v>0</v>
      </c>
      <c r="M46" s="36">
        <f>Tabla18206[[#This Row],[Transactions
Trans Fail]]/Tabla18206[Total]</f>
        <v>0</v>
      </c>
    </row>
    <row r="47" spans="2:13" s="33" customFormat="1" x14ac:dyDescent="0.3">
      <c r="B47" s="37">
        <v>43251</v>
      </c>
      <c r="C47" s="45">
        <v>1445</v>
      </c>
      <c r="D47" s="34">
        <v>1207</v>
      </c>
      <c r="E47" s="36">
        <f>Tabla18206[[#This Row],[Transactions 
Complete]]/Tabla18206[Total]</f>
        <v>0.83529411764705885</v>
      </c>
      <c r="F47" s="34">
        <v>238</v>
      </c>
      <c r="G47" s="36">
        <f>Tabla18206[[#This Row],[Transactions 
Failed]]/Tabla18206[Total]</f>
        <v>0.16470588235294117</v>
      </c>
      <c r="H47" s="34">
        <v>0</v>
      </c>
      <c r="I47" s="36">
        <f>Tabla18206[[#This Row],[Transactions 
In_Prog]]/Tabla18206[Total]</f>
        <v>0</v>
      </c>
      <c r="J47" s="34">
        <v>0</v>
      </c>
      <c r="K47" s="36">
        <f>Tabla18206[[#This Row],[Transactions 
Timeout]]/Tabla18206[Total]</f>
        <v>0</v>
      </c>
      <c r="L47" s="34">
        <v>0</v>
      </c>
      <c r="M47" s="36">
        <f>Tabla18206[[#This Row],[Transactions
Trans Fail]]/Tabla18206[Total]</f>
        <v>0</v>
      </c>
    </row>
    <row r="48" spans="2:13" ht="24" x14ac:dyDescent="0.3">
      <c r="B48" s="82" t="s">
        <v>26</v>
      </c>
      <c r="C48" s="83">
        <f>SUM(C17:C47)</f>
        <v>87395</v>
      </c>
      <c r="D48" s="83">
        <f>SUM(D17:D47)</f>
        <v>71165</v>
      </c>
      <c r="E48" s="84">
        <f>AVERAGE(E17:E47)</f>
        <v>0.77377332512384667</v>
      </c>
      <c r="F48" s="83">
        <f>SUM(F17:F47)</f>
        <v>11174</v>
      </c>
      <c r="G48" s="84">
        <f>AVERAGE(G17:G47)</f>
        <v>0.13698684307401454</v>
      </c>
      <c r="H48" s="83">
        <f>SUM(H17:H47)</f>
        <v>2</v>
      </c>
      <c r="I48" s="84">
        <f>AVERAGE(I17:I47)</f>
        <v>2.5261780051955254E-5</v>
      </c>
      <c r="J48" s="83">
        <f>SUM(J17:J47)</f>
        <v>5053</v>
      </c>
      <c r="K48" s="84">
        <f>AVERAGE(K17:K47)</f>
        <v>8.9200239473656656E-2</v>
      </c>
      <c r="L48" s="83">
        <f>SUM(L17:L47)</f>
        <v>0</v>
      </c>
      <c r="M48" s="84">
        <f>AVERAGE(M17:M47)</f>
        <v>0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P124"/>
  <sheetViews>
    <sheetView topLeftCell="A9" zoomScaleNormal="100" workbookViewId="0">
      <selection activeCell="C15" sqref="C15:M1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85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45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45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45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45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45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45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45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45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45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45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45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45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45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0">
        <v>869</v>
      </c>
      <c r="D30" s="80">
        <v>767</v>
      </c>
      <c r="E30" s="24">
        <f>Tabla18207[Transactions 
Complete]/Tabla18207[Total]</f>
        <v>0.88262370540851554</v>
      </c>
      <c r="F30" s="80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0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0">
        <v>669</v>
      </c>
      <c r="D31" s="80">
        <v>575</v>
      </c>
      <c r="E31" s="24">
        <f>Tabla18207[Transactions 
Complete]/Tabla18207[Total]</f>
        <v>0.85949177877428995</v>
      </c>
      <c r="F31" s="80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0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0">
        <v>218</v>
      </c>
      <c r="D32" s="80">
        <v>202</v>
      </c>
      <c r="E32" s="24">
        <f>Tabla18207[Transactions 
Complete]/Tabla18207[Total]</f>
        <v>0.92660550458715596</v>
      </c>
      <c r="F32" s="80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0">
        <v>20</v>
      </c>
      <c r="D33" s="80">
        <v>15</v>
      </c>
      <c r="E33" s="24">
        <f>Tabla18207[Transactions 
Complete]/Tabla18207[Total]</f>
        <v>0.75</v>
      </c>
      <c r="F33" s="80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0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1">
        <v>2009</v>
      </c>
      <c r="D34" s="80">
        <v>1616</v>
      </c>
      <c r="E34" s="24">
        <f>Tabla18207[Transactions 
Complete]/Tabla18207[Total]</f>
        <v>0.80438028870084621</v>
      </c>
      <c r="F34" s="80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0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1">
        <v>3146</v>
      </c>
      <c r="D35" s="80">
        <v>2525</v>
      </c>
      <c r="E35" s="24">
        <f>Tabla18207[Transactions 
Complete]/Tabla18207[Total]</f>
        <v>0.8026064844246662</v>
      </c>
      <c r="F35" s="80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0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1">
        <v>2367</v>
      </c>
      <c r="D36" s="80">
        <v>2136</v>
      </c>
      <c r="E36" s="24">
        <f>Tabla18207[Transactions 
Complete]/Tabla18207[Total]</f>
        <v>0.9024081115335868</v>
      </c>
      <c r="F36" s="80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0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1">
        <v>933</v>
      </c>
      <c r="D37" s="80">
        <v>620</v>
      </c>
      <c r="E37" s="24">
        <f>Tabla18207[Transactions 
Complete]/Tabla18207[Total]</f>
        <v>0.66452304394426576</v>
      </c>
      <c r="F37" s="80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0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1">
        <v>757</v>
      </c>
      <c r="D38" s="80">
        <v>636</v>
      </c>
      <c r="E38" s="24">
        <f>Tabla18207[Transactions 
Complete]/Tabla18207[Total]</f>
        <v>0.84015852047556139</v>
      </c>
      <c r="F38" s="80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0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1">
        <v>225</v>
      </c>
      <c r="D39" s="80">
        <v>192</v>
      </c>
      <c r="E39" s="24">
        <f>Tabla18207[Transactions 
Complete]/Tabla18207[Total]</f>
        <v>0.85333333333333339</v>
      </c>
      <c r="F39" s="80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0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1">
        <v>19</v>
      </c>
      <c r="D40" s="80">
        <v>13</v>
      </c>
      <c r="E40" s="24">
        <f>Tabla18207[Transactions 
Complete]/Tabla18207[Total]</f>
        <v>0.68421052631578949</v>
      </c>
      <c r="F40" s="80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0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1">
        <v>728</v>
      </c>
      <c r="D41" s="80">
        <v>600</v>
      </c>
      <c r="E41" s="24">
        <f>Tabla18207[Transactions 
Complete]/Tabla18207[Total]</f>
        <v>0.82417582417582413</v>
      </c>
      <c r="F41" s="80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0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1">
        <v>1053</v>
      </c>
      <c r="D42" s="80">
        <v>897</v>
      </c>
      <c r="E42" s="24">
        <f>Tabla18207[Transactions 
Complete]/Tabla18207[Total]</f>
        <v>0.85185185185185186</v>
      </c>
      <c r="F42" s="80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0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1">
        <v>1607</v>
      </c>
      <c r="D43" s="80">
        <v>1463</v>
      </c>
      <c r="E43" s="24">
        <f>Tabla18207[Transactions 
Complete]/Tabla18207[Total]</f>
        <v>0.91039203484754205</v>
      </c>
      <c r="F43" s="80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0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1">
        <v>1309</v>
      </c>
      <c r="D44" s="80">
        <v>949</v>
      </c>
      <c r="E44" s="24">
        <f>Tabla18207[Transactions 
Complete]/Tabla18207[Total]</f>
        <v>0.72498090145148963</v>
      </c>
      <c r="F44" s="80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0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1">
        <v>586</v>
      </c>
      <c r="D45" s="80">
        <v>474</v>
      </c>
      <c r="E45" s="24">
        <f>Tabla18207[Transactions 
Complete]/Tabla18207[Total]</f>
        <v>0.80887372013651881</v>
      </c>
      <c r="F45" s="80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0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1">
        <v>295</v>
      </c>
      <c r="D46" s="80">
        <v>248</v>
      </c>
      <c r="E46" s="24">
        <f>Tabla18207[Transactions 
Complete]/Tabla18207[Total]</f>
        <v>0.84067796610169487</v>
      </c>
      <c r="F46" s="80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0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2" t="s">
        <v>26</v>
      </c>
      <c r="C47" s="83">
        <f>SUM(C17:C46)</f>
        <v>29148</v>
      </c>
      <c r="D47" s="83">
        <f>SUM(D17:D46)</f>
        <v>25079</v>
      </c>
      <c r="E47" s="84">
        <f>AVERAGE(E17:E46)</f>
        <v>0.83287273081992907</v>
      </c>
      <c r="F47" s="83">
        <f>SUM(F17:F46)</f>
        <v>3698</v>
      </c>
      <c r="G47" s="84">
        <f>AVERAGE(G17:G46)</f>
        <v>0.14506474620509222</v>
      </c>
      <c r="H47" s="83">
        <f>SUM(H17:H46)</f>
        <v>0</v>
      </c>
      <c r="I47" s="84">
        <f>AVERAGE(I17:I46)</f>
        <v>0</v>
      </c>
      <c r="J47" s="83">
        <f>SUM(J17:J46)</f>
        <v>361</v>
      </c>
      <c r="K47" s="84">
        <f>AVERAGE(K17:K46)</f>
        <v>2.174596710286724E-2</v>
      </c>
      <c r="L47" s="83">
        <f>SUM(L17:L46)</f>
        <v>0</v>
      </c>
      <c r="M47" s="84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B1:P125"/>
  <sheetViews>
    <sheetView topLeftCell="A17" workbookViewId="0">
      <selection activeCell="C48" sqref="C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91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SUM(Tabla182010[Total])</f>
        <v>57448</v>
      </c>
      <c r="D6" s="4"/>
    </row>
    <row r="7" spans="2:16" x14ac:dyDescent="0.3">
      <c r="B7" s="9" t="s">
        <v>6</v>
      </c>
      <c r="C7" s="11">
        <f>D15</f>
        <v>51830</v>
      </c>
      <c r="D7" s="12">
        <f>C7/C6</f>
        <v>0.90220721348001676</v>
      </c>
    </row>
    <row r="8" spans="2:16" x14ac:dyDescent="0.3">
      <c r="B8" s="9" t="s">
        <v>7</v>
      </c>
      <c r="C8" s="11">
        <f>F15</f>
        <v>5120</v>
      </c>
      <c r="D8" s="12">
        <f>C8/C6</f>
        <v>8.912407742654227E-2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498</v>
      </c>
      <c r="D10" s="12">
        <f>C10/C6</f>
        <v>8.6687090934410242E-3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57448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SUM(Tabla182010[Total])</f>
        <v>57448</v>
      </c>
      <c r="D15" s="14">
        <f>SUM(Tabla182010[Transactions 
Complete])</f>
        <v>51830</v>
      </c>
      <c r="E15" s="15">
        <f>AVERAGE(Tabla182010[%
Complete])</f>
        <v>0.85616063104615914</v>
      </c>
      <c r="F15" s="14">
        <f>SUM(Tabla182010[Transactions 
Failed])</f>
        <v>5120</v>
      </c>
      <c r="G15" s="15">
        <f>AVERAGE(Tabla182010[% 
Failed])</f>
        <v>0.13911622660473627</v>
      </c>
      <c r="H15" s="14">
        <f>SUM(Tabla182010[Transactions 
In_Prog])</f>
        <v>0</v>
      </c>
      <c r="I15" s="15">
        <f>AVERAGE(Tabla182010[%
In_Prog])</f>
        <v>0</v>
      </c>
      <c r="J15" s="14">
        <f>SUM(Tabla182010[Transactions 
Timeout])</f>
        <v>498</v>
      </c>
      <c r="K15" s="15">
        <f>AVERAGE(Tabla182010[%
Timeout])</f>
        <v>4.7231423491046736E-3</v>
      </c>
      <c r="L15" s="14">
        <f>SUM(Tabla182010[Transactions
Trans Fail])</f>
        <v>0</v>
      </c>
      <c r="M15" s="15">
        <f>AVERAGE(Tabla182010[%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43282</v>
      </c>
      <c r="C17" s="81">
        <v>125</v>
      </c>
      <c r="D17" s="80">
        <v>97</v>
      </c>
      <c r="E17" s="24">
        <f>Tabla182010[Transactions 
Complete]/Tabla182010[Total]</f>
        <v>0.77600000000000002</v>
      </c>
      <c r="F17" s="80">
        <v>28</v>
      </c>
      <c r="G17" s="24">
        <f>Tabla182010[Transactions 
Failed]/Tabla182010[Total]</f>
        <v>0.224</v>
      </c>
      <c r="H17" s="34">
        <v>0</v>
      </c>
      <c r="I17" s="24">
        <f>Tabla182010[Transactions 
In_Prog]/Tabla182010[Total]</f>
        <v>0</v>
      </c>
      <c r="J17" s="80">
        <v>0</v>
      </c>
      <c r="K17" s="24">
        <f>Tabla182010[Transactions 
Timeout]/Tabla182010[Total]</f>
        <v>0</v>
      </c>
      <c r="L17" s="34">
        <v>0</v>
      </c>
      <c r="M17" s="24">
        <f>Tabla182010[Transactions
Trans Fail]/Tabla182010[Total]</f>
        <v>0</v>
      </c>
    </row>
    <row r="18" spans="2:13" s="33" customFormat="1" x14ac:dyDescent="0.3">
      <c r="B18" s="37">
        <v>43283</v>
      </c>
      <c r="C18" s="86">
        <v>1399</v>
      </c>
      <c r="D18" s="80">
        <v>1069</v>
      </c>
      <c r="E18" s="24">
        <f>Tabla182010[Transactions 
Complete]/Tabla182010[Total]</f>
        <v>0.76411722659042169</v>
      </c>
      <c r="F18" s="80">
        <v>314</v>
      </c>
      <c r="G18" s="24">
        <f>Tabla182010[Transactions 
Failed]/Tabla182010[Total]</f>
        <v>0.22444603288062903</v>
      </c>
      <c r="H18" s="34">
        <v>0</v>
      </c>
      <c r="I18" s="24">
        <f>Tabla182010[Transactions 
In_Prog]/Tabla182010[Total]</f>
        <v>0</v>
      </c>
      <c r="J18" s="80">
        <v>16</v>
      </c>
      <c r="K18" s="24">
        <f>Tabla182010[Transactions 
Timeout]/Tabla182010[Total]</f>
        <v>1.143674052894925E-2</v>
      </c>
      <c r="L18" s="34">
        <v>0</v>
      </c>
      <c r="M18" s="24">
        <f>Tabla182010[Transactions
Trans Fail]/Tabla182010[Total]</f>
        <v>0</v>
      </c>
    </row>
    <row r="19" spans="2:13" s="33" customFormat="1" x14ac:dyDescent="0.3">
      <c r="B19" s="37">
        <v>43284</v>
      </c>
      <c r="C19" s="86">
        <v>1061</v>
      </c>
      <c r="D19" s="80">
        <v>967</v>
      </c>
      <c r="E19" s="24">
        <f>Tabla182010[Transactions 
Complete]/Tabla182010[Total]</f>
        <v>0.91140433553251654</v>
      </c>
      <c r="F19" s="80">
        <v>82</v>
      </c>
      <c r="G19" s="24">
        <f>Tabla182010[Transactions 
Failed]/Tabla182010[Total]</f>
        <v>7.7285579641847318E-2</v>
      </c>
      <c r="H19" s="34">
        <v>0</v>
      </c>
      <c r="I19" s="24">
        <f>Tabla182010[Transactions 
In_Prog]/Tabla182010[Total]</f>
        <v>0</v>
      </c>
      <c r="J19" s="80">
        <v>12</v>
      </c>
      <c r="K19" s="24">
        <f>Tabla182010[Transactions 
Timeout]/Tabla182010[Total]</f>
        <v>1.1310084825636193E-2</v>
      </c>
      <c r="L19" s="34">
        <v>0</v>
      </c>
      <c r="M19" s="24">
        <f>Tabla182010[Transactions
Trans Fail]/Tabla182010[Total]</f>
        <v>0</v>
      </c>
    </row>
    <row r="20" spans="2:13" s="33" customFormat="1" x14ac:dyDescent="0.3">
      <c r="B20" s="37">
        <v>43285</v>
      </c>
      <c r="C20" s="86">
        <v>2836</v>
      </c>
      <c r="D20" s="80">
        <v>2705</v>
      </c>
      <c r="E20" s="24">
        <f>Tabla182010[Transactions 
Complete]/Tabla182010[Total]</f>
        <v>0.95380818053596617</v>
      </c>
      <c r="F20" s="80">
        <v>126</v>
      </c>
      <c r="G20" s="24">
        <f>Tabla182010[Transactions 
Failed]/Tabla182010[Total]</f>
        <v>4.4428772919605078E-2</v>
      </c>
      <c r="H20" s="34">
        <v>0</v>
      </c>
      <c r="I20" s="24">
        <f>Tabla182010[Transactions 
In_Prog]/Tabla182010[Total]</f>
        <v>0</v>
      </c>
      <c r="J20" s="80">
        <v>5</v>
      </c>
      <c r="K20" s="24">
        <f>Tabla182010[Transactions 
Timeout]/Tabla182010[Total]</f>
        <v>1.763046544428773E-3</v>
      </c>
      <c r="L20" s="34">
        <v>0</v>
      </c>
      <c r="M20" s="24">
        <f>Tabla182010[Transactions
Trans Fail]/Tabla182010[Total]</f>
        <v>0</v>
      </c>
    </row>
    <row r="21" spans="2:13" s="33" customFormat="1" x14ac:dyDescent="0.3">
      <c r="B21" s="37">
        <v>43286</v>
      </c>
      <c r="C21" s="86">
        <v>1576</v>
      </c>
      <c r="D21" s="80">
        <v>1492</v>
      </c>
      <c r="E21" s="24">
        <f>Tabla182010[Transactions 
Complete]/Tabla182010[Total]</f>
        <v>0.9467005076142132</v>
      </c>
      <c r="F21" s="80">
        <v>76</v>
      </c>
      <c r="G21" s="24">
        <f>Tabla182010[Transactions 
Failed]/Tabla182010[Total]</f>
        <v>4.8223350253807105E-2</v>
      </c>
      <c r="H21" s="34">
        <v>0</v>
      </c>
      <c r="I21" s="24">
        <f>Tabla182010[Transactions 
In_Prog]/Tabla182010[Total]</f>
        <v>0</v>
      </c>
      <c r="J21" s="80">
        <v>8</v>
      </c>
      <c r="K21" s="24">
        <f>Tabla182010[Transactions 
Timeout]/Tabla182010[Total]</f>
        <v>5.076142131979695E-3</v>
      </c>
      <c r="L21" s="34">
        <v>0</v>
      </c>
      <c r="M21" s="24">
        <f>Tabla182010[Transactions
Trans Fail]/Tabla182010[Total]</f>
        <v>0</v>
      </c>
    </row>
    <row r="22" spans="2:13" s="33" customFormat="1" x14ac:dyDescent="0.3">
      <c r="B22" s="37">
        <v>43287</v>
      </c>
      <c r="C22" s="86">
        <v>847</v>
      </c>
      <c r="D22" s="80">
        <v>771</v>
      </c>
      <c r="E22" s="24">
        <f>Tabla182010[Transactions 
Complete]/Tabla182010[Total]</f>
        <v>0.91027154663518295</v>
      </c>
      <c r="F22" s="80">
        <v>73</v>
      </c>
      <c r="G22" s="24">
        <f>Tabla182010[Transactions 
Failed]/Tabla182010[Total]</f>
        <v>8.6186540731995276E-2</v>
      </c>
      <c r="H22" s="34">
        <v>0</v>
      </c>
      <c r="I22" s="24">
        <f>Tabla182010[Transactions 
In_Prog]/Tabla182010[Total]</f>
        <v>0</v>
      </c>
      <c r="J22" s="80">
        <v>3</v>
      </c>
      <c r="K22" s="24">
        <f>Tabla182010[Transactions 
Timeout]/Tabla182010[Total]</f>
        <v>3.5419126328217238E-3</v>
      </c>
      <c r="L22" s="34">
        <v>0</v>
      </c>
      <c r="M22" s="24">
        <f>Tabla182010[Transactions
Trans Fail]/Tabla182010[Total]</f>
        <v>0</v>
      </c>
    </row>
    <row r="23" spans="2:13" s="33" customFormat="1" x14ac:dyDescent="0.3">
      <c r="B23" s="37">
        <v>43288</v>
      </c>
      <c r="C23" s="86">
        <v>262</v>
      </c>
      <c r="D23" s="80">
        <v>244</v>
      </c>
      <c r="E23" s="24">
        <f>Tabla182010[Transactions 
Complete]/Tabla182010[Total]</f>
        <v>0.93129770992366412</v>
      </c>
      <c r="F23" s="80">
        <v>18</v>
      </c>
      <c r="G23" s="24">
        <f>Tabla182010[Transactions 
Failed]/Tabla182010[Total]</f>
        <v>6.8702290076335881E-2</v>
      </c>
      <c r="H23" s="34">
        <v>0</v>
      </c>
      <c r="I23" s="24">
        <f>Tabla182010[Transactions 
In_Prog]/Tabla182010[Total]</f>
        <v>0</v>
      </c>
      <c r="J23" s="80">
        <v>0</v>
      </c>
      <c r="K23" s="24">
        <f>Tabla182010[Transactions 
Timeout]/Tabla182010[Total]</f>
        <v>0</v>
      </c>
      <c r="L23" s="34">
        <v>0</v>
      </c>
      <c r="M23" s="24">
        <f>Tabla182010[Transactions
Trans Fail]/Tabla182010[Total]</f>
        <v>0</v>
      </c>
    </row>
    <row r="24" spans="2:13" s="33" customFormat="1" x14ac:dyDescent="0.3">
      <c r="B24" s="37">
        <v>43289</v>
      </c>
      <c r="C24" s="86">
        <v>8</v>
      </c>
      <c r="D24" s="80">
        <v>7</v>
      </c>
      <c r="E24" s="24">
        <f>Tabla182010[Transactions 
Complete]/Tabla182010[Total]</f>
        <v>0.875</v>
      </c>
      <c r="F24" s="80">
        <v>1</v>
      </c>
      <c r="G24" s="24">
        <f>Tabla182010[Transactions 
Failed]/Tabla182010[Total]</f>
        <v>0.125</v>
      </c>
      <c r="H24" s="34">
        <v>0</v>
      </c>
      <c r="I24" s="24">
        <f>Tabla182010[Transactions 
In_Prog]/Tabla182010[Total]</f>
        <v>0</v>
      </c>
      <c r="J24" s="80">
        <v>0</v>
      </c>
      <c r="K24" s="24">
        <f>Tabla182010[Transactions 
Timeout]/Tabla182010[Total]</f>
        <v>0</v>
      </c>
      <c r="L24" s="34">
        <v>0</v>
      </c>
      <c r="M24" s="24">
        <f>Tabla182010[Transactions
Trans Fail]/Tabla182010[Total]</f>
        <v>0</v>
      </c>
    </row>
    <row r="25" spans="2:13" s="33" customFormat="1" x14ac:dyDescent="0.3">
      <c r="B25" s="37">
        <v>43290</v>
      </c>
      <c r="C25" s="86">
        <v>8300</v>
      </c>
      <c r="D25" s="80">
        <v>7493</v>
      </c>
      <c r="E25" s="24">
        <f>Tabla182010[Transactions 
Complete]/Tabla182010[Total]</f>
        <v>0.90277108433734943</v>
      </c>
      <c r="F25" s="80">
        <v>678</v>
      </c>
      <c r="G25" s="24">
        <f>Tabla182010[Transactions 
Failed]/Tabla182010[Total]</f>
        <v>8.1686746987951808E-2</v>
      </c>
      <c r="H25" s="34">
        <v>0</v>
      </c>
      <c r="I25" s="24">
        <f>Tabla182010[Transactions 
In_Prog]/Tabla182010[Total]</f>
        <v>0</v>
      </c>
      <c r="J25" s="80">
        <v>129</v>
      </c>
      <c r="K25" s="24">
        <f>Tabla182010[Transactions 
Timeout]/Tabla182010[Total]</f>
        <v>1.5542168674698795E-2</v>
      </c>
      <c r="L25" s="34">
        <v>0</v>
      </c>
      <c r="M25" s="24">
        <f>Tabla182010[Transactions
Trans Fail]/Tabla182010[Total]</f>
        <v>0</v>
      </c>
    </row>
    <row r="26" spans="2:13" s="33" customFormat="1" x14ac:dyDescent="0.3">
      <c r="B26" s="37">
        <v>43291</v>
      </c>
      <c r="C26" s="86">
        <v>17596</v>
      </c>
      <c r="D26" s="80">
        <v>16513</v>
      </c>
      <c r="E26" s="24">
        <f>Tabla182010[Transactions 
Complete]/Tabla182010[Total]</f>
        <v>0.93845192089111162</v>
      </c>
      <c r="F26" s="80">
        <v>906</v>
      </c>
      <c r="G26" s="24">
        <f>Tabla182010[Transactions 
Failed]/Tabla182010[Total]</f>
        <v>5.1488974766992497E-2</v>
      </c>
      <c r="H26" s="34">
        <v>0</v>
      </c>
      <c r="I26" s="24">
        <f>Tabla182010[Transactions 
In_Prog]/Tabla182010[Total]</f>
        <v>0</v>
      </c>
      <c r="J26" s="80">
        <v>177</v>
      </c>
      <c r="K26" s="24">
        <f>Tabla182010[Transactions 
Timeout]/Tabla182010[Total]</f>
        <v>1.0059104341895886E-2</v>
      </c>
      <c r="L26" s="34">
        <v>0</v>
      </c>
      <c r="M26" s="24">
        <f>Tabla182010[Transactions
Trans Fail]/Tabla182010[Total]</f>
        <v>0</v>
      </c>
    </row>
    <row r="27" spans="2:13" s="33" customFormat="1" x14ac:dyDescent="0.3">
      <c r="B27" s="37">
        <v>43292</v>
      </c>
      <c r="C27" s="86">
        <v>4116</v>
      </c>
      <c r="D27" s="80">
        <v>3875</v>
      </c>
      <c r="E27" s="24">
        <f>Tabla182010[Transactions 
Complete]/Tabla182010[Total]</f>
        <v>0.94144800777453841</v>
      </c>
      <c r="F27" s="80">
        <v>162</v>
      </c>
      <c r="G27" s="24">
        <f>Tabla182010[Transactions 
Failed]/Tabla182010[Total]</f>
        <v>3.9358600583090382E-2</v>
      </c>
      <c r="H27" s="34">
        <v>0</v>
      </c>
      <c r="I27" s="24">
        <f>Tabla182010[Transactions 
In_Prog]/Tabla182010[Total]</f>
        <v>0</v>
      </c>
      <c r="J27" s="80">
        <v>79</v>
      </c>
      <c r="K27" s="24">
        <f>Tabla182010[Transactions 
Timeout]/Tabla182010[Total]</f>
        <v>1.9193391642371233E-2</v>
      </c>
      <c r="L27" s="34">
        <v>0</v>
      </c>
      <c r="M27" s="24">
        <f>Tabla182010[Transactions
Trans Fail]/Tabla182010[Total]</f>
        <v>0</v>
      </c>
    </row>
    <row r="28" spans="2:13" s="33" customFormat="1" x14ac:dyDescent="0.3">
      <c r="B28" s="37">
        <v>43293</v>
      </c>
      <c r="C28" s="86">
        <v>805</v>
      </c>
      <c r="D28" s="80">
        <v>735</v>
      </c>
      <c r="E28" s="24">
        <f>Tabla182010[Transactions 
Complete]/Tabla182010[Total]</f>
        <v>0.91304347826086951</v>
      </c>
      <c r="F28" s="80">
        <v>68</v>
      </c>
      <c r="G28" s="24">
        <f>Tabla182010[Transactions 
Failed]/Tabla182010[Total]</f>
        <v>8.4472049689440998E-2</v>
      </c>
      <c r="H28" s="34">
        <v>0</v>
      </c>
      <c r="I28" s="24">
        <f>Tabla182010[Transactions 
In_Prog]/Tabla182010[Total]</f>
        <v>0</v>
      </c>
      <c r="J28" s="80">
        <v>2</v>
      </c>
      <c r="K28" s="24">
        <f>Tabla182010[Transactions 
Timeout]/Tabla182010[Total]</f>
        <v>2.4844720496894411E-3</v>
      </c>
      <c r="L28" s="34">
        <v>0</v>
      </c>
      <c r="M28" s="24">
        <f>Tabla182010[Transactions
Trans Fail]/Tabla182010[Total]</f>
        <v>0</v>
      </c>
    </row>
    <row r="29" spans="2:13" s="33" customFormat="1" x14ac:dyDescent="0.3">
      <c r="B29" s="37">
        <v>43294</v>
      </c>
      <c r="C29" s="86">
        <v>773</v>
      </c>
      <c r="D29" s="80">
        <v>683</v>
      </c>
      <c r="E29" s="24">
        <f>Tabla182010[Transactions 
Complete]/Tabla182010[Total]</f>
        <v>0.88357050452781372</v>
      </c>
      <c r="F29" s="80">
        <v>84</v>
      </c>
      <c r="G29" s="24">
        <f>Tabla182010[Transactions 
Failed]/Tabla182010[Total]</f>
        <v>0.10866752910737387</v>
      </c>
      <c r="H29" s="34">
        <v>0</v>
      </c>
      <c r="I29" s="24">
        <f>Tabla182010[Transactions 
In_Prog]/Tabla182010[Total]</f>
        <v>0</v>
      </c>
      <c r="J29" s="80">
        <v>6</v>
      </c>
      <c r="K29" s="24">
        <f>Tabla182010[Transactions 
Timeout]/Tabla182010[Total]</f>
        <v>7.7619663648124193E-3</v>
      </c>
      <c r="L29" s="34">
        <v>0</v>
      </c>
      <c r="M29" s="24">
        <f>Tabla182010[Transactions
Trans Fail]/Tabla182010[Total]</f>
        <v>0</v>
      </c>
    </row>
    <row r="30" spans="2:13" s="33" customFormat="1" x14ac:dyDescent="0.3">
      <c r="B30" s="37">
        <v>43295</v>
      </c>
      <c r="C30" s="86">
        <v>269</v>
      </c>
      <c r="D30" s="80">
        <v>253</v>
      </c>
      <c r="E30" s="24">
        <f>Tabla182010[Transactions 
Complete]/Tabla182010[Total]</f>
        <v>0.94052044609665431</v>
      </c>
      <c r="F30" s="80">
        <v>16</v>
      </c>
      <c r="G30" s="24">
        <f>Tabla182010[Transactions 
Failed]/Tabla182010[Total]</f>
        <v>5.9479553903345722E-2</v>
      </c>
      <c r="H30" s="34">
        <v>0</v>
      </c>
      <c r="I30" s="24">
        <f>Tabla182010[Transactions 
In_Prog]/Tabla182010[Total]</f>
        <v>0</v>
      </c>
      <c r="J30" s="80">
        <v>0</v>
      </c>
      <c r="K30" s="24">
        <f>Tabla182010[Transactions 
Timeout]/Tabla182010[Total]</f>
        <v>0</v>
      </c>
      <c r="L30" s="34">
        <v>0</v>
      </c>
      <c r="M30" s="24">
        <f>Tabla182010[Transactions
Trans Fail]/Tabla182010[Total]</f>
        <v>0</v>
      </c>
    </row>
    <row r="31" spans="2:13" s="33" customFormat="1" x14ac:dyDescent="0.3">
      <c r="B31" s="37">
        <v>43296</v>
      </c>
      <c r="C31" s="86">
        <v>15</v>
      </c>
      <c r="D31" s="80">
        <v>9</v>
      </c>
      <c r="E31" s="24">
        <f>Tabla182010[Transactions 
Complete]/Tabla182010[Total]</f>
        <v>0.6</v>
      </c>
      <c r="F31" s="80">
        <v>6</v>
      </c>
      <c r="G31" s="24">
        <f>Tabla182010[Transactions 
Failed]/Tabla182010[Total]</f>
        <v>0.4</v>
      </c>
      <c r="H31" s="34">
        <v>0</v>
      </c>
      <c r="I31" s="24">
        <f>Tabla182010[Transactions 
In_Prog]/Tabla182010[Total]</f>
        <v>0</v>
      </c>
      <c r="J31" s="80">
        <v>0</v>
      </c>
      <c r="K31" s="24">
        <f>Tabla182010[Transactions 
Timeout]/Tabla182010[Total]</f>
        <v>0</v>
      </c>
      <c r="L31" s="34">
        <v>0</v>
      </c>
      <c r="M31" s="24">
        <f>Tabla182010[Transactions
Trans Fail]/Tabla182010[Total]</f>
        <v>0</v>
      </c>
    </row>
    <row r="32" spans="2:13" s="33" customFormat="1" x14ac:dyDescent="0.3">
      <c r="B32" s="37">
        <v>43297</v>
      </c>
      <c r="C32" s="86">
        <v>458</v>
      </c>
      <c r="D32" s="80">
        <v>342</v>
      </c>
      <c r="E32" s="24">
        <f>Tabla182010[Transactions 
Complete]/Tabla182010[Total]</f>
        <v>0.74672489082969429</v>
      </c>
      <c r="F32" s="80">
        <v>114</v>
      </c>
      <c r="G32" s="24">
        <f>Tabla182010[Transactions 
Failed]/Tabla182010[Total]</f>
        <v>0.24890829694323144</v>
      </c>
      <c r="H32" s="34">
        <v>0</v>
      </c>
      <c r="I32" s="24">
        <f>Tabla182010[Transactions 
In_Prog]/Tabla182010[Total]</f>
        <v>0</v>
      </c>
      <c r="J32" s="80">
        <v>2</v>
      </c>
      <c r="K32" s="24">
        <f>Tabla182010[Transactions 
Timeout]/Tabla182010[Total]</f>
        <v>4.3668122270742356E-3</v>
      </c>
      <c r="L32" s="34">
        <v>0</v>
      </c>
      <c r="M32" s="24">
        <f>Tabla182010[Transactions
Trans Fail]/Tabla182010[Total]</f>
        <v>0</v>
      </c>
    </row>
    <row r="33" spans="2:13" s="33" customFormat="1" x14ac:dyDescent="0.3">
      <c r="B33" s="37">
        <v>43298</v>
      </c>
      <c r="C33" s="86">
        <v>1258</v>
      </c>
      <c r="D33" s="80">
        <v>1052</v>
      </c>
      <c r="E33" s="24">
        <f>Tabla182010[Transactions 
Complete]/Tabla182010[Total]</f>
        <v>0.83624801271860094</v>
      </c>
      <c r="F33" s="80">
        <v>202</v>
      </c>
      <c r="G33" s="24">
        <f>Tabla182010[Transactions 
Failed]/Tabla182010[Total]</f>
        <v>0.16057233704292528</v>
      </c>
      <c r="H33" s="34">
        <v>0</v>
      </c>
      <c r="I33" s="24">
        <f>Tabla182010[Transactions 
In_Prog]/Tabla182010[Total]</f>
        <v>0</v>
      </c>
      <c r="J33" s="80">
        <v>4</v>
      </c>
      <c r="K33" s="24">
        <f>Tabla182010[Transactions 
Timeout]/Tabla182010[Total]</f>
        <v>3.1796502384737681E-3</v>
      </c>
      <c r="L33" s="34">
        <v>0</v>
      </c>
      <c r="M33" s="24">
        <f>Tabla182010[Transactions
Trans Fail]/Tabla182010[Total]</f>
        <v>0</v>
      </c>
    </row>
    <row r="34" spans="2:13" s="33" customFormat="1" x14ac:dyDescent="0.3">
      <c r="B34" s="37">
        <v>43299</v>
      </c>
      <c r="C34" s="86">
        <v>2496</v>
      </c>
      <c r="D34" s="80">
        <v>2140</v>
      </c>
      <c r="E34" s="24">
        <f>Tabla182010[Transactions 
Complete]/Tabla182010[Total]</f>
        <v>0.85737179487179482</v>
      </c>
      <c r="F34" s="80">
        <v>352</v>
      </c>
      <c r="G34" s="24">
        <f>Tabla182010[Transactions 
Failed]/Tabla182010[Total]</f>
        <v>0.14102564102564102</v>
      </c>
      <c r="H34" s="34">
        <v>0</v>
      </c>
      <c r="I34" s="24">
        <f>Tabla182010[Transactions 
In_Prog]/Tabla182010[Total]</f>
        <v>0</v>
      </c>
      <c r="J34" s="80">
        <v>4</v>
      </c>
      <c r="K34" s="24">
        <f>Tabla182010[Transactions 
Timeout]/Tabla182010[Total]</f>
        <v>1.6025641025641025E-3</v>
      </c>
      <c r="L34" s="34">
        <v>0</v>
      </c>
      <c r="M34" s="24">
        <f>Tabla182010[Transactions
Trans Fail]/Tabla182010[Total]</f>
        <v>0</v>
      </c>
    </row>
    <row r="35" spans="2:13" s="33" customFormat="1" x14ac:dyDescent="0.3">
      <c r="B35" s="37">
        <v>43300</v>
      </c>
      <c r="C35" s="86">
        <v>1965</v>
      </c>
      <c r="D35" s="80">
        <v>1810</v>
      </c>
      <c r="E35" s="24">
        <f>Tabla182010[Transactions 
Complete]/Tabla182010[Total]</f>
        <v>0.92111959287531808</v>
      </c>
      <c r="F35" s="80">
        <v>150</v>
      </c>
      <c r="G35" s="24">
        <f>Tabla182010[Transactions 
Failed]/Tabla182010[Total]</f>
        <v>7.6335877862595422E-2</v>
      </c>
      <c r="H35" s="34">
        <v>0</v>
      </c>
      <c r="I35" s="24">
        <f>Tabla182010[Transactions 
In_Prog]/Tabla182010[Total]</f>
        <v>0</v>
      </c>
      <c r="J35" s="80">
        <v>5</v>
      </c>
      <c r="K35" s="24">
        <f>Tabla182010[Transactions 
Timeout]/Tabla182010[Total]</f>
        <v>2.5445292620865142E-3</v>
      </c>
      <c r="L35" s="34">
        <v>0</v>
      </c>
      <c r="M35" s="24">
        <f>Tabla182010[Transactions
Trans Fail]/Tabla182010[Total]</f>
        <v>0</v>
      </c>
    </row>
    <row r="36" spans="2:13" s="33" customFormat="1" x14ac:dyDescent="0.3">
      <c r="B36" s="37">
        <v>43301</v>
      </c>
      <c r="C36" s="86">
        <v>880</v>
      </c>
      <c r="D36" s="80">
        <v>739</v>
      </c>
      <c r="E36" s="24">
        <f>Tabla182010[Transactions 
Complete]/Tabla182010[Total]</f>
        <v>0.83977272727272723</v>
      </c>
      <c r="F36" s="80">
        <v>131</v>
      </c>
      <c r="G36" s="24">
        <f>Tabla182010[Transactions 
Failed]/Tabla182010[Total]</f>
        <v>0.14886363636363636</v>
      </c>
      <c r="H36" s="34">
        <v>0</v>
      </c>
      <c r="I36" s="24">
        <f>Tabla182010[Transactions 
In_Prog]/Tabla182010[Total]</f>
        <v>0</v>
      </c>
      <c r="J36" s="80">
        <v>10</v>
      </c>
      <c r="K36" s="24">
        <f>Tabla182010[Transactions 
Timeout]/Tabla182010[Total]</f>
        <v>1.1363636363636364E-2</v>
      </c>
      <c r="L36" s="34">
        <v>0</v>
      </c>
      <c r="M36" s="24">
        <f>Tabla182010[Transactions
Trans Fail]/Tabla182010[Total]</f>
        <v>0</v>
      </c>
    </row>
    <row r="37" spans="2:13" s="33" customFormat="1" x14ac:dyDescent="0.3">
      <c r="B37" s="37">
        <v>43302</v>
      </c>
      <c r="C37" s="86">
        <v>195</v>
      </c>
      <c r="D37" s="80">
        <v>169</v>
      </c>
      <c r="E37" s="24">
        <f>Tabla182010[Transactions 
Complete]/Tabla182010[Total]</f>
        <v>0.8666666666666667</v>
      </c>
      <c r="F37" s="80">
        <v>25</v>
      </c>
      <c r="G37" s="24">
        <f>Tabla182010[Transactions 
Failed]/Tabla182010[Total]</f>
        <v>0.12820512820512819</v>
      </c>
      <c r="H37" s="34">
        <v>0</v>
      </c>
      <c r="I37" s="24">
        <f>Tabla182010[Transactions 
In_Prog]/Tabla182010[Total]</f>
        <v>0</v>
      </c>
      <c r="J37" s="80">
        <v>1</v>
      </c>
      <c r="K37" s="24">
        <f>Tabla182010[Transactions 
Timeout]/Tabla182010[Total]</f>
        <v>5.1282051282051282E-3</v>
      </c>
      <c r="L37" s="34">
        <v>0</v>
      </c>
      <c r="M37" s="24">
        <f>Tabla182010[Transactions
Trans Fail]/Tabla182010[Total]</f>
        <v>0</v>
      </c>
    </row>
    <row r="38" spans="2:13" s="33" customFormat="1" x14ac:dyDescent="0.3">
      <c r="B38" s="37">
        <v>43303</v>
      </c>
      <c r="C38" s="86">
        <v>9</v>
      </c>
      <c r="D38" s="80">
        <v>5</v>
      </c>
      <c r="E38" s="24">
        <f>Tabla182010[Transactions 
Complete]/Tabla182010[Total]</f>
        <v>0.55555555555555558</v>
      </c>
      <c r="F38" s="80">
        <v>4</v>
      </c>
      <c r="G38" s="24">
        <f>Tabla182010[Transactions 
Failed]/Tabla182010[Total]</f>
        <v>0.44444444444444442</v>
      </c>
      <c r="H38" s="34">
        <v>0</v>
      </c>
      <c r="I38" s="24">
        <f>Tabla182010[Transactions 
In_Prog]/Tabla182010[Total]</f>
        <v>0</v>
      </c>
      <c r="J38" s="80">
        <v>0</v>
      </c>
      <c r="K38" s="24">
        <f>Tabla182010[Transactions 
Timeout]/Tabla182010[Total]</f>
        <v>0</v>
      </c>
      <c r="L38" s="34">
        <v>0</v>
      </c>
      <c r="M38" s="24">
        <f>Tabla182010[Transactions
Trans Fail]/Tabla182010[Total]</f>
        <v>0</v>
      </c>
    </row>
    <row r="39" spans="2:13" s="33" customFormat="1" x14ac:dyDescent="0.3">
      <c r="B39" s="37">
        <v>43304</v>
      </c>
      <c r="C39" s="86">
        <v>1040</v>
      </c>
      <c r="D39" s="80">
        <v>758</v>
      </c>
      <c r="E39" s="24">
        <f>Tabla182010[Transactions 
Complete]/Tabla182010[Total]</f>
        <v>0.72884615384615381</v>
      </c>
      <c r="F39" s="80">
        <v>271</v>
      </c>
      <c r="G39" s="24">
        <f>Tabla182010[Transactions 
Failed]/Tabla182010[Total]</f>
        <v>0.26057692307692309</v>
      </c>
      <c r="H39" s="34">
        <v>0</v>
      </c>
      <c r="I39" s="24">
        <f>Tabla182010[Transactions 
In_Prog]/Tabla182010[Total]</f>
        <v>0</v>
      </c>
      <c r="J39" s="80">
        <v>11</v>
      </c>
      <c r="K39" s="24">
        <f>Tabla182010[Transactions 
Timeout]/Tabla182010[Total]</f>
        <v>1.0576923076923078E-2</v>
      </c>
      <c r="L39" s="34">
        <v>0</v>
      </c>
      <c r="M39" s="24">
        <f>Tabla182010[Transactions
Trans Fail]/Tabla182010[Total]</f>
        <v>0</v>
      </c>
    </row>
    <row r="40" spans="2:13" s="33" customFormat="1" x14ac:dyDescent="0.3">
      <c r="B40" s="37">
        <v>43305</v>
      </c>
      <c r="C40" s="86">
        <v>2665</v>
      </c>
      <c r="D40" s="80">
        <v>2422</v>
      </c>
      <c r="E40" s="24">
        <f>Tabla182010[Transactions 
Complete]/Tabla182010[Total]</f>
        <v>0.90881801125703565</v>
      </c>
      <c r="F40" s="80">
        <v>237</v>
      </c>
      <c r="G40" s="24">
        <f>Tabla182010[Transactions 
Failed]/Tabla182010[Total]</f>
        <v>8.8930581613508447E-2</v>
      </c>
      <c r="H40" s="34">
        <v>0</v>
      </c>
      <c r="I40" s="24">
        <f>Tabla182010[Transactions 
In_Prog]/Tabla182010[Total]</f>
        <v>0</v>
      </c>
      <c r="J40" s="80">
        <v>6</v>
      </c>
      <c r="K40" s="24">
        <f>Tabla182010[Transactions 
Timeout]/Tabla182010[Total]</f>
        <v>2.2514071294559099E-3</v>
      </c>
      <c r="L40" s="34">
        <v>0</v>
      </c>
      <c r="M40" s="24">
        <f>Tabla182010[Transactions
Trans Fail]/Tabla182010[Total]</f>
        <v>0</v>
      </c>
    </row>
    <row r="41" spans="2:13" s="33" customFormat="1" x14ac:dyDescent="0.3">
      <c r="B41" s="37">
        <v>43306</v>
      </c>
      <c r="C41" s="86">
        <v>1067</v>
      </c>
      <c r="D41" s="80">
        <v>869</v>
      </c>
      <c r="E41" s="24">
        <f>Tabla182010[Transactions 
Complete]/Tabla182010[Total]</f>
        <v>0.81443298969072164</v>
      </c>
      <c r="F41" s="80">
        <v>195</v>
      </c>
      <c r="G41" s="24">
        <f>Tabla182010[Transactions 
Failed]/Tabla182010[Total]</f>
        <v>0.18275538894095594</v>
      </c>
      <c r="H41" s="34">
        <v>0</v>
      </c>
      <c r="I41" s="24">
        <f>Tabla182010[Transactions 
In_Prog]/Tabla182010[Total]</f>
        <v>0</v>
      </c>
      <c r="J41" s="80">
        <v>3</v>
      </c>
      <c r="K41" s="24">
        <f>Tabla182010[Transactions 
Timeout]/Tabla182010[Total]</f>
        <v>2.8116213683223993E-3</v>
      </c>
      <c r="L41" s="34">
        <v>0</v>
      </c>
      <c r="M41" s="24">
        <f>Tabla182010[Transactions
Trans Fail]/Tabla182010[Total]</f>
        <v>0</v>
      </c>
    </row>
    <row r="42" spans="2:13" s="33" customFormat="1" x14ac:dyDescent="0.3">
      <c r="B42" s="37">
        <v>43307</v>
      </c>
      <c r="C42" s="86">
        <v>2374</v>
      </c>
      <c r="D42" s="80">
        <v>2015</v>
      </c>
      <c r="E42" s="24">
        <f>Tabla182010[Transactions 
Complete]/Tabla182010[Total]</f>
        <v>0.84877843302443134</v>
      </c>
      <c r="F42" s="80">
        <v>352</v>
      </c>
      <c r="G42" s="24">
        <f>Tabla182010[Transactions 
Failed]/Tabla182010[Total]</f>
        <v>0.14827295703454085</v>
      </c>
      <c r="H42" s="34">
        <v>0</v>
      </c>
      <c r="I42" s="24">
        <f>Tabla182010[Transactions 
In_Prog]/Tabla182010[Total]</f>
        <v>0</v>
      </c>
      <c r="J42" s="80">
        <v>7</v>
      </c>
      <c r="K42" s="24">
        <f>Tabla182010[Transactions 
Timeout]/Tabla182010[Total]</f>
        <v>2.9486099410278013E-3</v>
      </c>
      <c r="L42" s="34">
        <v>0</v>
      </c>
      <c r="M42" s="24">
        <f>Tabla182010[Transactions
Trans Fail]/Tabla182010[Total]</f>
        <v>0</v>
      </c>
    </row>
    <row r="43" spans="2:13" s="33" customFormat="1" x14ac:dyDescent="0.3">
      <c r="B43" s="37">
        <v>43308</v>
      </c>
      <c r="C43" s="86">
        <v>811</v>
      </c>
      <c r="D43" s="80">
        <v>669</v>
      </c>
      <c r="E43" s="24">
        <f>Tabla182010[Transactions 
Complete]/Tabla182010[Total]</f>
        <v>0.82490752157829839</v>
      </c>
      <c r="F43" s="80">
        <v>142</v>
      </c>
      <c r="G43" s="24">
        <f>Tabla182010[Transactions 
Failed]/Tabla182010[Total]</f>
        <v>0.17509247842170161</v>
      </c>
      <c r="H43" s="34">
        <v>0</v>
      </c>
      <c r="I43" s="24">
        <f>Tabla182010[Transactions 
In_Prog]/Tabla182010[Total]</f>
        <v>0</v>
      </c>
      <c r="J43" s="80">
        <v>0</v>
      </c>
      <c r="K43" s="24">
        <f>Tabla182010[Transactions 
Timeout]/Tabla182010[Total]</f>
        <v>0</v>
      </c>
      <c r="L43" s="34">
        <v>0</v>
      </c>
      <c r="M43" s="24">
        <f>Tabla182010[Transactions
Trans Fail]/Tabla182010[Total]</f>
        <v>0</v>
      </c>
    </row>
    <row r="44" spans="2:13" s="33" customFormat="1" x14ac:dyDescent="0.3">
      <c r="B44" s="37">
        <v>43309</v>
      </c>
      <c r="C44" s="86">
        <v>220</v>
      </c>
      <c r="D44" s="80">
        <v>196</v>
      </c>
      <c r="E44" s="24">
        <f>Tabla182010[Transactions 
Complete]/Tabla182010[Total]</f>
        <v>0.89090909090909087</v>
      </c>
      <c r="F44" s="80">
        <v>23</v>
      </c>
      <c r="G44" s="24">
        <f>Tabla182010[Transactions 
Failed]/Tabla182010[Total]</f>
        <v>0.10454545454545454</v>
      </c>
      <c r="H44" s="34">
        <v>0</v>
      </c>
      <c r="I44" s="24">
        <f>Tabla182010[Transactions 
In_Prog]/Tabla182010[Total]</f>
        <v>0</v>
      </c>
      <c r="J44" s="80">
        <v>1</v>
      </c>
      <c r="K44" s="24">
        <f>Tabla182010[Transactions 
Timeout]/Tabla182010[Total]</f>
        <v>4.5454545454545452E-3</v>
      </c>
      <c r="L44" s="34">
        <v>0</v>
      </c>
      <c r="M44" s="24">
        <f>Tabla182010[Transactions
Trans Fail]/Tabla182010[Total]</f>
        <v>0</v>
      </c>
    </row>
    <row r="45" spans="2:13" s="33" customFormat="1" x14ac:dyDescent="0.3">
      <c r="B45" s="37">
        <v>43310</v>
      </c>
      <c r="C45" s="86">
        <v>5</v>
      </c>
      <c r="D45" s="80">
        <v>5</v>
      </c>
      <c r="E45" s="24">
        <f>Tabla182010[Transactions 
Complete]/Tabla182010[Total]</f>
        <v>1</v>
      </c>
      <c r="F45" s="80">
        <v>0</v>
      </c>
      <c r="G45" s="24">
        <f>Tabla182010[Transactions 
Failed]/Tabla182010[Total]</f>
        <v>0</v>
      </c>
      <c r="H45" s="34">
        <v>0</v>
      </c>
      <c r="I45" s="24">
        <f>Tabla182010[Transactions 
In_Prog]/Tabla182010[Total]</f>
        <v>0</v>
      </c>
      <c r="J45" s="80">
        <v>0</v>
      </c>
      <c r="K45" s="24">
        <f>Tabla182010[Transactions 
Timeout]/Tabla182010[Total]</f>
        <v>0</v>
      </c>
      <c r="L45" s="34">
        <v>0</v>
      </c>
      <c r="M45" s="24">
        <f>Tabla182010[Transactions
Trans Fail]/Tabla182010[Total]</f>
        <v>0</v>
      </c>
    </row>
    <row r="46" spans="2:13" s="33" customFormat="1" x14ac:dyDescent="0.3">
      <c r="B46" s="37">
        <v>43311</v>
      </c>
      <c r="C46" s="86">
        <v>995</v>
      </c>
      <c r="D46" s="80">
        <v>888</v>
      </c>
      <c r="E46" s="24">
        <f>Tabla182010[Transactions 
Complete]/Tabla182010[Total]</f>
        <v>0.89246231155778899</v>
      </c>
      <c r="F46" s="80">
        <v>104</v>
      </c>
      <c r="G46" s="24">
        <f>Tabla182010[Transactions 
Failed]/Tabla182010[Total]</f>
        <v>0.10452261306532663</v>
      </c>
      <c r="H46" s="34">
        <v>0</v>
      </c>
      <c r="I46" s="24">
        <f>Tabla182010[Transactions 
In_Prog]/Tabla182010[Total]</f>
        <v>0</v>
      </c>
      <c r="J46" s="80">
        <v>3</v>
      </c>
      <c r="K46" s="24">
        <f>Tabla182010[Transactions 
Timeout]/Tabla182010[Total]</f>
        <v>3.015075376884422E-3</v>
      </c>
      <c r="L46" s="34">
        <v>0</v>
      </c>
      <c r="M46" s="24">
        <f>Tabla182010[Transactions
Trans Fail]/Tabla182010[Total]</f>
        <v>0</v>
      </c>
    </row>
    <row r="47" spans="2:13" s="33" customFormat="1" x14ac:dyDescent="0.3">
      <c r="B47" s="37">
        <v>43312</v>
      </c>
      <c r="C47" s="86">
        <v>1022</v>
      </c>
      <c r="D47" s="80">
        <v>838</v>
      </c>
      <c r="E47" s="24">
        <f>Tabla182010[Transactions 
Complete]/Tabla182010[Total]</f>
        <v>0.81996086105675148</v>
      </c>
      <c r="F47" s="80">
        <v>180</v>
      </c>
      <c r="G47" s="24">
        <f>Tabla182010[Transactions 
Failed]/Tabla182010[Total]</f>
        <v>0.17612524461839529</v>
      </c>
      <c r="H47" s="34">
        <v>0</v>
      </c>
      <c r="I47" s="24">
        <f>Tabla182010[Transactions 
In_Prog]/Tabla182010[Total]</f>
        <v>0</v>
      </c>
      <c r="J47" s="80">
        <v>4</v>
      </c>
      <c r="K47" s="24">
        <f>Tabla182010[Transactions 
Timeout]/Tabla182010[Total]</f>
        <v>3.9138943248532287E-3</v>
      </c>
      <c r="L47" s="34">
        <v>0</v>
      </c>
      <c r="M47" s="24">
        <f>Tabla182010[Transactions
Trans Fail]/Tabla182010[Total]</f>
        <v>0</v>
      </c>
    </row>
    <row r="48" spans="2:13" ht="24" x14ac:dyDescent="0.3">
      <c r="B48" s="38" t="s">
        <v>26</v>
      </c>
      <c r="C48" s="39" t="e">
        <f>SUM(#REF!)</f>
        <v>#REF!</v>
      </c>
      <c r="D48" s="39" t="e">
        <f>SUM(#REF!)</f>
        <v>#REF!</v>
      </c>
      <c r="E48" s="89" t="e">
        <f>AVERAGE(#REF!)</f>
        <v>#REF!</v>
      </c>
      <c r="F48" s="39" t="e">
        <f>SUM(#REF!)</f>
        <v>#REF!</v>
      </c>
      <c r="G48" s="89" t="e">
        <f>AVERAGE(#REF!)</f>
        <v>#REF!</v>
      </c>
      <c r="H48" s="39" t="e">
        <f>SUM(#REF!)</f>
        <v>#REF!</v>
      </c>
      <c r="I48" s="89" t="e">
        <f>AVERAGE(#REF!)</f>
        <v>#REF!</v>
      </c>
      <c r="J48" s="39" t="e">
        <f>SUM(#REF!)</f>
        <v>#REF!</v>
      </c>
      <c r="K48" s="89" t="e">
        <f>AVERAGE(#REF!)</f>
        <v>#REF!</v>
      </c>
      <c r="L48" s="39" t="e">
        <f>SUM(#REF!)</f>
        <v>#REF!</v>
      </c>
      <c r="M48" s="89" t="e">
        <f>AVERAGE(#REF!)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B1:P100"/>
  <sheetViews>
    <sheetView topLeftCell="A19" zoomScaleNormal="100" workbookViewId="0">
      <selection activeCell="M24" sqref="M24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554687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5546875" style="1" bestFit="1" customWidth="1"/>
    <col min="8" max="8" width="13.6640625" style="1" bestFit="1" customWidth="1"/>
    <col min="9" max="9" width="10.554687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554687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96" t="s">
        <v>2</v>
      </c>
      <c r="D2" s="96"/>
    </row>
    <row r="3" spans="2:16" x14ac:dyDescent="0.3">
      <c r="B3" s="5"/>
      <c r="C3" s="8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SUM(Tabla182079[Total])</f>
        <v>785625.03</v>
      </c>
      <c r="D6" s="4"/>
    </row>
    <row r="7" spans="2:16" x14ac:dyDescent="0.3">
      <c r="B7" s="9" t="s">
        <v>6</v>
      </c>
      <c r="C7" s="11">
        <f>D15</f>
        <v>676036</v>
      </c>
      <c r="D7" s="12">
        <f>C7/C6</f>
        <v>0.8605072065995657</v>
      </c>
    </row>
    <row r="8" spans="2:16" x14ac:dyDescent="0.3">
      <c r="B8" s="9" t="s">
        <v>7</v>
      </c>
      <c r="C8" s="11">
        <f>F15</f>
        <v>89556</v>
      </c>
      <c r="D8" s="12">
        <f>C8/C6</f>
        <v>0.11399331306946775</v>
      </c>
    </row>
    <row r="9" spans="2:16" x14ac:dyDescent="0.3">
      <c r="B9" s="9" t="s">
        <v>8</v>
      </c>
      <c r="C9" s="11">
        <f>H15</f>
        <v>2</v>
      </c>
      <c r="D9" s="12">
        <f>C9/C6</f>
        <v>2.5457437373144794E-6</v>
      </c>
      <c r="P9" s="1">
        <f>72+24</f>
        <v>96</v>
      </c>
    </row>
    <row r="10" spans="2:16" x14ac:dyDescent="0.3">
      <c r="B10" s="9" t="s">
        <v>9</v>
      </c>
      <c r="C10" s="11">
        <f>J15</f>
        <v>20015</v>
      </c>
      <c r="D10" s="12">
        <f>C10/C6</f>
        <v>2.547653045117465E-2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785609</v>
      </c>
      <c r="D12" s="4"/>
    </row>
    <row r="14" spans="2:16" x14ac:dyDescent="0.3">
      <c r="B14" s="97" t="s">
        <v>12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16" ht="27.6" x14ac:dyDescent="0.3">
      <c r="B15" s="13" t="s">
        <v>13</v>
      </c>
      <c r="C15" s="14">
        <f>SUM(Tabla182079[Total])</f>
        <v>785625.03</v>
      </c>
      <c r="D15" s="14">
        <f>SUM(Tabla182079[Transactions 
Complete])</f>
        <v>676036</v>
      </c>
      <c r="E15" s="15">
        <f>AVERAGE(Tabla182079[%
Complete])</f>
        <v>0.79994096043410801</v>
      </c>
      <c r="F15" s="14">
        <f>SUM(Tabla182079[Transactions 
Failed])</f>
        <v>89556</v>
      </c>
      <c r="G15" s="15">
        <f>AVERAGE(Tabla182079[% 
Failed])</f>
        <v>0.13323798844700283</v>
      </c>
      <c r="H15" s="14">
        <f>SUM(Tabla182079[Transactions 
In_Prog])</f>
        <v>2</v>
      </c>
      <c r="I15" s="15">
        <f>AVERAGE(Tabla182079[%
In_Prog])</f>
        <v>4.2102966753258757E-6</v>
      </c>
      <c r="J15" s="14">
        <f>SUM(Tabla182079[Transactions 
Timeout])</f>
        <v>20015</v>
      </c>
      <c r="K15" s="15">
        <f>AVERAGE(Tabla182079[%
Timeout])</f>
        <v>4.8902419633051475E-2</v>
      </c>
      <c r="L15" s="14">
        <f>SUM(Tabla182079[Transactions
Trans Fail])</f>
        <v>0</v>
      </c>
      <c r="M15" s="15">
        <f>AVERAGE(Tabla182079[% 
Trans Fail])</f>
        <v>0</v>
      </c>
    </row>
    <row r="16" spans="2:16" s="33" customFormat="1" ht="24" x14ac:dyDescent="0.3">
      <c r="B16" s="17" t="s">
        <v>27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 t="s">
        <v>28</v>
      </c>
      <c r="C17" s="45">
        <v>165236</v>
      </c>
      <c r="D17" s="34">
        <v>140390</v>
      </c>
      <c r="E17" s="24">
        <v>0.81500354453828605</v>
      </c>
      <c r="F17" s="34">
        <v>20750</v>
      </c>
      <c r="G17" s="24">
        <v>0.13475203909315445</v>
      </c>
      <c r="H17" s="34">
        <v>0</v>
      </c>
      <c r="I17" s="24">
        <v>0</v>
      </c>
      <c r="J17" s="34">
        <v>4096</v>
      </c>
      <c r="K17" s="24">
        <v>5.0244416368559593E-2</v>
      </c>
      <c r="L17" s="34">
        <v>0</v>
      </c>
      <c r="M17" s="24">
        <v>0</v>
      </c>
    </row>
    <row r="18" spans="2:13" s="33" customFormat="1" x14ac:dyDescent="0.3">
      <c r="B18" s="37" t="s">
        <v>29</v>
      </c>
      <c r="C18" s="45">
        <v>148432.02999999997</v>
      </c>
      <c r="D18" s="34">
        <v>128988</v>
      </c>
      <c r="E18" s="24">
        <v>0.74311443724170234</v>
      </c>
      <c r="F18" s="34">
        <v>16239</v>
      </c>
      <c r="G18" s="24">
        <v>0.13744301582667229</v>
      </c>
      <c r="H18" s="34">
        <v>0</v>
      </c>
      <c r="I18" s="24">
        <v>0</v>
      </c>
      <c r="J18" s="34">
        <v>3205</v>
      </c>
      <c r="K18" s="24">
        <v>1.2299689788768378E-2</v>
      </c>
      <c r="L18" s="34">
        <v>0</v>
      </c>
      <c r="M18" s="24">
        <v>0</v>
      </c>
    </row>
    <row r="19" spans="2:13" s="33" customFormat="1" x14ac:dyDescent="0.3">
      <c r="B19" s="37" t="s">
        <v>30</v>
      </c>
      <c r="C19" s="45">
        <v>199613</v>
      </c>
      <c r="D19" s="34">
        <v>175839</v>
      </c>
      <c r="E19" s="24">
        <v>0.85785201658059718</v>
      </c>
      <c r="F19" s="34">
        <v>21622</v>
      </c>
      <c r="G19" s="24">
        <v>0.11900736247746613</v>
      </c>
      <c r="H19" s="34">
        <v>0</v>
      </c>
      <c r="I19" s="24">
        <v>0</v>
      </c>
      <c r="J19" s="34">
        <v>2147</v>
      </c>
      <c r="K19" s="24">
        <v>2.3127837370360171E-2</v>
      </c>
      <c r="L19" s="34">
        <v>0</v>
      </c>
      <c r="M19" s="24">
        <v>0</v>
      </c>
    </row>
    <row r="20" spans="2:13" s="33" customFormat="1" x14ac:dyDescent="0.3">
      <c r="B20" s="37" t="s">
        <v>31</v>
      </c>
      <c r="C20" s="45">
        <v>155801</v>
      </c>
      <c r="D20" s="34">
        <v>134575</v>
      </c>
      <c r="E20" s="24">
        <v>0.77702970830028562</v>
      </c>
      <c r="F20" s="34">
        <v>16073</v>
      </c>
      <c r="G20" s="24">
        <v>0.12617392400561733</v>
      </c>
      <c r="H20" s="34">
        <v>0</v>
      </c>
      <c r="I20" s="24">
        <v>0</v>
      </c>
      <c r="J20" s="34">
        <v>5153</v>
      </c>
      <c r="K20" s="24">
        <v>9.679636769409683E-2</v>
      </c>
      <c r="L20" s="34">
        <v>0</v>
      </c>
      <c r="M20" s="24">
        <v>0</v>
      </c>
    </row>
    <row r="21" spans="2:13" s="33" customFormat="1" x14ac:dyDescent="0.3">
      <c r="B21" s="37" t="s">
        <v>32</v>
      </c>
      <c r="C21" s="45">
        <v>87395</v>
      </c>
      <c r="D21" s="34">
        <v>71165</v>
      </c>
      <c r="E21" s="24">
        <v>0.77377332512384667</v>
      </c>
      <c r="F21" s="34">
        <v>11174</v>
      </c>
      <c r="G21" s="24">
        <v>0.13698684307401454</v>
      </c>
      <c r="H21" s="34">
        <v>2</v>
      </c>
      <c r="I21" s="24">
        <v>2.5261780051955254E-5</v>
      </c>
      <c r="J21" s="34">
        <v>5053</v>
      </c>
      <c r="K21" s="24">
        <v>8.9200239473656656E-2</v>
      </c>
      <c r="L21" s="34">
        <v>0</v>
      </c>
      <c r="M21" s="24">
        <v>0</v>
      </c>
    </row>
    <row r="22" spans="2:13" s="33" customFormat="1" x14ac:dyDescent="0.3">
      <c r="B22" s="37" t="s">
        <v>33</v>
      </c>
      <c r="C22" s="45">
        <v>29148</v>
      </c>
      <c r="D22" s="34">
        <v>25079</v>
      </c>
      <c r="E22" s="24">
        <v>0.83287273081992907</v>
      </c>
      <c r="F22" s="34">
        <v>3698</v>
      </c>
      <c r="G22" s="24">
        <v>0.14506474620509222</v>
      </c>
      <c r="H22" s="34">
        <v>0</v>
      </c>
      <c r="I22" s="24">
        <v>0</v>
      </c>
      <c r="J22" s="34">
        <v>361</v>
      </c>
      <c r="K22" s="24">
        <v>2.174596710286724E-2</v>
      </c>
      <c r="L22" s="34">
        <v>0</v>
      </c>
      <c r="M22" s="24">
        <v>0</v>
      </c>
    </row>
    <row r="23" spans="2:13" ht="24" x14ac:dyDescent="0.3">
      <c r="B23" s="38" t="s">
        <v>26</v>
      </c>
      <c r="C23" s="39">
        <f>SUM(C17:C22)</f>
        <v>785625.03</v>
      </c>
      <c r="D23" s="39">
        <f>SUM(D17:D22)</f>
        <v>676036</v>
      </c>
      <c r="E23" s="89">
        <f>AVERAGE(E17:E22)</f>
        <v>0.79994096043410801</v>
      </c>
      <c r="F23" s="39">
        <f>SUM(F17:F22)</f>
        <v>89556</v>
      </c>
      <c r="G23" s="89">
        <f>AVERAGE(G17:G22)</f>
        <v>0.13323798844700283</v>
      </c>
      <c r="H23" s="39">
        <f>SUM(H17:H22)</f>
        <v>2</v>
      </c>
      <c r="I23" s="89">
        <f>AVERAGE(I17:I22)</f>
        <v>4.2102966753258757E-6</v>
      </c>
      <c r="J23" s="39">
        <f>SUM(J17:J22)</f>
        <v>20015</v>
      </c>
      <c r="K23" s="89">
        <f>AVERAGE(K17:K22)</f>
        <v>4.8902419633051475E-2</v>
      </c>
      <c r="L23" s="39">
        <f>SUM(L17:L22)</f>
        <v>0</v>
      </c>
      <c r="M23" s="89">
        <f>AVERAGE(M17:M22)</f>
        <v>0</v>
      </c>
    </row>
    <row r="24" spans="2:13" x14ac:dyDescent="0.3">
      <c r="D24" s="1"/>
    </row>
    <row r="25" spans="2:13" x14ac:dyDescent="0.3">
      <c r="D25" s="1"/>
    </row>
    <row r="26" spans="2:13" x14ac:dyDescent="0.3">
      <c r="D26" s="1"/>
    </row>
    <row r="27" spans="2:13" x14ac:dyDescent="0.3">
      <c r="D27" s="1"/>
    </row>
    <row r="28" spans="2:13" x14ac:dyDescent="0.3">
      <c r="D28" s="1"/>
    </row>
    <row r="29" spans="2:13" x14ac:dyDescent="0.3">
      <c r="D29" s="1"/>
    </row>
    <row r="30" spans="2:13" x14ac:dyDescent="0.3">
      <c r="D30" s="1"/>
    </row>
    <row r="31" spans="2:13" x14ac:dyDescent="0.3">
      <c r="D31" s="1"/>
    </row>
    <row r="32" spans="2:13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WASSPerformance</vt:lpstr>
      <vt:lpstr>01</vt:lpstr>
      <vt:lpstr>02</vt:lpstr>
      <vt:lpstr>03</vt:lpstr>
      <vt:lpstr>04</vt:lpstr>
      <vt:lpstr>05</vt:lpstr>
      <vt:lpstr>06</vt:lpstr>
      <vt:lpstr>07</vt:lpstr>
      <vt:lpstr>SEMESTRAL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2018-10-02T03:26:26Z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