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s\Desktop\"/>
    </mc:Choice>
  </mc:AlternateContent>
  <xr:revisionPtr revIDLastSave="0" documentId="8_{B708DBD9-A362-4BF9-A822-F9B51637BEB6}" xr6:coauthVersionLast="40" xr6:coauthVersionMax="40" xr10:uidLastSave="{00000000-0000-0000-0000-000000000000}"/>
  <bookViews>
    <workbookView xWindow="0" yWindow="0" windowWidth="19140" windowHeight="7935" activeTab="2" xr2:uid="{BD2801E3-9A68-471B-A7B3-D813DA9C4E0B}"/>
  </bookViews>
  <sheets>
    <sheet name="Criteria" sheetId="2" r:id="rId1"/>
    <sheet name="Finance Review" sheetId="1" r:id="rId2"/>
    <sheet name="Dashboard" sheetId="22" r:id="rId3"/>
    <sheet name="Acc. Schedu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F27" i="1"/>
  <c r="F28" i="1"/>
  <c r="F29" i="1"/>
  <c r="F30" i="1"/>
  <c r="F31" i="1"/>
  <c r="F32" i="1"/>
  <c r="F33" i="1"/>
  <c r="F34" i="1"/>
  <c r="F35" i="1"/>
  <c r="F36" i="1"/>
  <c r="F26" i="1"/>
  <c r="F22" i="1"/>
  <c r="F21" i="1"/>
  <c r="F20" i="1"/>
  <c r="F19" i="1"/>
  <c r="F15" i="1"/>
  <c r="F14" i="1"/>
  <c r="F13" i="1"/>
  <c r="Z17" i="22"/>
  <c r="Z18" i="22"/>
  <c r="Z21" i="22"/>
  <c r="Z11" i="22"/>
  <c r="Z12" i="22"/>
  <c r="Z13" i="22"/>
  <c r="Z14" i="22"/>
  <c r="Z15" i="22"/>
  <c r="Z16" i="22"/>
  <c r="Z19" i="22"/>
  <c r="Z10" i="22"/>
  <c r="Y11" i="22" l="1"/>
  <c r="Y12" i="22"/>
  <c r="Y13" i="22"/>
  <c r="Y14" i="22"/>
  <c r="Y15" i="22"/>
  <c r="Y16" i="22"/>
  <c r="Y17" i="22"/>
  <c r="Y18" i="22"/>
  <c r="Y19" i="22"/>
  <c r="Y10" i="22"/>
  <c r="W11" i="22"/>
  <c r="W12" i="22"/>
  <c r="W13" i="22"/>
  <c r="W14" i="22"/>
  <c r="W15" i="22"/>
  <c r="W16" i="22"/>
  <c r="W17" i="22"/>
  <c r="W18" i="22"/>
  <c r="W19" i="22"/>
  <c r="W10" i="22"/>
  <c r="U11" i="22"/>
  <c r="U12" i="22"/>
  <c r="U13" i="22"/>
  <c r="U14" i="22"/>
  <c r="U15" i="22"/>
  <c r="U16" i="22"/>
  <c r="U17" i="22"/>
  <c r="U18" i="22"/>
  <c r="U19" i="22"/>
  <c r="U10" i="22"/>
  <c r="B3" i="3" l="1"/>
  <c r="B4" i="3"/>
  <c r="B9" i="3"/>
  <c r="C11" i="3"/>
  <c r="B13" i="3"/>
  <c r="C13" i="3" s="1"/>
  <c r="C15" i="3"/>
  <c r="B17" i="3"/>
  <c r="C17" i="3" s="1"/>
  <c r="C19" i="3"/>
  <c r="C21" i="3"/>
  <c r="B23" i="3"/>
  <c r="C23" i="3" s="1"/>
  <c r="C25" i="3"/>
  <c r="B27" i="3"/>
  <c r="C27" i="3" s="1"/>
  <c r="C29" i="3"/>
  <c r="B31" i="3"/>
  <c r="C31" i="3" s="1"/>
  <c r="C33" i="3"/>
  <c r="B35" i="3"/>
  <c r="C35" i="3" s="1"/>
  <c r="C37" i="3"/>
  <c r="B39" i="3"/>
  <c r="C41" i="3"/>
  <c r="B43" i="3"/>
  <c r="C43" i="3" s="1"/>
  <c r="C45" i="3"/>
  <c r="B47" i="3"/>
  <c r="C47" i="3" s="1"/>
  <c r="C49" i="3"/>
  <c r="B51" i="3"/>
  <c r="C51" i="3" s="1"/>
  <c r="C53" i="3"/>
  <c r="B55" i="3"/>
  <c r="C55" i="3" s="1"/>
  <c r="C57" i="3"/>
  <c r="B59" i="3"/>
  <c r="C59" i="3" s="1"/>
  <c r="C61" i="3"/>
  <c r="C63" i="3"/>
  <c r="C65" i="3"/>
  <c r="T10" i="22"/>
  <c r="T11" i="22"/>
  <c r="T12" i="22"/>
  <c r="T13" i="22"/>
  <c r="T14" i="22"/>
  <c r="T15" i="22"/>
  <c r="T16" i="22"/>
  <c r="T17" i="22"/>
  <c r="T18" i="22"/>
  <c r="T19" i="22"/>
  <c r="C4" i="1"/>
  <c r="D13" i="1" s="1"/>
  <c r="C5" i="1"/>
  <c r="C4" i="3" s="1"/>
  <c r="C13" i="1"/>
  <c r="D14" i="1"/>
  <c r="D19" i="1"/>
  <c r="D26" i="1"/>
  <c r="C27" i="1"/>
  <c r="D28" i="1"/>
  <c r="C29" i="1"/>
  <c r="D30" i="1"/>
  <c r="C31" i="1"/>
  <c r="C33" i="1"/>
  <c r="D33" i="1"/>
  <c r="E33" i="1" s="1"/>
  <c r="C34" i="1"/>
  <c r="D34" i="1"/>
  <c r="E34" i="1" s="1"/>
  <c r="C35" i="1"/>
  <c r="D35" i="1"/>
  <c r="E35" i="1" s="1"/>
  <c r="C40" i="1"/>
  <c r="D4" i="2"/>
  <c r="D5" i="2"/>
  <c r="D6" i="2"/>
  <c r="E6" i="2"/>
  <c r="D7" i="2"/>
  <c r="E7" i="2"/>
  <c r="D9" i="2"/>
  <c r="D11" i="2"/>
  <c r="E11" i="2"/>
  <c r="D12" i="2"/>
  <c r="D13" i="2"/>
  <c r="D14" i="2"/>
  <c r="D15" i="2"/>
  <c r="D8" i="2"/>
  <c r="C10" i="1" l="1"/>
  <c r="D32" i="1"/>
  <c r="D21" i="1"/>
  <c r="H13" i="3"/>
  <c r="H15" i="3" s="1"/>
  <c r="C32" i="1"/>
  <c r="C20" i="1"/>
  <c r="W21" i="22"/>
  <c r="C5" i="22"/>
  <c r="C4" i="22"/>
  <c r="E39" i="3"/>
  <c r="E41" i="3" s="1"/>
  <c r="H17" i="3"/>
  <c r="H19" i="3" s="1"/>
  <c r="C3" i="3"/>
  <c r="I51" i="3" s="1"/>
  <c r="I53" i="3" s="1"/>
  <c r="D15" i="1"/>
  <c r="H47" i="3"/>
  <c r="H49" i="3" s="1"/>
  <c r="D9" i="3"/>
  <c r="I59" i="3"/>
  <c r="I61" i="3" s="1"/>
  <c r="H55" i="3"/>
  <c r="H57" i="3" s="1"/>
  <c r="E43" i="3"/>
  <c r="E45" i="3" s="1"/>
  <c r="H59" i="3"/>
  <c r="H61" i="3" s="1"/>
  <c r="E47" i="3"/>
  <c r="E49" i="3" s="1"/>
  <c r="D43" i="3"/>
  <c r="C39" i="3"/>
  <c r="I31" i="3"/>
  <c r="I33" i="3" s="1"/>
  <c r="E17" i="3"/>
  <c r="E19" i="3" s="1"/>
  <c r="D13" i="3"/>
  <c r="C9" i="3"/>
  <c r="I39" i="3"/>
  <c r="I41" i="3" s="1"/>
  <c r="I9" i="3"/>
  <c r="I11" i="3" s="1"/>
  <c r="I13" i="3"/>
  <c r="I15" i="3" s="1"/>
  <c r="E59" i="3"/>
  <c r="E61" i="3" s="1"/>
  <c r="I43" i="3"/>
  <c r="I45" i="3" s="1"/>
  <c r="H39" i="3"/>
  <c r="H41" i="3" s="1"/>
  <c r="D59" i="3"/>
  <c r="I47" i="3"/>
  <c r="I49" i="3" s="1"/>
  <c r="E31" i="3"/>
  <c r="E33" i="3" s="1"/>
  <c r="I17" i="3"/>
  <c r="I19" i="3" s="1"/>
  <c r="U21" i="22"/>
  <c r="C30" i="1"/>
  <c r="E30" i="1" s="1"/>
  <c r="C28" i="1"/>
  <c r="E28" i="1" s="1"/>
  <c r="C26" i="1"/>
  <c r="C21" i="1"/>
  <c r="E21" i="1" s="1"/>
  <c r="C19" i="1"/>
  <c r="C14" i="1"/>
  <c r="E14" i="1" s="1"/>
  <c r="E13" i="1"/>
  <c r="D31" i="1"/>
  <c r="E31" i="1" s="1"/>
  <c r="D29" i="1"/>
  <c r="E29" i="1" s="1"/>
  <c r="D27" i="1"/>
  <c r="E27" i="1" s="1"/>
  <c r="D20" i="1"/>
  <c r="E20" i="1" s="1"/>
  <c r="I65" i="3" l="1"/>
  <c r="E9" i="3"/>
  <c r="E11" i="3" s="1"/>
  <c r="I27" i="3"/>
  <c r="I29" i="3" s="1"/>
  <c r="Y21" i="22"/>
  <c r="E13" i="3"/>
  <c r="E15" i="3" s="1"/>
  <c r="H43" i="3"/>
  <c r="H45" i="3" s="1"/>
  <c r="I35" i="3"/>
  <c r="I37" i="3" s="1"/>
  <c r="I55" i="3"/>
  <c r="I57" i="3" s="1"/>
  <c r="I21" i="3"/>
  <c r="I63" i="3"/>
  <c r="D27" i="3"/>
  <c r="H9" i="3"/>
  <c r="H11" i="3" s="1"/>
  <c r="H27" i="3"/>
  <c r="H29" i="3" s="1"/>
  <c r="D39" i="3"/>
  <c r="F39" i="3" s="1"/>
  <c r="G39" i="3" s="1"/>
  <c r="E32" i="1"/>
  <c r="E21" i="3"/>
  <c r="H51" i="3"/>
  <c r="H53" i="3" s="1"/>
  <c r="H21" i="3"/>
  <c r="D65" i="3"/>
  <c r="D47" i="3"/>
  <c r="D49" i="3" s="1"/>
  <c r="F49" i="3" s="1"/>
  <c r="G49" i="3" s="1"/>
  <c r="E65" i="3"/>
  <c r="E27" i="3"/>
  <c r="E29" i="3" s="1"/>
  <c r="H65" i="3"/>
  <c r="D17" i="3"/>
  <c r="D19" i="3" s="1"/>
  <c r="F19" i="3" s="1"/>
  <c r="G19" i="3" s="1"/>
  <c r="D23" i="3"/>
  <c r="D35" i="3"/>
  <c r="D63" i="3"/>
  <c r="F63" i="3" s="1"/>
  <c r="G63" i="3" s="1"/>
  <c r="E23" i="3"/>
  <c r="E25" i="3" s="1"/>
  <c r="E35" i="3"/>
  <c r="E37" i="3" s="1"/>
  <c r="D55" i="3"/>
  <c r="D57" i="3" s="1"/>
  <c r="E63" i="3"/>
  <c r="H23" i="3"/>
  <c r="H25" i="3" s="1"/>
  <c r="H35" i="3"/>
  <c r="H37" i="3" s="1"/>
  <c r="D51" i="3"/>
  <c r="E55" i="3"/>
  <c r="H63" i="3"/>
  <c r="D21" i="3"/>
  <c r="H31" i="3"/>
  <c r="H33" i="3" s="1"/>
  <c r="E51" i="3"/>
  <c r="E53" i="3" s="1"/>
  <c r="D31" i="3"/>
  <c r="D33" i="3" s="1"/>
  <c r="I23" i="3"/>
  <c r="I25" i="3" s="1"/>
  <c r="C6" i="3"/>
  <c r="C7" i="22"/>
  <c r="D29" i="3"/>
  <c r="F29" i="3" s="1"/>
  <c r="G29" i="3" s="1"/>
  <c r="F27" i="3"/>
  <c r="G27" i="3" s="1"/>
  <c r="F47" i="3"/>
  <c r="G47" i="3" s="1"/>
  <c r="D61" i="3"/>
  <c r="F61" i="3" s="1"/>
  <c r="G61" i="3" s="1"/>
  <c r="F59" i="3"/>
  <c r="G59" i="3" s="1"/>
  <c r="F43" i="3"/>
  <c r="G43" i="3" s="1"/>
  <c r="D45" i="3"/>
  <c r="F45" i="3" s="1"/>
  <c r="G45" i="3" s="1"/>
  <c r="F33" i="3"/>
  <c r="G33" i="3" s="1"/>
  <c r="F9" i="3"/>
  <c r="G9" i="3" s="1"/>
  <c r="D11" i="3"/>
  <c r="F11" i="3" s="1"/>
  <c r="G11" i="3" s="1"/>
  <c r="F13" i="3"/>
  <c r="G13" i="3" s="1"/>
  <c r="D15" i="3"/>
  <c r="F15" i="3" s="1"/>
  <c r="G15" i="3" s="1"/>
  <c r="F17" i="3"/>
  <c r="G17" i="3" s="1"/>
  <c r="D36" i="1"/>
  <c r="C15" i="1"/>
  <c r="E15" i="1" s="1"/>
  <c r="E19" i="1"/>
  <c r="C22" i="1"/>
  <c r="D22" i="1"/>
  <c r="C36" i="1"/>
  <c r="E26" i="1"/>
  <c r="F65" i="3" l="1"/>
  <c r="G65" i="3" s="1"/>
  <c r="D53" i="3"/>
  <c r="F53" i="3" s="1"/>
  <c r="G53" i="3" s="1"/>
  <c r="F51" i="3"/>
  <c r="G51" i="3" s="1"/>
  <c r="F35" i="3"/>
  <c r="G35" i="3" s="1"/>
  <c r="D37" i="3"/>
  <c r="F37" i="3" s="1"/>
  <c r="G37" i="3" s="1"/>
  <c r="D25" i="3"/>
  <c r="F25" i="3" s="1"/>
  <c r="G25" i="3" s="1"/>
  <c r="F23" i="3"/>
  <c r="G23" i="3" s="1"/>
  <c r="F55" i="3"/>
  <c r="G55" i="3" s="1"/>
  <c r="E57" i="3"/>
  <c r="F57" i="3" s="1"/>
  <c r="G57" i="3" s="1"/>
  <c r="F21" i="3"/>
  <c r="G21" i="3" s="1"/>
  <c r="E36" i="1"/>
  <c r="D41" i="3"/>
  <c r="F41" i="3" s="1"/>
  <c r="G41" i="3" s="1"/>
  <c r="D38" i="1"/>
  <c r="F31" i="3"/>
  <c r="G31" i="3" s="1"/>
  <c r="C38" i="1"/>
  <c r="E38" i="1" s="1"/>
  <c r="E22" i="1"/>
</calcChain>
</file>

<file path=xl/sharedStrings.xml><?xml version="1.0" encoding="utf-8"?>
<sst xmlns="http://schemas.openxmlformats.org/spreadsheetml/2006/main" count="100" uniqueCount="67">
  <si>
    <t>Quarterly Finance Review</t>
  </si>
  <si>
    <t>Project Code</t>
  </si>
  <si>
    <t>Project Code:</t>
  </si>
  <si>
    <t>Senior Finance Officer:</t>
  </si>
  <si>
    <t>Project/Service  Name:</t>
  </si>
  <si>
    <t>Date Range:</t>
  </si>
  <si>
    <t>Title</t>
  </si>
  <si>
    <t>Value</t>
  </si>
  <si>
    <t>Lookup</t>
  </si>
  <si>
    <t>Options:</t>
  </si>
  <si>
    <t>Option</t>
  </si>
  <si>
    <t>Beg of FY</t>
  </si>
  <si>
    <t>Period End</t>
  </si>
  <si>
    <t>Range:</t>
  </si>
  <si>
    <t>Budget LY:</t>
  </si>
  <si>
    <t>Beg of LY</t>
  </si>
  <si>
    <t>LY Period Beg</t>
  </si>
  <si>
    <t>LY Period End</t>
  </si>
  <si>
    <t>F18BUDV1</t>
  </si>
  <si>
    <t>Budget Holder:</t>
  </si>
  <si>
    <t>Total Income</t>
  </si>
  <si>
    <t>Total Expenditure</t>
  </si>
  <si>
    <t>Actual</t>
  </si>
  <si>
    <t>Budget</t>
  </si>
  <si>
    <t>Variance</t>
  </si>
  <si>
    <t>%</t>
  </si>
  <si>
    <t>Surplus/(Deficit)</t>
  </si>
  <si>
    <t>Tooltip+Hide</t>
  </si>
  <si>
    <t>Period Start</t>
  </si>
  <si>
    <t>fit</t>
  </si>
  <si>
    <t>Income</t>
  </si>
  <si>
    <t>Expenditure</t>
  </si>
  <si>
    <t>Employment Costs</t>
  </si>
  <si>
    <t>Staff Training</t>
  </si>
  <si>
    <t>Direct Project Costs</t>
  </si>
  <si>
    <t>Maintenance</t>
  </si>
  <si>
    <t>Travel &amp; Subsistence</t>
  </si>
  <si>
    <t>Vehicle Costs</t>
  </si>
  <si>
    <t>Consultancy &amp; Fees</t>
  </si>
  <si>
    <t>Statutory Income</t>
  </si>
  <si>
    <t>Voluntary Income</t>
  </si>
  <si>
    <t>Earned Income</t>
  </si>
  <si>
    <t>Surplus/Deficit</t>
  </si>
  <si>
    <t>Reserves b/fwd</t>
  </si>
  <si>
    <t>501030..501040</t>
  </si>
  <si>
    <t xml:space="preserve">Overheads </t>
  </si>
  <si>
    <t>Other HO/Governance Costs</t>
  </si>
  <si>
    <t>Other Comments</t>
  </si>
  <si>
    <t>No.</t>
  </si>
  <si>
    <t>Name</t>
  </si>
  <si>
    <t>Actual YTD</t>
  </si>
  <si>
    <t>Budget YTD</t>
  </si>
  <si>
    <t>Full Year Budget</t>
  </si>
  <si>
    <t>Prior Year Actual</t>
  </si>
  <si>
    <t>LY End of FY</t>
  </si>
  <si>
    <t>End of FY</t>
  </si>
  <si>
    <t>Account Schedudle</t>
  </si>
  <si>
    <t>Management Fee</t>
  </si>
  <si>
    <t>Financial Dashboard</t>
  </si>
  <si>
    <t>Hide</t>
  </si>
  <si>
    <t>SFO Comment</t>
  </si>
  <si>
    <t>Budget Holder Comment</t>
  </si>
  <si>
    <t>Can be entered with:
A single code (eg ALB01) 
A range of codes (eg ALB01..ALB06)
Or specific codes consolidated together (eg ALB01|ALB04)</t>
  </si>
  <si>
    <t>Auto+Hide+Lock+Hidesheet</t>
  </si>
  <si>
    <t>auto+hide+values</t>
  </si>
  <si>
    <t>Auto+Hide+Values</t>
  </si>
  <si>
    <t>Auto+Hide+values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</si>
</sst>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0%;[Red]\-0%"/>
    <numFmt numFmtId="165" formatCode="#,##0_ ;[Red]\-#,##0\ "/>
    <numFmt numFmtId="166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entury Gothic"/>
      <family val="2"/>
    </font>
    <font>
      <sz val="10"/>
      <color rgb="FFFF0000"/>
      <name val="Segoe UI"/>
      <family val="2"/>
    </font>
    <font>
      <sz val="10"/>
      <name val="Segoe UI"/>
      <family val="2"/>
    </font>
    <font>
      <b/>
      <sz val="11"/>
      <color theme="1"/>
      <name val="Century Gothic"/>
      <family val="2"/>
    </font>
    <font>
      <b/>
      <sz val="14"/>
      <color theme="1"/>
      <name val="Century Gothic"/>
      <family val="2"/>
    </font>
    <font>
      <b/>
      <u/>
      <sz val="11"/>
      <color theme="1"/>
      <name val="Century Gothic"/>
      <family val="2"/>
    </font>
    <font>
      <b/>
      <u/>
      <sz val="28"/>
      <color theme="1"/>
      <name val="Century Gothic"/>
      <family val="2"/>
    </font>
    <font>
      <sz val="28"/>
      <color theme="1"/>
      <name val="Century Gothic"/>
      <family val="2"/>
    </font>
    <font>
      <b/>
      <sz val="28"/>
      <color theme="1"/>
      <name val="Century Gothic"/>
      <family val="2"/>
    </font>
    <font>
      <sz val="28"/>
      <color theme="1"/>
      <name val="Calibri"/>
      <family val="2"/>
      <scheme val="minor"/>
    </font>
    <font>
      <b/>
      <i/>
      <sz val="11"/>
      <color theme="1"/>
      <name val="Century Gothic"/>
      <family val="2"/>
    </font>
    <font>
      <i/>
      <sz val="11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4" borderId="1" xfId="0" applyFont="1" applyFill="1" applyBorder="1" applyAlignment="1" applyProtection="1">
      <alignment vertical="center"/>
      <protection locked="0"/>
    </xf>
    <xf numFmtId="14" fontId="4" fillId="4" borderId="1" xfId="0" applyNumberFormat="1" applyFont="1" applyFill="1" applyBorder="1" applyAlignment="1" applyProtection="1">
      <alignment vertical="center"/>
      <protection locked="0"/>
    </xf>
    <xf numFmtId="0" fontId="5" fillId="3" borderId="1" xfId="0" applyFont="1" applyFill="1" applyBorder="1" applyAlignment="1">
      <alignment vertical="center"/>
    </xf>
    <xf numFmtId="14" fontId="2" fillId="3" borderId="1" xfId="0" applyNumberFormat="1" applyFont="1" applyFill="1" applyBorder="1" applyAlignment="1" applyProtection="1">
      <alignment vertical="center"/>
      <protection locked="0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wrapText="1"/>
    </xf>
    <xf numFmtId="0" fontId="8" fillId="0" borderId="0" xfId="0" applyFont="1" applyAlignment="1">
      <alignment wrapText="1"/>
    </xf>
    <xf numFmtId="41" fontId="3" fillId="0" borderId="0" xfId="0" applyNumberFormat="1" applyFont="1"/>
    <xf numFmtId="41" fontId="6" fillId="0" borderId="0" xfId="0" applyNumberFormat="1" applyFont="1"/>
    <xf numFmtId="41" fontId="8" fillId="0" borderId="0" xfId="0" applyNumberFormat="1" applyFont="1"/>
    <xf numFmtId="41" fontId="3" fillId="0" borderId="0" xfId="1" applyNumberFormat="1" applyFont="1"/>
    <xf numFmtId="41" fontId="3" fillId="0" borderId="2" xfId="1" applyNumberFormat="1" applyFont="1" applyBorder="1"/>
    <xf numFmtId="41" fontId="3" fillId="0" borderId="3" xfId="0" applyNumberFormat="1" applyFont="1" applyBorder="1"/>
    <xf numFmtId="0" fontId="3" fillId="0" borderId="0" xfId="0" applyFont="1" applyAlignment="1"/>
    <xf numFmtId="0" fontId="6" fillId="0" borderId="0" xfId="0" applyFont="1" applyAlignment="1">
      <alignment wrapText="1"/>
    </xf>
    <xf numFmtId="0" fontId="2" fillId="3" borderId="4" xfId="0" applyFont="1" applyFill="1" applyBorder="1" applyAlignment="1">
      <alignment vertical="center"/>
    </xf>
    <xf numFmtId="164" fontId="3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165" fontId="3" fillId="0" borderId="0" xfId="1" applyNumberFormat="1" applyFont="1"/>
    <xf numFmtId="165" fontId="3" fillId="0" borderId="2" xfId="1" applyNumberFormat="1" applyFont="1" applyBorder="1"/>
    <xf numFmtId="165" fontId="3" fillId="0" borderId="0" xfId="0" applyNumberFormat="1" applyFont="1"/>
    <xf numFmtId="0" fontId="6" fillId="5" borderId="0" xfId="0" applyFont="1" applyFill="1" applyAlignment="1">
      <alignment wrapText="1"/>
    </xf>
    <xf numFmtId="41" fontId="3" fillId="5" borderId="0" xfId="0" applyNumberFormat="1" applyFont="1" applyFill="1"/>
    <xf numFmtId="164" fontId="0" fillId="0" borderId="0" xfId="0" applyNumberFormat="1"/>
    <xf numFmtId="165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Fill="1"/>
    <xf numFmtId="166" fontId="10" fillId="0" borderId="0" xfId="1" applyNumberFormat="1" applyFont="1"/>
    <xf numFmtId="165" fontId="10" fillId="0" borderId="0" xfId="1" applyNumberFormat="1" applyFont="1"/>
    <xf numFmtId="164" fontId="10" fillId="0" borderId="0" xfId="2" applyNumberFormat="1" applyFont="1"/>
    <xf numFmtId="0" fontId="10" fillId="0" borderId="0" xfId="0" applyFont="1"/>
    <xf numFmtId="165" fontId="10" fillId="0" borderId="0" xfId="0" applyNumberFormat="1" applyFont="1"/>
    <xf numFmtId="166" fontId="11" fillId="0" borderId="2" xfId="1" applyNumberFormat="1" applyFont="1" applyBorder="1"/>
    <xf numFmtId="0" fontId="12" fillId="0" borderId="0" xfId="0" applyFont="1"/>
    <xf numFmtId="165" fontId="12" fillId="0" borderId="0" xfId="0" applyNumberFormat="1" applyFont="1"/>
    <xf numFmtId="164" fontId="12" fillId="0" borderId="0" xfId="0" applyNumberFormat="1" applyFont="1"/>
    <xf numFmtId="0" fontId="11" fillId="0" borderId="0" xfId="0" applyFont="1"/>
    <xf numFmtId="41" fontId="11" fillId="0" borderId="0" xfId="0" applyNumberFormat="1" applyFont="1"/>
    <xf numFmtId="14" fontId="0" fillId="0" borderId="0" xfId="0" applyNumberFormat="1"/>
    <xf numFmtId="0" fontId="13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4" fillId="0" borderId="0" xfId="0" applyFont="1"/>
    <xf numFmtId="41" fontId="14" fillId="0" borderId="13" xfId="0" applyNumberFormat="1" applyFont="1" applyBorder="1"/>
    <xf numFmtId="41" fontId="14" fillId="5" borderId="0" xfId="0" applyNumberFormat="1" applyFont="1" applyFill="1"/>
    <xf numFmtId="164" fontId="14" fillId="0" borderId="0" xfId="0" applyNumberFormat="1" applyFont="1"/>
    <xf numFmtId="41" fontId="6" fillId="0" borderId="14" xfId="0" applyNumberFormat="1" applyFont="1" applyBorder="1"/>
    <xf numFmtId="41" fontId="6" fillId="5" borderId="14" xfId="0" applyNumberFormat="1" applyFont="1" applyFill="1" applyBorder="1"/>
    <xf numFmtId="164" fontId="6" fillId="0" borderId="14" xfId="0" applyNumberFormat="1" applyFont="1" applyBorder="1"/>
    <xf numFmtId="41" fontId="6" fillId="5" borderId="0" xfId="0" applyNumberFormat="1" applyFont="1" applyFill="1"/>
    <xf numFmtId="41" fontId="6" fillId="0" borderId="15" xfId="0" applyNumberFormat="1" applyFont="1" applyBorder="1"/>
    <xf numFmtId="41" fontId="6" fillId="0" borderId="16" xfId="0" applyNumberFormat="1" applyFont="1" applyBorder="1"/>
    <xf numFmtId="41" fontId="6" fillId="5" borderId="16" xfId="0" applyNumberFormat="1" applyFont="1" applyFill="1" applyBorder="1"/>
    <xf numFmtId="164" fontId="6" fillId="0" borderId="16" xfId="0" applyNumberFormat="1" applyFont="1" applyBorder="1"/>
    <xf numFmtId="41" fontId="6" fillId="0" borderId="17" xfId="0" applyNumberFormat="1" applyFont="1" applyBorder="1"/>
    <xf numFmtId="0" fontId="2" fillId="0" borderId="0" xfId="0" applyFont="1" applyAlignment="1">
      <alignment vertical="center" wrapText="1"/>
    </xf>
    <xf numFmtId="164" fontId="3" fillId="0" borderId="0" xfId="2" applyNumberFormat="1" applyFont="1" applyAlignment="1">
      <alignment horizontal="left"/>
    </xf>
    <xf numFmtId="164" fontId="8" fillId="0" borderId="0" xfId="2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600"/>
              <a:t>Actual Total Expenditure - %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1C-4F9B-9224-EF4AB03C60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1C-4F9B-9224-EF4AB03C60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1C-4F9B-9224-EF4AB03C60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1C-4F9B-9224-EF4AB03C60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A1C-4F9B-9224-EF4AB03C60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A1C-4F9B-9224-EF4AB03C60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A1C-4F9B-9224-EF4AB03C60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A1C-4F9B-9224-EF4AB03C60E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A1C-4F9B-9224-EF4AB03C60E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A1C-4F9B-9224-EF4AB03C60E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A1C-4F9B-9224-EF4AB03C60EB}"/>
              </c:ext>
            </c:extLst>
          </c:dPt>
          <c:dLbls>
            <c:dLbl>
              <c:idx val="2"/>
              <c:layout>
                <c:manualLayout>
                  <c:x val="-3.7888844718769903E-3"/>
                  <c:y val="2.98638311236736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C-4F9B-9224-EF4AB03C60EB}"/>
                </c:ext>
              </c:extLst>
            </c:dLbl>
            <c:dLbl>
              <c:idx val="5"/>
              <c:layout>
                <c:manualLayout>
                  <c:x val="-7.524967028365785E-3"/>
                  <c:y val="-7.176615743544877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C-4F9B-9224-EF4AB03C60EB}"/>
                </c:ext>
              </c:extLst>
            </c:dLbl>
            <c:dLbl>
              <c:idx val="7"/>
              <c:layout>
                <c:manualLayout>
                  <c:x val="-5.2173992766218917E-2"/>
                  <c:y val="1.359749117442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C-4F9B-9224-EF4AB03C60EB}"/>
                </c:ext>
              </c:extLst>
            </c:dLbl>
            <c:dLbl>
              <c:idx val="8"/>
              <c:layout>
                <c:manualLayout>
                  <c:x val="7.6507096227814708E-2"/>
                  <c:y val="-3.288870942414249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C-4F9B-9224-EF4AB03C60EB}"/>
                </c:ext>
              </c:extLst>
            </c:dLbl>
            <c:numFmt formatCode="General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'Finance Review'!$B$26:$B$35</c:f>
              <c:strCache>
                <c:ptCount val="10"/>
                <c:pt idx="0">
                  <c:v>Employment Costs</c:v>
                </c:pt>
                <c:pt idx="1">
                  <c:v>Staff Training</c:v>
                </c:pt>
                <c:pt idx="2">
                  <c:v>Direct Project Costs</c:v>
                </c:pt>
                <c:pt idx="3">
                  <c:v>Maintenance</c:v>
                </c:pt>
                <c:pt idx="4">
                  <c:v>Travel &amp; Subsistence</c:v>
                </c:pt>
                <c:pt idx="5">
                  <c:v>Vehicle Costs</c:v>
                </c:pt>
                <c:pt idx="6">
                  <c:v>Overheads </c:v>
                </c:pt>
                <c:pt idx="7">
                  <c:v>Consultancy &amp; Fees</c:v>
                </c:pt>
                <c:pt idx="8">
                  <c:v>Other HO/Governance Costs</c:v>
                </c:pt>
                <c:pt idx="9">
                  <c:v>Management Fee</c:v>
                </c:pt>
              </c:strCache>
            </c:strRef>
          </c:cat>
          <c:val>
            <c:numRef>
              <c:f>'Finance Review'!$C$26:$C$35</c:f>
              <c:numCache>
                <c:formatCode>_(* #,##0_);_(* \(#,##0\);_(* "-"_);_(@_)</c:formatCode>
                <c:ptCount val="10"/>
                <c:pt idx="0">
                  <c:v>295620.79000000004</c:v>
                </c:pt>
                <c:pt idx="1">
                  <c:v>5518.5300000000007</c:v>
                </c:pt>
                <c:pt idx="2">
                  <c:v>11097.15</c:v>
                </c:pt>
                <c:pt idx="3">
                  <c:v>10045.51</c:v>
                </c:pt>
                <c:pt idx="4">
                  <c:v>633.75</c:v>
                </c:pt>
                <c:pt idx="5">
                  <c:v>5893.9400000000005</c:v>
                </c:pt>
                <c:pt idx="6">
                  <c:v>19415.39</c:v>
                </c:pt>
                <c:pt idx="7">
                  <c:v>1899.66</c:v>
                </c:pt>
                <c:pt idx="8">
                  <c:v>0</c:v>
                </c:pt>
                <c:pt idx="9">
                  <c:v>25493.22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A1C-4F9B-9224-EF4AB03C60EB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plitType val="pos"/>
        <c:splitPos val="9"/>
        <c:secondPieSize val="100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600"/>
              <a:t>Other Costs (Exc. Employment Costs) Actual Vs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'Finance Review'!$C$12</c:f>
              <c:strCache>
                <c:ptCount val="1"/>
                <c:pt idx="0">
                  <c:v> Actual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'Finance Review'!$B$27:$B$35</c:f>
              <c:strCache>
                <c:ptCount val="9"/>
                <c:pt idx="0">
                  <c:v>Staff Training</c:v>
                </c:pt>
                <c:pt idx="1">
                  <c:v>Direct Project Costs</c:v>
                </c:pt>
                <c:pt idx="2">
                  <c:v>Maintenance</c:v>
                </c:pt>
                <c:pt idx="3">
                  <c:v>Travel &amp; Subsistence</c:v>
                </c:pt>
                <c:pt idx="4">
                  <c:v>Vehicle Costs</c:v>
                </c:pt>
                <c:pt idx="5">
                  <c:v>Overheads </c:v>
                </c:pt>
                <c:pt idx="6">
                  <c:v>Consultancy &amp; Fees</c:v>
                </c:pt>
                <c:pt idx="7">
                  <c:v>Other HO/Governance Costs</c:v>
                </c:pt>
                <c:pt idx="8">
                  <c:v>Management Fee</c:v>
                </c:pt>
              </c:strCache>
            </c:strRef>
          </c:cat>
          <c:val>
            <c:numRef>
              <c:f>'Finance Review'!$C$27:$C$35</c:f>
              <c:numCache>
                <c:formatCode>_(* #,##0_);_(* \(#,##0\);_(* "-"_);_(@_)</c:formatCode>
                <c:ptCount val="9"/>
                <c:pt idx="0">
                  <c:v>5518.5300000000007</c:v>
                </c:pt>
                <c:pt idx="1">
                  <c:v>11097.15</c:v>
                </c:pt>
                <c:pt idx="2">
                  <c:v>10045.51</c:v>
                </c:pt>
                <c:pt idx="3">
                  <c:v>633.75</c:v>
                </c:pt>
                <c:pt idx="4">
                  <c:v>5893.9400000000005</c:v>
                </c:pt>
                <c:pt idx="5">
                  <c:v>19415.39</c:v>
                </c:pt>
                <c:pt idx="6">
                  <c:v>1899.66</c:v>
                </c:pt>
                <c:pt idx="7">
                  <c:v>0</c:v>
                </c:pt>
                <c:pt idx="8">
                  <c:v>25493.22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0-4E63-B928-F10E99E05C32}"/>
            </c:ext>
          </c:extLst>
        </c:ser>
        <c:ser>
          <c:idx val="1"/>
          <c:order val="1"/>
          <c:tx>
            <c:strRef>
              <c:f>'Finance Review'!$D$12</c:f>
              <c:strCache>
                <c:ptCount val="1"/>
                <c:pt idx="0">
                  <c:v> Budget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'Finance Review'!$B$27:$B$35</c:f>
              <c:strCache>
                <c:ptCount val="9"/>
                <c:pt idx="0">
                  <c:v>Staff Training</c:v>
                </c:pt>
                <c:pt idx="1">
                  <c:v>Direct Project Costs</c:v>
                </c:pt>
                <c:pt idx="2">
                  <c:v>Maintenance</c:v>
                </c:pt>
                <c:pt idx="3">
                  <c:v>Travel &amp; Subsistence</c:v>
                </c:pt>
                <c:pt idx="4">
                  <c:v>Vehicle Costs</c:v>
                </c:pt>
                <c:pt idx="5">
                  <c:v>Overheads </c:v>
                </c:pt>
                <c:pt idx="6">
                  <c:v>Consultancy &amp; Fees</c:v>
                </c:pt>
                <c:pt idx="7">
                  <c:v>Other HO/Governance Costs</c:v>
                </c:pt>
                <c:pt idx="8">
                  <c:v>Management Fee</c:v>
                </c:pt>
              </c:strCache>
            </c:strRef>
          </c:cat>
          <c:val>
            <c:numRef>
              <c:f>'Finance Review'!$D$27:$D$35</c:f>
              <c:numCache>
                <c:formatCode>_(* #,##0_);_(* \(#,##0\);_(* "-"_);_(@_)</c:formatCode>
                <c:ptCount val="9"/>
                <c:pt idx="0">
                  <c:v>5517</c:v>
                </c:pt>
                <c:pt idx="1">
                  <c:v>12501</c:v>
                </c:pt>
                <c:pt idx="2">
                  <c:v>9936</c:v>
                </c:pt>
                <c:pt idx="3">
                  <c:v>1098</c:v>
                </c:pt>
                <c:pt idx="4">
                  <c:v>5481</c:v>
                </c:pt>
                <c:pt idx="5">
                  <c:v>22779</c:v>
                </c:pt>
                <c:pt idx="6">
                  <c:v>891</c:v>
                </c:pt>
                <c:pt idx="7">
                  <c:v>0</c:v>
                </c:pt>
                <c:pt idx="8">
                  <c:v>25488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0-4E63-B928-F10E99E05C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177608"/>
        <c:axId val="794173016"/>
      </c:barChart>
      <c:catAx>
        <c:axId val="79417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73016"/>
        <c:crosses val="autoZero"/>
        <c:auto val="1"/>
        <c:lblAlgn val="ctr"/>
        <c:lblOffset val="100"/>
        <c:noMultiLvlLbl val="0"/>
      </c:catAx>
      <c:valAx>
        <c:axId val="79417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7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600"/>
              <a:t>Income Actual Vs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23247336949787"/>
          <c:y val="0.11522424277999956"/>
          <c:w val="0.8085732681521357"/>
          <c:h val="0.77509569642826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'Finance Review'!$C$12</c:f>
              <c:strCache>
                <c:ptCount val="1"/>
                <c:pt idx="0">
                  <c:v> Actual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'Finance Review'!$B$19:$B$21</c:f>
              <c:strCache>
                <c:ptCount val="3"/>
                <c:pt idx="0">
                  <c:v>Statutory Income</c:v>
                </c:pt>
                <c:pt idx="1">
                  <c:v>Voluntary Income</c:v>
                </c:pt>
                <c:pt idx="2">
                  <c:v>Earned Income</c:v>
                </c:pt>
              </c:strCache>
            </c:strRef>
          </c:cat>
          <c:val>
            <c:numRef>
              <c:f>'Finance Review'!$C$19:$C$21</c:f>
              <c:numCache>
                <c:formatCode>_(* #,##0_);_(* \(#,##0\);_(* "-"_);_(@_)</c:formatCode>
                <c:ptCount val="3"/>
                <c:pt idx="0">
                  <c:v>335307.96000000002</c:v>
                </c:pt>
                <c:pt idx="1">
                  <c:v>0</c:v>
                </c:pt>
                <c:pt idx="2">
                  <c:v>47557.86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5-449F-8986-EE79EE4CBCC3}"/>
            </c:ext>
          </c:extLst>
        </c:ser>
        <c:ser>
          <c:idx val="1"/>
          <c:order val="1"/>
          <c:tx>
            <c:strRef>
              <c:f>'Finance Review'!$D$12</c:f>
              <c:strCache>
                <c:ptCount val="1"/>
                <c:pt idx="0">
                  <c:v> Budget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'Finance Review'!$B$19:$B$21</c:f>
              <c:strCache>
                <c:ptCount val="3"/>
                <c:pt idx="0">
                  <c:v>Statutory Income</c:v>
                </c:pt>
                <c:pt idx="1">
                  <c:v>Voluntary Income</c:v>
                </c:pt>
                <c:pt idx="2">
                  <c:v>Earned Income</c:v>
                </c:pt>
              </c:strCache>
            </c:strRef>
          </c:cat>
          <c:val>
            <c:numRef>
              <c:f>'Finance Review'!$D$19:$D$21</c:f>
              <c:numCache>
                <c:formatCode>_(* #,##0_);_(* \(#,##0\);_(* "-"_);_(@_)</c:formatCode>
                <c:ptCount val="3"/>
                <c:pt idx="0">
                  <c:v>334206</c:v>
                </c:pt>
                <c:pt idx="1">
                  <c:v>0</c:v>
                </c:pt>
                <c:pt idx="2">
                  <c:v>30456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5-449F-8986-EE79EE4CBC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1280638904"/>
        <c:axId val="1280641528"/>
      </c:barChart>
      <c:catAx>
        <c:axId val="128063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41528"/>
        <c:crosses val="autoZero"/>
        <c:auto val="1"/>
        <c:lblAlgn val="ctr"/>
        <c:lblOffset val="100"/>
        <c:noMultiLvlLbl val="0"/>
      </c:catAx>
      <c:valAx>
        <c:axId val="12806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3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8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jpe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895350</xdr:colOff>
      <xdr:row>0</xdr:row>
      <xdr:rowOff>114300</xdr:rowOff>
    </xdr:from>
    <xdr:to>
      <xdr:col>7</xdr:col>
      <xdr:colOff>3261956</xdr:colOff>
      <xdr:row>5</xdr:row>
      <xdr:rowOff>44958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A1FB9E-CCF5-41F3-A5B3-8F6A8039B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150" y="114300"/>
          <a:ext cx="2366606" cy="10355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27214</xdr:colOff>
      <xdr:row>8</xdr:row>
      <xdr:rowOff>19049</xdr:rowOff>
    </xdr:from>
    <xdr:to>
      <xdr:col>16</xdr:col>
      <xdr:colOff>4159250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6A5F5-66AA-41E5-B8F1-FAD0D30A2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1087952</xdr:colOff>
      <xdr:row>1</xdr:row>
      <xdr:rowOff>314449</xdr:rowOff>
    </xdr:from>
    <xdr:to>
      <xdr:col>25</xdr:col>
      <xdr:colOff>766341</xdr:colOff>
      <xdr:row>5</xdr:row>
      <xdr:rowOff>196849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815269-0066-4A0A-A0A0-4783D43F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13577" y="520824"/>
          <a:ext cx="3924952" cy="1692150"/>
        </a:xfrm>
        <a:prstGeom prst="rect">
          <a:avLst/>
        </a:prstGeom>
      </xdr:spPr>
    </xdr:pic>
    <xdr:clientData/>
  </xdr:twoCellAnchor>
  <xdr:twoCellAnchor>
    <xdr:from>
      <xdr:col>0</xdr:col>
      <xdr:colOff>587373</xdr:colOff>
      <xdr:row>42</xdr:row>
      <xdr:rowOff>188233</xdr:rowOff>
    </xdr:from>
    <xdr:to>
      <xdr:col>19</xdr:col>
      <xdr:colOff>158750</xdr:colOff>
      <xdr:row>95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1A8CE0-AFA3-4B39-8A20-1A16B2902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762000</xdr:colOff>
      <xdr:row>42</xdr:row>
      <xdr:rowOff>176492</xdr:rowOff>
    </xdr:from>
    <xdr:to>
      <xdr:col>25</xdr:col>
      <xdr:colOff>238124</xdr:colOff>
      <xdr:row>95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E0B60E-7981-4AA6-AB0C-ED866BB6F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695325</xdr:colOff>
      <xdr:row>1</xdr:row>
      <xdr:rowOff>66675</xdr:rowOff>
    </xdr:from>
    <xdr:to>
      <xdr:col>9</xdr:col>
      <xdr:colOff>4406</xdr:colOff>
      <xdr:row>5</xdr:row>
      <xdr:rowOff>88983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2F6855F-4EAD-46A4-A515-A90098903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76225"/>
          <a:ext cx="1966556" cy="860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F2FC-9CEE-4A28-A04F-13F92582FEA6}">
  <dimension ref="A1:F15"/>
  <sheetViews>
    <sheetView workbookViewId="0">
      <selection activeCell="D11" sqref="D11"/>
    </sheetView>
  </sheetViews>
  <sheetFormatPr defaultRowHeight="15" x14ac:dyDescent="0.25"/>
  <cols>
    <col min="1" max="1" width="9.140625" customWidth="1"/>
    <col min="2" max="2" width="14.42578125" customWidth="1"/>
    <col min="3" max="3" width="21.28515625" customWidth="1"/>
    <col min="4" max="4" width="21" bestFit="1" customWidth="1"/>
    <col min="6" max="6" width="50.7109375" customWidth="1"/>
  </cols>
  <sheetData>
    <row r="1" spans="1:6" x14ac:dyDescent="0.25">
      <c r="A1" s="2" t="s">
        <v>63</v>
      </c>
      <c r="B1" s="2"/>
      <c r="C1" s="2" t="s">
        <v>6</v>
      </c>
      <c r="D1" s="2" t="s">
        <v>7</v>
      </c>
      <c r="E1" s="2" t="s">
        <v>8</v>
      </c>
      <c r="F1" s="2" t="s">
        <v>27</v>
      </c>
    </row>
    <row r="2" spans="1:6" x14ac:dyDescent="0.25">
      <c r="A2" s="2"/>
      <c r="B2" s="3"/>
      <c r="C2" s="3"/>
      <c r="D2" s="3"/>
      <c r="E2" s="3"/>
      <c r="F2" s="3"/>
    </row>
    <row r="3" spans="1:6" x14ac:dyDescent="0.25">
      <c r="A3" s="2"/>
      <c r="B3" s="3"/>
      <c r="C3" s="3" t="s">
        <v>9</v>
      </c>
      <c r="D3" s="3"/>
      <c r="E3" s="3"/>
      <c r="F3" s="3"/>
    </row>
    <row r="4" spans="1:6" x14ac:dyDescent="0.25">
      <c r="A4" s="2"/>
      <c r="B4" s="3"/>
      <c r="C4" s="4" t="s">
        <v>11</v>
      </c>
      <c r="D4" s="6" t="str">
        <f>"01/04/2018"</f>
        <v>01/04/2018</v>
      </c>
      <c r="E4" s="3"/>
      <c r="F4" s="3"/>
    </row>
    <row r="5" spans="1:6" x14ac:dyDescent="0.25">
      <c r="A5" s="2"/>
      <c r="B5" s="3"/>
      <c r="C5" s="4" t="s">
        <v>55</v>
      </c>
      <c r="D5" s="6" t="str">
        <f>"31/03/2019"</f>
        <v>31/03/2019</v>
      </c>
      <c r="E5" s="3"/>
      <c r="F5" s="3"/>
    </row>
    <row r="6" spans="1:6" x14ac:dyDescent="0.25">
      <c r="A6" s="2" t="s">
        <v>10</v>
      </c>
      <c r="B6" s="3"/>
      <c r="C6" s="4" t="s">
        <v>28</v>
      </c>
      <c r="D6" s="6" t="str">
        <f>"01/04/2018"</f>
        <v>01/04/2018</v>
      </c>
      <c r="E6" s="3" t="str">
        <f>_xll.NL("Lookup","G/L Entry","Posting Date")</f>
        <v>Lookup</v>
      </c>
      <c r="F6" s="3"/>
    </row>
    <row r="7" spans="1:6" x14ac:dyDescent="0.25">
      <c r="A7" s="2" t="s">
        <v>10</v>
      </c>
      <c r="B7" s="3"/>
      <c r="C7" s="4" t="s">
        <v>12</v>
      </c>
      <c r="D7" s="6" t="str">
        <f>"31/12/2018"</f>
        <v>31/12/2018</v>
      </c>
      <c r="E7" s="3" t="str">
        <f>_xll.NL("Lookup","G/L Entry","Posting Date")</f>
        <v>Lookup</v>
      </c>
      <c r="F7" s="3"/>
    </row>
    <row r="8" spans="1:6" x14ac:dyDescent="0.25">
      <c r="A8" s="2"/>
      <c r="B8" s="3"/>
      <c r="C8" s="4" t="s">
        <v>13</v>
      </c>
      <c r="D8" s="7" t="str">
        <f>_xll.NP("DateFilter",$D$6,$D$7)</f>
        <v>01/04/2018..31/12/2018</v>
      </c>
      <c r="E8" s="3"/>
      <c r="F8" s="3"/>
    </row>
    <row r="9" spans="1:6" x14ac:dyDescent="0.25">
      <c r="A9" s="2"/>
      <c r="B9" s="3"/>
      <c r="C9" s="4" t="s">
        <v>23</v>
      </c>
      <c r="D9" s="5" t="str">
        <f>"F19BUDV1"</f>
        <v>F19BUDV1</v>
      </c>
      <c r="E9" s="3"/>
      <c r="F9" s="3"/>
    </row>
    <row r="10" spans="1:6" x14ac:dyDescent="0.25">
      <c r="A10" s="2"/>
      <c r="B10" s="3"/>
      <c r="C10" s="4" t="s">
        <v>14</v>
      </c>
      <c r="D10" s="5" t="s">
        <v>18</v>
      </c>
      <c r="E10" s="3"/>
      <c r="F10" s="3"/>
    </row>
    <row r="11" spans="1:6" ht="57" x14ac:dyDescent="0.25">
      <c r="A11" s="2" t="s">
        <v>10</v>
      </c>
      <c r="B11" s="3"/>
      <c r="C11" s="4" t="s">
        <v>1</v>
      </c>
      <c r="D11" s="5" t="str">
        <f>"alb01"</f>
        <v>alb01</v>
      </c>
      <c r="E11" s="3" t="str">
        <f>_xll.NL("Lookup","Dimension Value",{"Code","Name"},"Dimension Code","PROJECT")</f>
        <v>Lookup</v>
      </c>
      <c r="F11" s="65" t="s">
        <v>62</v>
      </c>
    </row>
    <row r="12" spans="1:6" x14ac:dyDescent="0.25">
      <c r="A12" s="2"/>
      <c r="B12" s="3"/>
      <c r="C12" s="4" t="s">
        <v>15</v>
      </c>
      <c r="D12" s="8">
        <f>DATE(YEAR(D4)-1,MONTH(D4), DAY(D4))</f>
        <v>42826</v>
      </c>
      <c r="E12" s="3"/>
      <c r="F12" s="3"/>
    </row>
    <row r="13" spans="1:6" x14ac:dyDescent="0.25">
      <c r="A13" s="2"/>
      <c r="B13" s="3"/>
      <c r="C13" s="4" t="s">
        <v>16</v>
      </c>
      <c r="D13" s="8">
        <f>DATE(YEAR(D6)-1,MONTH(D6), DAY(D6))</f>
        <v>42826</v>
      </c>
      <c r="E13" s="3"/>
      <c r="F13" s="3"/>
    </row>
    <row r="14" spans="1:6" x14ac:dyDescent="0.25">
      <c r="A14" s="2"/>
      <c r="B14" s="3"/>
      <c r="C14" s="4" t="s">
        <v>17</v>
      </c>
      <c r="D14" s="8">
        <f>DATE(YEAR(D7)-1,MONTH(D7), DAY(D7))</f>
        <v>43100</v>
      </c>
      <c r="E14" s="3"/>
      <c r="F14" s="3"/>
    </row>
    <row r="15" spans="1:6" x14ac:dyDescent="0.25">
      <c r="C15" s="22" t="s">
        <v>54</v>
      </c>
      <c r="D15" s="8">
        <f>DATE(YEAR(D5)-1,MONTH(D5), DAY(D5))</f>
        <v>43190</v>
      </c>
      <c r="E1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04F8-A41D-48AA-B3E7-DB32A7837C4C}">
  <sheetPr>
    <pageSetUpPr fitToPage="1"/>
  </sheetPr>
  <dimension ref="A1:H54"/>
  <sheetViews>
    <sheetView workbookViewId="0">
      <selection activeCell="G23" sqref="G23"/>
    </sheetView>
  </sheetViews>
  <sheetFormatPr defaultRowHeight="16.5" x14ac:dyDescent="0.3"/>
  <cols>
    <col min="1" max="1" width="9.140625" style="1" customWidth="1"/>
    <col min="2" max="2" width="29" style="1" customWidth="1"/>
    <col min="3" max="3" width="17" style="14" customWidth="1"/>
    <col min="4" max="4" width="10.140625" style="14" bestFit="1" customWidth="1"/>
    <col min="5" max="5" width="12.5703125" style="14" bestFit="1" customWidth="1"/>
    <col min="6" max="6" width="22.140625" style="66" bestFit="1" customWidth="1"/>
    <col min="7" max="7" width="57" style="12" customWidth="1"/>
    <col min="8" max="8" width="49" style="1" customWidth="1"/>
    <col min="9" max="16384" width="9.140625" style="1"/>
  </cols>
  <sheetData>
    <row r="1" spans="1:8" x14ac:dyDescent="0.3">
      <c r="A1" s="1" t="s">
        <v>64</v>
      </c>
      <c r="D1" s="14" t="s">
        <v>29</v>
      </c>
      <c r="E1" s="14" t="s">
        <v>29</v>
      </c>
      <c r="F1" s="66" t="s">
        <v>29</v>
      </c>
    </row>
    <row r="2" spans="1:8" ht="18.75" x14ac:dyDescent="0.3">
      <c r="B2" s="10" t="s">
        <v>0</v>
      </c>
    </row>
    <row r="3" spans="1:8" ht="18.75" x14ac:dyDescent="0.3">
      <c r="B3" s="10"/>
    </row>
    <row r="4" spans="1:8" x14ac:dyDescent="0.3">
      <c r="B4" s="9" t="s">
        <v>2</v>
      </c>
      <c r="C4" s="15" t="str">
        <f>Criteria!$D$11</f>
        <v>alb01</v>
      </c>
    </row>
    <row r="5" spans="1:8" x14ac:dyDescent="0.3">
      <c r="B5" s="9" t="s">
        <v>4</v>
      </c>
      <c r="C5" s="15" t="str">
        <f>_xll.NL("First","Dimension Value","Name","Code",$C$4)</f>
        <v>Options Moray</v>
      </c>
    </row>
    <row r="7" spans="1:8" x14ac:dyDescent="0.3">
      <c r="B7" s="9" t="s">
        <v>19</v>
      </c>
    </row>
    <row r="8" spans="1:8" x14ac:dyDescent="0.3">
      <c r="B8" s="9" t="s">
        <v>3</v>
      </c>
    </row>
    <row r="9" spans="1:8" x14ac:dyDescent="0.3">
      <c r="B9" s="9"/>
    </row>
    <row r="10" spans="1:8" x14ac:dyDescent="0.3">
      <c r="B10" s="9" t="s">
        <v>5</v>
      </c>
      <c r="C10" s="14" t="str">
        <f>Criteria!D8</f>
        <v>01/04/2018..31/12/2018</v>
      </c>
    </row>
    <row r="12" spans="1:8" x14ac:dyDescent="0.3">
      <c r="C12" s="16" t="s">
        <v>22</v>
      </c>
      <c r="D12" s="16" t="s">
        <v>23</v>
      </c>
      <c r="E12" s="16" t="s">
        <v>24</v>
      </c>
      <c r="F12" s="67" t="s">
        <v>25</v>
      </c>
      <c r="G12" s="13" t="s">
        <v>60</v>
      </c>
      <c r="H12" s="13" t="s">
        <v>61</v>
      </c>
    </row>
    <row r="13" spans="1:8" x14ac:dyDescent="0.3">
      <c r="B13" s="1" t="s">
        <v>20</v>
      </c>
      <c r="C13" s="17">
        <f>-_xll.GL("Balance","199999",Criteria!$D$6,Criteria!$D$7,,$C$4)</f>
        <v>382865.82</v>
      </c>
      <c r="D13" s="17">
        <f>-_xll.GL("Budget","199999",Criteria!$D$6,Criteria!$D$7,,$C$4,,,,,Criteria!$D$9)</f>
        <v>364662</v>
      </c>
      <c r="E13" s="28">
        <f>C13-D13</f>
        <v>18203.820000000007</v>
      </c>
      <c r="F13" s="66">
        <f>IF(D13=0,"0",IF(C13=0,"∞",(C13-D13)/D13))</f>
        <v>4.9919706467907284E-2</v>
      </c>
    </row>
    <row r="14" spans="1:8" x14ac:dyDescent="0.3">
      <c r="B14" s="1" t="s">
        <v>21</v>
      </c>
      <c r="C14" s="17">
        <f>_xll.GL("Balance","299950",Criteria!$D$6,Criteria!$D$7,,$C$4)</f>
        <v>375617.94</v>
      </c>
      <c r="D14" s="17">
        <f>_xll.GL("Budget","299950",Criteria!$D$6,Criteria!$D$7,,$C$4,,,,,Criteria!$D$9)</f>
        <v>367497</v>
      </c>
      <c r="E14" s="28">
        <f>-(C14-D14)</f>
        <v>-8120.9400000000023</v>
      </c>
      <c r="F14" s="66">
        <f>-IF(D14=0,"0",IF(C14=0,"∞",(C14-D14)/D14))</f>
        <v>-2.2097976310010699E-2</v>
      </c>
    </row>
    <row r="15" spans="1:8" ht="17.25" thickBot="1" x14ac:dyDescent="0.35">
      <c r="B15" s="1" t="s">
        <v>26</v>
      </c>
      <c r="C15" s="18">
        <f>C13-C14</f>
        <v>7247.8800000000047</v>
      </c>
      <c r="D15" s="18">
        <f>D13-D14</f>
        <v>-2835</v>
      </c>
      <c r="E15" s="29">
        <f>C15-D15</f>
        <v>10082.880000000005</v>
      </c>
      <c r="F15" s="66">
        <f>-IF(D15=0,"0",IF(C15=0,"∞",(C15-D15)/D15))</f>
        <v>3.5565714285714303</v>
      </c>
    </row>
    <row r="16" spans="1:8" ht="17.25" thickTop="1" x14ac:dyDescent="0.3">
      <c r="E16" s="30"/>
    </row>
    <row r="17" spans="1:6" x14ac:dyDescent="0.3">
      <c r="E17" s="30"/>
    </row>
    <row r="18" spans="1:6" x14ac:dyDescent="0.3">
      <c r="B18" s="11" t="s">
        <v>30</v>
      </c>
      <c r="E18" s="30"/>
    </row>
    <row r="19" spans="1:6" x14ac:dyDescent="0.3">
      <c r="A19" s="1">
        <v>101995</v>
      </c>
      <c r="B19" s="1" t="s">
        <v>39</v>
      </c>
      <c r="C19" s="17">
        <f>-_xll.GL("Balance",$A19,Criteria!$D$6,Criteria!$D$7,,$C$4)</f>
        <v>335307.96000000002</v>
      </c>
      <c r="D19" s="17">
        <f>-_xll.GL("Budget",$A19,Criteria!$D$6,Criteria!$D$7,,$C$4,,,,,Criteria!$D$9)</f>
        <v>334206</v>
      </c>
      <c r="E19" s="28">
        <f>C19-D19</f>
        <v>1101.960000000021</v>
      </c>
      <c r="F19" s="66">
        <f>IF(D19=0,"0",IF(C19=0,"∞",(C19-D19)/D19))</f>
        <v>3.2972478052459291E-3</v>
      </c>
    </row>
    <row r="20" spans="1:6" x14ac:dyDescent="0.3">
      <c r="A20" s="1">
        <v>102950</v>
      </c>
      <c r="B20" s="1" t="s">
        <v>40</v>
      </c>
      <c r="C20" s="17">
        <f>-_xll.GL("Balance",$A20,Criteria!$D$6,Criteria!$D$7,,$C$4)</f>
        <v>0</v>
      </c>
      <c r="D20" s="17">
        <f>-_xll.GL("Budget",$A20,Criteria!$D$6,Criteria!$D$7,,$C$4,,,,,Criteria!$D$9)</f>
        <v>0</v>
      </c>
      <c r="E20" s="28">
        <f>C20-D20</f>
        <v>0</v>
      </c>
      <c r="F20" s="66" t="str">
        <f>IF(D20=0,"0",IF(C20=0,"∞",(C20-D20)/D20))</f>
        <v>0</v>
      </c>
    </row>
    <row r="21" spans="1:6" x14ac:dyDescent="0.3">
      <c r="A21" s="1">
        <v>103950</v>
      </c>
      <c r="B21" s="1" t="s">
        <v>41</v>
      </c>
      <c r="C21" s="17">
        <f>-_xll.GL("Balance",$A21,Criteria!$D$6,Criteria!$D$7,,$C$4)</f>
        <v>47557.86</v>
      </c>
      <c r="D21" s="17">
        <f>-_xll.GL("Budget",$A21,Criteria!$D$6,Criteria!$D$7,,$C$4,,,,,Criteria!$D$9)</f>
        <v>30456</v>
      </c>
      <c r="E21" s="28">
        <f>C21-D21</f>
        <v>17101.86</v>
      </c>
      <c r="F21" s="66">
        <f>IF(D21=0,"0",IF(C21=0,"∞",(C21-D21)/D21))</f>
        <v>0.56152679275019701</v>
      </c>
    </row>
    <row r="22" spans="1:6" ht="17.25" thickBot="1" x14ac:dyDescent="0.35">
      <c r="B22" s="9" t="s">
        <v>20</v>
      </c>
      <c r="C22" s="18">
        <f>SUM(C19:C21)</f>
        <v>382865.82</v>
      </c>
      <c r="D22" s="18">
        <f>SUM(D19:D21)</f>
        <v>364662</v>
      </c>
      <c r="E22" s="29">
        <f>C22-D22</f>
        <v>18203.820000000007</v>
      </c>
      <c r="F22" s="66">
        <f>IF(D22=0,"0",IF(C22=0,"∞",(C22-D22)/D22))</f>
        <v>4.9919706467907284E-2</v>
      </c>
    </row>
    <row r="23" spans="1:6" ht="17.25" thickTop="1" x14ac:dyDescent="0.3">
      <c r="E23" s="30"/>
    </row>
    <row r="24" spans="1:6" x14ac:dyDescent="0.3">
      <c r="E24" s="30"/>
    </row>
    <row r="25" spans="1:6" x14ac:dyDescent="0.3">
      <c r="B25" s="11" t="s">
        <v>31</v>
      </c>
      <c r="E25" s="30"/>
    </row>
    <row r="26" spans="1:6" x14ac:dyDescent="0.3">
      <c r="A26" s="1">
        <v>201950</v>
      </c>
      <c r="B26" s="1" t="s">
        <v>32</v>
      </c>
      <c r="C26" s="17">
        <f>_xll.GL("Balance",$A26,Criteria!$D$6,Criteria!$D$7,,$C$4)</f>
        <v>295620.79000000004</v>
      </c>
      <c r="D26" s="17">
        <f>_xll.GL("Budget",$A26,Criteria!$D$6,Criteria!$D$7,,$C$4,,,,,Criteria!$D$9)</f>
        <v>283806</v>
      </c>
      <c r="E26" s="28">
        <f t="shared" ref="E26:E35" si="0">D26-C26</f>
        <v>-11814.790000000037</v>
      </c>
      <c r="F26" s="66">
        <f>-IF(D26=0,"0",IF(C26=0,"∞",(C26-D26)/D26))</f>
        <v>-4.1629810504358745E-2</v>
      </c>
    </row>
    <row r="27" spans="1:6" x14ac:dyDescent="0.3">
      <c r="A27" s="1">
        <v>202950</v>
      </c>
      <c r="B27" s="1" t="s">
        <v>33</v>
      </c>
      <c r="C27" s="17">
        <f>_xll.GL("Balance",$A27,Criteria!$D$6,Criteria!$D$7,,$C$4)</f>
        <v>5518.5300000000007</v>
      </c>
      <c r="D27" s="17">
        <f>_xll.GL("Budget",$A27,Criteria!$D$6,Criteria!$D$7,,$C$4,,,,,Criteria!$D$9)</f>
        <v>5517</v>
      </c>
      <c r="E27" s="28">
        <f t="shared" si="0"/>
        <v>-1.5300000000006548</v>
      </c>
      <c r="F27" s="66">
        <f t="shared" ref="F27:F38" si="1">-IF(D27=0,"0",IF(C27=0,"∞",(C27-D27)/D27))</f>
        <v>-2.7732463295281035E-4</v>
      </c>
    </row>
    <row r="28" spans="1:6" x14ac:dyDescent="0.3">
      <c r="A28" s="1">
        <v>203950</v>
      </c>
      <c r="B28" s="1" t="s">
        <v>34</v>
      </c>
      <c r="C28" s="17">
        <f>_xll.GL("Balance",$A28,Criteria!$D$6,Criteria!$D$7,,$C$4)</f>
        <v>11097.15</v>
      </c>
      <c r="D28" s="17">
        <f>_xll.GL("Budget",$A28,Criteria!$D$6,Criteria!$D$7,,$C$4,,,,,Criteria!$D$9)</f>
        <v>12501</v>
      </c>
      <c r="E28" s="28">
        <f t="shared" si="0"/>
        <v>1403.8500000000004</v>
      </c>
      <c r="F28" s="66">
        <f t="shared" si="1"/>
        <v>0.11229901607871373</v>
      </c>
    </row>
    <row r="29" spans="1:6" x14ac:dyDescent="0.3">
      <c r="A29" s="1">
        <v>204950</v>
      </c>
      <c r="B29" s="1" t="s">
        <v>35</v>
      </c>
      <c r="C29" s="17">
        <f>_xll.GL("Balance",$A29,Criteria!$D$6,Criteria!$D$7,,$C$4)</f>
        <v>10045.51</v>
      </c>
      <c r="D29" s="17">
        <f>_xll.GL("Budget",$A29,Criteria!$D$6,Criteria!$D$7,,$C$4,,,,,Criteria!$D$9)</f>
        <v>9936</v>
      </c>
      <c r="E29" s="28">
        <f t="shared" si="0"/>
        <v>-109.51000000000022</v>
      </c>
      <c r="F29" s="66">
        <f t="shared" si="1"/>
        <v>-1.1021537842190038E-2</v>
      </c>
    </row>
    <row r="30" spans="1:6" x14ac:dyDescent="0.3">
      <c r="A30" s="1">
        <v>205950</v>
      </c>
      <c r="B30" s="1" t="s">
        <v>36</v>
      </c>
      <c r="C30" s="17">
        <f>_xll.GL("Balance",$A30,Criteria!$D$6,Criteria!$D$7,,$C$4)</f>
        <v>633.75</v>
      </c>
      <c r="D30" s="17">
        <f>_xll.GL("Budget",$A30,Criteria!$D$6,Criteria!$D$7,,$C$4,,,,,Criteria!$D$9)</f>
        <v>1098</v>
      </c>
      <c r="E30" s="28">
        <f t="shared" si="0"/>
        <v>464.25</v>
      </c>
      <c r="F30" s="66">
        <f t="shared" si="1"/>
        <v>0.42281420765027322</v>
      </c>
    </row>
    <row r="31" spans="1:6" x14ac:dyDescent="0.3">
      <c r="A31" s="1">
        <v>206950</v>
      </c>
      <c r="B31" s="1" t="s">
        <v>37</v>
      </c>
      <c r="C31" s="17">
        <f>_xll.GL("Balance",$A31,Criteria!$D$6,Criteria!$D$7,,$C$4)</f>
        <v>5893.9400000000005</v>
      </c>
      <c r="D31" s="17">
        <f>_xll.GL("Budget",$A31,Criteria!$D$6,Criteria!$D$7,,$C$4,,,,,Criteria!$D$9)</f>
        <v>5481</v>
      </c>
      <c r="E31" s="28">
        <f t="shared" si="0"/>
        <v>-412.94000000000051</v>
      </c>
      <c r="F31" s="66">
        <f t="shared" si="1"/>
        <v>-7.5340266374749221E-2</v>
      </c>
    </row>
    <row r="32" spans="1:6" x14ac:dyDescent="0.3">
      <c r="A32" s="1">
        <v>207950</v>
      </c>
      <c r="B32" s="1" t="s">
        <v>45</v>
      </c>
      <c r="C32" s="17">
        <f>_xll.GL("Balance",$A32,Criteria!$D$6,Criteria!$D$7,,$C$4)</f>
        <v>19415.39</v>
      </c>
      <c r="D32" s="17">
        <f>_xll.GL("Budget",$A32,Criteria!$D$6,Criteria!$D$7,,$C$4,,,,,Criteria!$D$9)</f>
        <v>22779</v>
      </c>
      <c r="E32" s="28">
        <f t="shared" si="0"/>
        <v>3363.6100000000006</v>
      </c>
      <c r="F32" s="66">
        <f t="shared" si="1"/>
        <v>0.14766275955924318</v>
      </c>
    </row>
    <row r="33" spans="1:7" x14ac:dyDescent="0.3">
      <c r="A33" s="1">
        <v>208950</v>
      </c>
      <c r="B33" s="1" t="s">
        <v>38</v>
      </c>
      <c r="C33" s="17">
        <f>_xll.GL("Balance",$A33,Criteria!$D$6,Criteria!$D$7,,$C$4)</f>
        <v>1899.66</v>
      </c>
      <c r="D33" s="17">
        <f>_xll.GL("Budget",$A33,Criteria!$D$6,Criteria!$D$7,,$C$4,,,,,Criteria!$D$9)</f>
        <v>891</v>
      </c>
      <c r="E33" s="28">
        <f t="shared" si="0"/>
        <v>-1008.6600000000001</v>
      </c>
      <c r="F33" s="66">
        <f t="shared" si="1"/>
        <v>-1.1320538720538722</v>
      </c>
    </row>
    <row r="34" spans="1:7" x14ac:dyDescent="0.3">
      <c r="A34" s="1">
        <v>209950</v>
      </c>
      <c r="B34" s="1" t="s">
        <v>46</v>
      </c>
      <c r="C34" s="17">
        <f>_xll.GL("Balance",$A34,Criteria!$D$6,Criteria!$D$7,,$C$4)</f>
        <v>0</v>
      </c>
      <c r="D34" s="17">
        <f>_xll.GL("Budget",$A34,Criteria!$D$6,Criteria!$D$7,,$C$4,,,,,Criteria!$D$9)</f>
        <v>0</v>
      </c>
      <c r="E34" s="28">
        <f t="shared" si="0"/>
        <v>0</v>
      </c>
      <c r="F34" s="66">
        <f t="shared" si="1"/>
        <v>0</v>
      </c>
    </row>
    <row r="35" spans="1:7" x14ac:dyDescent="0.3">
      <c r="A35" s="1">
        <v>210010</v>
      </c>
      <c r="B35" s="1" t="s">
        <v>57</v>
      </c>
      <c r="C35" s="17">
        <f>_xll.GL("Balance",$A35,Criteria!$D$6,Criteria!$D$7,,$C$4)</f>
        <v>25493.22</v>
      </c>
      <c r="D35" s="17">
        <f>_xll.GL("Budget",$A35,Criteria!$D$6,Criteria!$D$7,,$C$4,,,,,Criteria!$D$9)</f>
        <v>25488</v>
      </c>
      <c r="E35" s="28">
        <f t="shared" si="0"/>
        <v>-5.2200000000011642</v>
      </c>
      <c r="F35" s="66">
        <f t="shared" si="1"/>
        <v>-2.0480225988705133E-4</v>
      </c>
    </row>
    <row r="36" spans="1:7" ht="17.25" thickBot="1" x14ac:dyDescent="0.35">
      <c r="B36" s="9" t="s">
        <v>21</v>
      </c>
      <c r="C36" s="18">
        <f>SUM(C26:C35)</f>
        <v>375617.94000000006</v>
      </c>
      <c r="D36" s="18">
        <f>SUM(D26:D35)</f>
        <v>367497</v>
      </c>
      <c r="E36" s="29">
        <f>C36-D36</f>
        <v>8120.9400000000605</v>
      </c>
      <c r="F36" s="66">
        <f t="shared" si="1"/>
        <v>-2.2097976310010859E-2</v>
      </c>
    </row>
    <row r="37" spans="1:7" ht="18" thickTop="1" thickBot="1" x14ac:dyDescent="0.35">
      <c r="E37" s="30"/>
    </row>
    <row r="38" spans="1:7" ht="17.25" thickBot="1" x14ac:dyDescent="0.35">
      <c r="B38" s="1" t="s">
        <v>42</v>
      </c>
      <c r="C38" s="19">
        <f>C22-C36</f>
        <v>7247.8799999999464</v>
      </c>
      <c r="D38" s="19">
        <f>D22-D36</f>
        <v>-2835</v>
      </c>
      <c r="E38" s="19">
        <f>C38-D38</f>
        <v>10082.879999999946</v>
      </c>
      <c r="F38" s="66">
        <f t="shared" si="1"/>
        <v>3.5565714285714098</v>
      </c>
    </row>
    <row r="40" spans="1:7" x14ac:dyDescent="0.3">
      <c r="A40" s="1" t="s">
        <v>44</v>
      </c>
      <c r="B40" s="1" t="s">
        <v>43</v>
      </c>
      <c r="C40" s="14">
        <f>-_xll.GL("Balance",$A$40,,Criteria!D7,,Criteria!$D$11)</f>
        <v>0</v>
      </c>
    </row>
    <row r="43" spans="1:7" ht="17.25" thickBot="1" x14ac:dyDescent="0.35">
      <c r="B43" s="11" t="s">
        <v>47</v>
      </c>
    </row>
    <row r="44" spans="1:7" x14ac:dyDescent="0.3">
      <c r="B44" s="68"/>
      <c r="C44" s="69"/>
      <c r="D44" s="69"/>
      <c r="E44" s="69"/>
      <c r="F44" s="69"/>
      <c r="G44" s="70"/>
    </row>
    <row r="45" spans="1:7" x14ac:dyDescent="0.3">
      <c r="B45" s="71"/>
      <c r="C45" s="72"/>
      <c r="D45" s="72"/>
      <c r="E45" s="72"/>
      <c r="F45" s="72"/>
      <c r="G45" s="73"/>
    </row>
    <row r="46" spans="1:7" x14ac:dyDescent="0.3">
      <c r="B46" s="71"/>
      <c r="C46" s="72"/>
      <c r="D46" s="72"/>
      <c r="E46" s="72"/>
      <c r="F46" s="72"/>
      <c r="G46" s="73"/>
    </row>
    <row r="47" spans="1:7" x14ac:dyDescent="0.3">
      <c r="B47" s="71"/>
      <c r="C47" s="72"/>
      <c r="D47" s="72"/>
      <c r="E47" s="72"/>
      <c r="F47" s="72"/>
      <c r="G47" s="73"/>
    </row>
    <row r="48" spans="1:7" x14ac:dyDescent="0.3">
      <c r="B48" s="71"/>
      <c r="C48" s="72"/>
      <c r="D48" s="72"/>
      <c r="E48" s="72"/>
      <c r="F48" s="72"/>
      <c r="G48" s="73"/>
    </row>
    <row r="49" spans="2:7" x14ac:dyDescent="0.3">
      <c r="B49" s="71"/>
      <c r="C49" s="72"/>
      <c r="D49" s="72"/>
      <c r="E49" s="72"/>
      <c r="F49" s="72"/>
      <c r="G49" s="73"/>
    </row>
    <row r="50" spans="2:7" x14ac:dyDescent="0.3">
      <c r="B50" s="71"/>
      <c r="C50" s="72"/>
      <c r="D50" s="72"/>
      <c r="E50" s="72"/>
      <c r="F50" s="72"/>
      <c r="G50" s="73"/>
    </row>
    <row r="51" spans="2:7" x14ac:dyDescent="0.3">
      <c r="B51" s="71"/>
      <c r="C51" s="72"/>
      <c r="D51" s="72"/>
      <c r="E51" s="72"/>
      <c r="F51" s="72"/>
      <c r="G51" s="73"/>
    </row>
    <row r="52" spans="2:7" x14ac:dyDescent="0.3">
      <c r="B52" s="71"/>
      <c r="C52" s="72"/>
      <c r="D52" s="72"/>
      <c r="E52" s="72"/>
      <c r="F52" s="72"/>
      <c r="G52" s="73"/>
    </row>
    <row r="53" spans="2:7" ht="17.25" thickBot="1" x14ac:dyDescent="0.35">
      <c r="B53" s="74"/>
      <c r="C53" s="75"/>
      <c r="D53" s="75"/>
      <c r="E53" s="75"/>
      <c r="F53" s="75"/>
      <c r="G53" s="76"/>
    </row>
    <row r="54" spans="2:7" x14ac:dyDescent="0.3">
      <c r="B54" s="20"/>
      <c r="C54" s="20"/>
      <c r="D54" s="20"/>
      <c r="E54" s="20"/>
      <c r="F54" s="26"/>
      <c r="G54" s="20"/>
    </row>
  </sheetData>
  <mergeCells count="1">
    <mergeCell ref="B44:G53"/>
  </mergeCells>
  <pageMargins left="0.7" right="0.7" top="0.75" bottom="0.75" header="0.3" footer="0.3"/>
  <pageSetup paperSize="9"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C26AB-E133-4D21-A262-1EF10F5A1534}">
  <sheetPr>
    <pageSetUpPr fitToPage="1"/>
  </sheetPr>
  <dimension ref="A1:AA51"/>
  <sheetViews>
    <sheetView tabSelected="1" view="pageBreakPreview" zoomScale="40" zoomScaleNormal="55" zoomScaleSheetLayoutView="40" workbookViewId="0">
      <selection activeCell="Y1" sqref="Y1"/>
    </sheetView>
  </sheetViews>
  <sheetFormatPr defaultRowHeight="16.5" x14ac:dyDescent="0.3"/>
  <cols>
    <col min="1" max="1" width="9.140625" customWidth="1"/>
    <col min="2" max="2" width="67.28515625" bestFit="1" customWidth="1"/>
    <col min="3" max="3" width="69.42578125" bestFit="1" customWidth="1"/>
    <col min="16" max="16" width="9.140625" style="1"/>
    <col min="17" max="17" width="73.5703125" style="1" bestFit="1" customWidth="1"/>
    <col min="18" max="18" width="22.5703125" style="34" bestFit="1" customWidth="1"/>
    <col min="19" max="19" width="8.7109375" style="33" customWidth="1"/>
    <col min="20" max="20" width="89.140625" bestFit="1" customWidth="1"/>
    <col min="21" max="21" width="26.7109375" bestFit="1" customWidth="1"/>
    <col min="23" max="23" width="26.7109375" bestFit="1" customWidth="1"/>
    <col min="25" max="25" width="28" bestFit="1" customWidth="1"/>
    <col min="26" max="26" width="23.85546875" customWidth="1"/>
  </cols>
  <sheetData>
    <row r="1" spans="1:26" x14ac:dyDescent="0.3">
      <c r="A1" t="s">
        <v>66</v>
      </c>
      <c r="B1" t="s">
        <v>29</v>
      </c>
      <c r="C1" t="s">
        <v>29</v>
      </c>
      <c r="S1" s="1" t="s">
        <v>59</v>
      </c>
      <c r="T1" s="1" t="s">
        <v>29</v>
      </c>
      <c r="U1" s="1" t="s">
        <v>29</v>
      </c>
      <c r="V1" s="1"/>
      <c r="W1" s="1" t="s">
        <v>29</v>
      </c>
      <c r="X1" s="1"/>
      <c r="Y1" s="34" t="s">
        <v>29</v>
      </c>
      <c r="Z1" s="33" t="s">
        <v>29</v>
      </c>
    </row>
    <row r="2" spans="1:26" ht="36" x14ac:dyDescent="0.55000000000000004">
      <c r="B2" s="47" t="s">
        <v>58</v>
      </c>
      <c r="C2" s="44"/>
    </row>
    <row r="3" spans="1:26" ht="36" x14ac:dyDescent="0.55000000000000004">
      <c r="B3" s="44"/>
      <c r="C3" s="44"/>
    </row>
    <row r="4" spans="1:26" ht="34.5" x14ac:dyDescent="0.45">
      <c r="B4" s="47" t="s">
        <v>2</v>
      </c>
      <c r="C4" s="48" t="str">
        <f>'Finance Review'!C4</f>
        <v>alb01</v>
      </c>
    </row>
    <row r="5" spans="1:26" ht="34.5" x14ac:dyDescent="0.45">
      <c r="B5" s="47" t="s">
        <v>4</v>
      </c>
      <c r="C5" s="48" t="str">
        <f>'Finance Review'!C5</f>
        <v>Options Moray</v>
      </c>
    </row>
    <row r="6" spans="1:26" ht="34.5" x14ac:dyDescent="0.45">
      <c r="B6" s="47"/>
      <c r="C6" s="48"/>
    </row>
    <row r="7" spans="1:26" ht="34.5" x14ac:dyDescent="0.45">
      <c r="B7" s="47" t="s">
        <v>5</v>
      </c>
      <c r="C7" s="48" t="str">
        <f>'Finance Review'!C10</f>
        <v>01/04/2018..31/12/2018</v>
      </c>
    </row>
    <row r="9" spans="1:26" ht="34.5" x14ac:dyDescent="0.45">
      <c r="S9" s="1"/>
      <c r="T9" s="35" t="s">
        <v>32</v>
      </c>
      <c r="U9" s="36" t="s">
        <v>22</v>
      </c>
      <c r="V9" s="36"/>
      <c r="W9" s="36" t="s">
        <v>23</v>
      </c>
      <c r="X9" s="36"/>
      <c r="Y9" s="36" t="s">
        <v>24</v>
      </c>
      <c r="Z9" s="36" t="s">
        <v>25</v>
      </c>
    </row>
    <row r="10" spans="1:26" ht="34.5" x14ac:dyDescent="0.45">
      <c r="S10" s="1">
        <v>201010</v>
      </c>
      <c r="T10" s="37" t="str">
        <f>_xll.NL("First","G/L Account","Name","No.",$S10)</f>
        <v>Gross Salaries and Wages</v>
      </c>
      <c r="U10" s="38">
        <f>_xll.GL("Balance",$S10,Criteria!$D$6,Criteria!$D$7,,Criteria!$D$11)</f>
        <v>192254.82</v>
      </c>
      <c r="V10" s="38"/>
      <c r="W10" s="38">
        <f>_xll.GL("Budget",$S10,Criteria!$D$6,Criteria!$D$7,,Criteria!$D$11,,,,,Criteria!$D$9)</f>
        <v>191628</v>
      </c>
      <c r="X10" s="38"/>
      <c r="Y10" s="39">
        <f>U10-W10</f>
        <v>626.82000000000698</v>
      </c>
      <c r="Z10" s="40">
        <f>IF(W10=0,"-",IF(U10=0,"∞",(U10-W10)/U10))</f>
        <v>3.2603603904443434E-3</v>
      </c>
    </row>
    <row r="11" spans="1:26" ht="34.5" x14ac:dyDescent="0.45">
      <c r="S11" s="1">
        <v>201013</v>
      </c>
      <c r="T11" s="37" t="str">
        <f>_xll.NL("First","G/L Account","Name","No.",$S11)</f>
        <v>Employers NIC</v>
      </c>
      <c r="U11" s="38">
        <f>_xll.GL("Balance",$S11,Criteria!$D$6,Criteria!$D$7,,Criteria!$D$11)</f>
        <v>16873.86</v>
      </c>
      <c r="V11" s="38"/>
      <c r="W11" s="38">
        <f>_xll.GL("Budget",$S11,Criteria!$D$6,Criteria!$D$7,,Criteria!$D$11,,,,,Criteria!$D$9)</f>
        <v>20547</v>
      </c>
      <c r="X11" s="38"/>
      <c r="Y11" s="39">
        <f t="shared" ref="Y11:Y19" si="0">U11-W11</f>
        <v>-3673.1399999999994</v>
      </c>
      <c r="Z11" s="40">
        <f t="shared" ref="Z11:Z19" si="1">IF(W11=0,"-",IF(U11=0,"∞",(U11-W11)/U11))</f>
        <v>-0.21768226120164558</v>
      </c>
    </row>
    <row r="12" spans="1:26" ht="34.5" x14ac:dyDescent="0.45">
      <c r="S12" s="1">
        <v>201016</v>
      </c>
      <c r="T12" s="37" t="str">
        <f>_xll.NL("First","G/L Account","Name","No.",$S12)</f>
        <v>Employers Pension Contribution</v>
      </c>
      <c r="U12" s="38">
        <f>_xll.GL("Balance",$S12,Criteria!$D$6,Criteria!$D$7,,Criteria!$D$11)</f>
        <v>24757.899999999998</v>
      </c>
      <c r="V12" s="38"/>
      <c r="W12" s="38">
        <f>_xll.GL("Budget",$S12,Criteria!$D$6,Criteria!$D$7,,Criteria!$D$11,,,,,Criteria!$D$9)</f>
        <v>26163</v>
      </c>
      <c r="X12" s="38"/>
      <c r="Y12" s="39">
        <f t="shared" si="0"/>
        <v>-1405.1000000000022</v>
      </c>
      <c r="Z12" s="40">
        <f t="shared" si="1"/>
        <v>-5.6753601880611938E-2</v>
      </c>
    </row>
    <row r="13" spans="1:26" ht="34.5" x14ac:dyDescent="0.45">
      <c r="S13" s="1">
        <v>201017</v>
      </c>
      <c r="T13" s="37" t="str">
        <f>_xll.NL("First","G/L Account","Name","No.",$S13)</f>
        <v>Apprenticeship Levy</v>
      </c>
      <c r="U13" s="38">
        <f>_xll.GL("Balance",$S13,Criteria!$D$6,Criteria!$D$7,,Criteria!$D$11)</f>
        <v>1101.3699999999999</v>
      </c>
      <c r="V13" s="38"/>
      <c r="W13" s="38">
        <f>_xll.GL("Budget",$S13,Criteria!$D$6,Criteria!$D$7,,Criteria!$D$11,,,,,Criteria!$D$9)</f>
        <v>1143</v>
      </c>
      <c r="X13" s="38"/>
      <c r="Y13" s="39">
        <f t="shared" si="0"/>
        <v>-41.630000000000109</v>
      </c>
      <c r="Z13" s="40">
        <f t="shared" si="1"/>
        <v>-3.7798378383286375E-2</v>
      </c>
    </row>
    <row r="14" spans="1:26" ht="34.5" x14ac:dyDescent="0.45">
      <c r="S14" s="1">
        <v>201020</v>
      </c>
      <c r="T14" s="37" t="str">
        <f>_xll.NL("First","G/L Account","Name","No.",$S14)</f>
        <v>Relief Workers</v>
      </c>
      <c r="U14" s="38">
        <f>_xll.GL("Balance",$S14,Criteria!$D$6,Criteria!$D$7,,Criteria!$D$11)</f>
        <v>47712.630000000005</v>
      </c>
      <c r="V14" s="38"/>
      <c r="W14" s="38">
        <f>_xll.GL("Budget",$S14,Criteria!$D$6,Criteria!$D$7,,Criteria!$D$11,,,,,Criteria!$D$9)</f>
        <v>29943.000000000004</v>
      </c>
      <c r="X14" s="38"/>
      <c r="Y14" s="39">
        <f t="shared" si="0"/>
        <v>17769.63</v>
      </c>
      <c r="Z14" s="40">
        <f t="shared" si="1"/>
        <v>0.3724303187646541</v>
      </c>
    </row>
    <row r="15" spans="1:26" ht="34.5" x14ac:dyDescent="0.45">
      <c r="S15" s="1">
        <v>201025</v>
      </c>
      <c r="T15" s="37" t="str">
        <f>_xll.NL("First","G/L Account","Name","No.",$S15)</f>
        <v>Sleepovers</v>
      </c>
      <c r="U15" s="38">
        <f>_xll.GL("Balance",$S15,Criteria!$D$6,Criteria!$D$7,,Criteria!$D$11)</f>
        <v>4452.5</v>
      </c>
      <c r="V15" s="38"/>
      <c r="W15" s="38">
        <f>_xll.GL("Budget",$S15,Criteria!$D$6,Criteria!$D$7,,Criteria!$D$11,,,,,Criteria!$D$9)</f>
        <v>7623</v>
      </c>
      <c r="X15" s="38"/>
      <c r="Y15" s="39">
        <f t="shared" si="0"/>
        <v>-3170.5</v>
      </c>
      <c r="Z15" s="40">
        <f t="shared" si="1"/>
        <v>-0.71207186973610326</v>
      </c>
    </row>
    <row r="16" spans="1:26" ht="34.5" x14ac:dyDescent="0.45">
      <c r="S16" s="1">
        <v>201030</v>
      </c>
      <c r="T16" s="37" t="str">
        <f>_xll.NL("First","G/L Account","Name","No.",$S16)</f>
        <v>Recruitment Costs</v>
      </c>
      <c r="U16" s="38">
        <f>_xll.GL("Balance",$S16,Criteria!$D$6,Criteria!$D$7,,Criteria!$D$11)</f>
        <v>206.75</v>
      </c>
      <c r="V16" s="38"/>
      <c r="W16" s="38">
        <f>_xll.GL("Budget",$S16,Criteria!$D$6,Criteria!$D$7,,Criteria!$D$11,,,,,Criteria!$D$9)</f>
        <v>369</v>
      </c>
      <c r="X16" s="38"/>
      <c r="Y16" s="39">
        <f t="shared" si="0"/>
        <v>-162.25</v>
      </c>
      <c r="Z16" s="40">
        <f t="shared" si="1"/>
        <v>-0.78476420798065294</v>
      </c>
    </row>
    <row r="17" spans="16:26" ht="34.5" x14ac:dyDescent="0.45">
      <c r="S17" s="1">
        <v>201040</v>
      </c>
      <c r="T17" s="37" t="str">
        <f>_xll.NL("First","G/L Account","Name","No.",$S17)</f>
        <v>Seconded and Agency Staff</v>
      </c>
      <c r="U17" s="38">
        <f>_xll.GL("Balance",$S17,Criteria!$D$6,Criteria!$D$7,,Criteria!$D$11)</f>
        <v>1870.96</v>
      </c>
      <c r="V17" s="38"/>
      <c r="W17" s="38">
        <f>_xll.GL("Budget",$S17,Criteria!$D$6,Criteria!$D$7,,Criteria!$D$11,,,,,Criteria!$D$9)</f>
        <v>0</v>
      </c>
      <c r="X17" s="38"/>
      <c r="Y17" s="39">
        <f t="shared" si="0"/>
        <v>1870.96</v>
      </c>
      <c r="Z17" s="40" t="str">
        <f>IF(W17=0,"0",IF(U17=0,"∞",(U17-W17)/U17))</f>
        <v>0</v>
      </c>
    </row>
    <row r="18" spans="16:26" ht="34.5" x14ac:dyDescent="0.45">
      <c r="S18" s="1">
        <v>201050</v>
      </c>
      <c r="T18" s="37" t="str">
        <f>_xll.NL("First","G/L Account","Name","No.",$S18)</f>
        <v>Early Retirement Pension Costs</v>
      </c>
      <c r="U18" s="38">
        <f>_xll.GL("Balance",$S18,Criteria!$D$6,Criteria!$D$7,,Criteria!$D$11)</f>
        <v>0</v>
      </c>
      <c r="V18" s="38"/>
      <c r="W18" s="38">
        <f>_xll.GL("Budget",$S18,Criteria!$D$6,Criteria!$D$7,,Criteria!$D$11,,,,,Criteria!$D$9)</f>
        <v>0</v>
      </c>
      <c r="X18" s="38"/>
      <c r="Y18" s="39">
        <f t="shared" si="0"/>
        <v>0</v>
      </c>
      <c r="Z18" s="40" t="str">
        <f>IF(W18=0,"0",IF(U18=0,"∞",(U18-W18)/U18))</f>
        <v>0</v>
      </c>
    </row>
    <row r="19" spans="16:26" ht="34.5" x14ac:dyDescent="0.45">
      <c r="S19" s="1">
        <v>201060</v>
      </c>
      <c r="T19" s="37" t="str">
        <f>_xll.NL("First","G/L Account","Name","No.",$S19)</f>
        <v>Human Resources and Payroll</v>
      </c>
      <c r="U19" s="38">
        <f>_xll.GL("Balance",$S19,Criteria!$D$6,Criteria!$D$7,,Criteria!$D$11)</f>
        <v>6390</v>
      </c>
      <c r="V19" s="38"/>
      <c r="W19" s="38">
        <f>_xll.GL("Budget",$S19,Criteria!$D$6,Criteria!$D$7,,Criteria!$D$11,,,,,Criteria!$D$9)</f>
        <v>6390</v>
      </c>
      <c r="X19" s="38"/>
      <c r="Y19" s="39">
        <f t="shared" si="0"/>
        <v>0</v>
      </c>
      <c r="Z19" s="40">
        <f t="shared" si="1"/>
        <v>0</v>
      </c>
    </row>
    <row r="20" spans="16:26" ht="34.5" x14ac:dyDescent="0.45">
      <c r="S20" s="1"/>
      <c r="T20" s="41"/>
      <c r="U20" s="41"/>
      <c r="V20" s="41"/>
      <c r="W20" s="38"/>
      <c r="X20" s="41"/>
      <c r="Y20" s="42"/>
      <c r="Z20" s="40"/>
    </row>
    <row r="21" spans="16:26" ht="35.25" thickBot="1" x14ac:dyDescent="0.5">
      <c r="S21" s="1"/>
      <c r="T21" s="41"/>
      <c r="U21" s="43">
        <f>SUM(U10:U19)</f>
        <v>295620.78999999998</v>
      </c>
      <c r="V21" s="43"/>
      <c r="W21" s="43">
        <f>SUM(W10:W19)</f>
        <v>283806</v>
      </c>
      <c r="X21" s="43"/>
      <c r="Y21" s="43">
        <f>SUM(Y10:Y19)</f>
        <v>11814.790000000005</v>
      </c>
      <c r="Z21" s="40">
        <f>IF(W21=0,"-",IF(U21=0,"∞",(U21-W21)/U21))</f>
        <v>3.9966032158969537E-2</v>
      </c>
    </row>
    <row r="22" spans="16:26" ht="36.75" thickTop="1" x14ac:dyDescent="0.55000000000000004">
      <c r="Q22" s="41"/>
      <c r="R22" s="45"/>
      <c r="S22" s="46"/>
    </row>
    <row r="24" spans="16:26" ht="15" x14ac:dyDescent="0.25">
      <c r="P24"/>
      <c r="Q24"/>
      <c r="R24"/>
      <c r="S24"/>
    </row>
    <row r="25" spans="16:26" ht="15" x14ac:dyDescent="0.25">
      <c r="P25"/>
      <c r="Q25"/>
      <c r="R25"/>
      <c r="S25"/>
    </row>
    <row r="26" spans="16:26" ht="15" x14ac:dyDescent="0.25">
      <c r="P26"/>
      <c r="Q26"/>
      <c r="R26"/>
      <c r="S26"/>
    </row>
    <row r="27" spans="16:26" ht="15" x14ac:dyDescent="0.25">
      <c r="P27"/>
      <c r="Q27"/>
      <c r="R27"/>
      <c r="S27"/>
    </row>
    <row r="28" spans="16:26" ht="15" x14ac:dyDescent="0.25">
      <c r="P28"/>
      <c r="Q28"/>
      <c r="R28"/>
      <c r="S28"/>
    </row>
    <row r="29" spans="16:26" ht="15" x14ac:dyDescent="0.25">
      <c r="P29"/>
      <c r="Q29"/>
      <c r="R29"/>
      <c r="S29"/>
    </row>
    <row r="30" spans="16:26" ht="15" x14ac:dyDescent="0.25">
      <c r="P30"/>
      <c r="Q30"/>
      <c r="R30"/>
      <c r="S30"/>
    </row>
    <row r="31" spans="16:26" ht="15" x14ac:dyDescent="0.25">
      <c r="P31"/>
      <c r="Q31"/>
      <c r="R31"/>
      <c r="S31"/>
    </row>
    <row r="32" spans="16:26" ht="15" x14ac:dyDescent="0.25">
      <c r="P32"/>
      <c r="Q32"/>
      <c r="R32"/>
      <c r="S32"/>
    </row>
    <row r="33" spans="16:19" ht="15" x14ac:dyDescent="0.25">
      <c r="P33"/>
      <c r="Q33"/>
      <c r="R33"/>
      <c r="S33"/>
    </row>
    <row r="34" spans="16:19" ht="15" x14ac:dyDescent="0.25">
      <c r="P34"/>
      <c r="Q34"/>
      <c r="R34"/>
      <c r="S34"/>
    </row>
    <row r="35" spans="16:19" ht="15" x14ac:dyDescent="0.25">
      <c r="P35"/>
      <c r="Q35"/>
      <c r="R35"/>
      <c r="S35"/>
    </row>
    <row r="36" spans="16:19" ht="15" x14ac:dyDescent="0.25">
      <c r="P36"/>
      <c r="Q36"/>
      <c r="R36"/>
      <c r="S36"/>
    </row>
    <row r="37" spans="16:19" ht="15" x14ac:dyDescent="0.25">
      <c r="P37"/>
      <c r="Q37"/>
      <c r="R37"/>
      <c r="S37"/>
    </row>
    <row r="38" spans="16:19" ht="15" x14ac:dyDescent="0.25">
      <c r="P38"/>
      <c r="Q38"/>
      <c r="R38"/>
      <c r="S38"/>
    </row>
    <row r="39" spans="16:19" ht="15" x14ac:dyDescent="0.25">
      <c r="P39"/>
      <c r="Q39"/>
      <c r="R39"/>
      <c r="S39"/>
    </row>
    <row r="40" spans="16:19" ht="15" x14ac:dyDescent="0.25">
      <c r="P40"/>
      <c r="Q40"/>
      <c r="R40"/>
      <c r="S40"/>
    </row>
    <row r="41" spans="16:19" ht="15" x14ac:dyDescent="0.25">
      <c r="P41"/>
      <c r="Q41"/>
      <c r="R41"/>
      <c r="S41"/>
    </row>
    <row r="42" spans="16:19" ht="15" x14ac:dyDescent="0.25">
      <c r="P42"/>
      <c r="Q42"/>
      <c r="R42"/>
      <c r="S42"/>
    </row>
    <row r="43" spans="16:19" ht="15" x14ac:dyDescent="0.25">
      <c r="P43"/>
      <c r="Q43"/>
      <c r="R43"/>
      <c r="S43"/>
    </row>
    <row r="44" spans="16:19" ht="15" x14ac:dyDescent="0.25">
      <c r="P44"/>
      <c r="Q44"/>
      <c r="R44"/>
      <c r="S44"/>
    </row>
    <row r="45" spans="16:19" ht="15" x14ac:dyDescent="0.25">
      <c r="P45"/>
      <c r="Q45"/>
      <c r="R45"/>
      <c r="S45"/>
    </row>
    <row r="46" spans="16:19" ht="15" x14ac:dyDescent="0.25">
      <c r="P46"/>
      <c r="Q46"/>
      <c r="R46"/>
      <c r="S46"/>
    </row>
    <row r="47" spans="16:19" ht="15" x14ac:dyDescent="0.25">
      <c r="P47"/>
      <c r="Q47"/>
      <c r="R47"/>
      <c r="S47"/>
    </row>
    <row r="48" spans="16:19" ht="15" x14ac:dyDescent="0.25">
      <c r="P48"/>
      <c r="Q48"/>
      <c r="R48"/>
      <c r="S48"/>
    </row>
    <row r="49" spans="16:27" ht="15" x14ac:dyDescent="0.25">
      <c r="P49"/>
      <c r="Q49"/>
      <c r="R49"/>
      <c r="S49"/>
    </row>
    <row r="50" spans="16:27" ht="15" x14ac:dyDescent="0.25">
      <c r="P50"/>
      <c r="Q50"/>
      <c r="R50"/>
      <c r="S50"/>
    </row>
    <row r="51" spans="16:27" x14ac:dyDescent="0.3">
      <c r="AA51" s="49"/>
    </row>
  </sheetData>
  <conditionalFormatting sqref="X10:X1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{6B4E7334-0EFE-46FD-A019-2CE908447801}</x14:id>
        </ext>
      </extLst>
    </cfRule>
  </conditionalFormatting>
  <pageMargins left="0.7" right="0.7" top="0.75" bottom="0.75" header="0.3" footer="0.3"/>
  <pageSetup paperSize="8" scale="33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4E7334-0EFE-46FD-A019-2CE908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X10:X19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6ABB-B0B3-4644-8E82-55CC30345670}">
  <dimension ref="A1:O160"/>
  <sheetViews>
    <sheetView topLeftCell="A7" workbookViewId="0">
      <selection activeCell="G21" sqref="G21"/>
    </sheetView>
  </sheetViews>
  <sheetFormatPr defaultRowHeight="16.5" x14ac:dyDescent="0.3"/>
  <cols>
    <col min="1" max="1" width="12" style="1" customWidth="1"/>
    <col min="2" max="2" width="25.85546875" style="26" bestFit="1" customWidth="1"/>
    <col min="3" max="3" width="39" style="1" bestFit="1" customWidth="1"/>
    <col min="4" max="4" width="12.140625" style="1" bestFit="1" customWidth="1"/>
    <col min="5" max="6" width="10.85546875" style="1" bestFit="1" customWidth="1"/>
    <col min="7" max="7" width="7.140625" style="1" bestFit="1" customWidth="1"/>
    <col min="8" max="8" width="10.85546875" style="1" bestFit="1" customWidth="1"/>
    <col min="9" max="9" width="11" style="1" bestFit="1" customWidth="1"/>
    <col min="10" max="16384" width="9.140625" style="1"/>
  </cols>
  <sheetData>
    <row r="1" spans="1:15" x14ac:dyDescent="0.3">
      <c r="A1" s="1" t="s">
        <v>65</v>
      </c>
      <c r="B1" s="26" t="s">
        <v>29</v>
      </c>
      <c r="C1" s="1" t="s">
        <v>29</v>
      </c>
      <c r="D1" s="1" t="s">
        <v>29</v>
      </c>
      <c r="E1" s="1" t="s">
        <v>29</v>
      </c>
      <c r="F1" s="1" t="s">
        <v>29</v>
      </c>
      <c r="G1" s="1" t="s">
        <v>29</v>
      </c>
      <c r="H1" s="1" t="s">
        <v>29</v>
      </c>
      <c r="I1" s="1" t="s">
        <v>29</v>
      </c>
    </row>
    <row r="2" spans="1:15" x14ac:dyDescent="0.3">
      <c r="B2" s="25" t="s">
        <v>56</v>
      </c>
    </row>
    <row r="3" spans="1:15" x14ac:dyDescent="0.3">
      <c r="B3" s="26" t="str">
        <f>'Finance Review'!B4</f>
        <v>Project Code:</v>
      </c>
      <c r="C3" s="14" t="str">
        <f>'Finance Review'!C4</f>
        <v>alb01</v>
      </c>
    </row>
    <row r="4" spans="1:15" x14ac:dyDescent="0.3">
      <c r="B4" s="26" t="str">
        <f>'Finance Review'!B5</f>
        <v>Project/Service  Name:</v>
      </c>
      <c r="C4" s="14" t="str">
        <f>'Finance Review'!C5</f>
        <v>Options Moray</v>
      </c>
    </row>
    <row r="5" spans="1:15" x14ac:dyDescent="0.3">
      <c r="C5" s="14"/>
    </row>
    <row r="6" spans="1:15" x14ac:dyDescent="0.3">
      <c r="B6" s="26" t="s">
        <v>5</v>
      </c>
      <c r="C6" s="14" t="str">
        <f>'Finance Review'!C10</f>
        <v>01/04/2018..31/12/2018</v>
      </c>
    </row>
    <row r="7" spans="1:15" x14ac:dyDescent="0.3">
      <c r="C7" s="14"/>
    </row>
    <row r="8" spans="1:15" s="21" customFormat="1" ht="28.5" x14ac:dyDescent="0.2">
      <c r="B8" s="27" t="s">
        <v>48</v>
      </c>
      <c r="C8" s="21" t="s">
        <v>49</v>
      </c>
      <c r="D8" s="21" t="s">
        <v>50</v>
      </c>
      <c r="E8" s="21" t="s">
        <v>51</v>
      </c>
      <c r="F8" s="31" t="s">
        <v>24</v>
      </c>
      <c r="G8" s="21" t="s">
        <v>25</v>
      </c>
      <c r="H8" s="21" t="s">
        <v>52</v>
      </c>
      <c r="I8" s="21" t="s">
        <v>53</v>
      </c>
    </row>
    <row r="9" spans="1:15" s="12" customFormat="1" x14ac:dyDescent="0.3">
      <c r="B9" s="26" t="str">
        <f>_xll.NL("Rows","G/L Account","No.","No.","100000..101070")</f>
        <v>100000</v>
      </c>
      <c r="C9" s="1" t="str">
        <f>_xll.NL("First","G/L Account","Name","No.",$B9)</f>
        <v>Revenue Accounts</v>
      </c>
      <c r="D9" s="14">
        <f>_xll.GL("Balance",$B9,Criteria!$D$6,Criteria!$D$7,,$C$3)</f>
        <v>0</v>
      </c>
      <c r="E9" s="14">
        <f>_xll.GL("Budget",$B9,Criteria!$D$6,Criteria!$D$7,,$C$3,,,,,Criteria!$D$9)</f>
        <v>0</v>
      </c>
      <c r="F9" s="32">
        <f>D9-E9</f>
        <v>0</v>
      </c>
      <c r="G9" s="23" t="str">
        <f>IFERROR(F9/E9,"")</f>
        <v/>
      </c>
      <c r="H9" s="14">
        <f>_xll.GL("Budget",$B9,Criteria!$D$4,Criteria!$D$5,,$C$3,,,,,Criteria!$D$9)</f>
        <v>0</v>
      </c>
      <c r="I9" s="14">
        <f>_xll.GL("Balance",$B9,Criteria!$D$12,Criteria!$D$15,,$C$3)</f>
        <v>0</v>
      </c>
      <c r="L9" s="26"/>
      <c r="M9" s="1"/>
      <c r="N9" s="14"/>
      <c r="O9" s="14"/>
    </row>
    <row r="10" spans="1:15" s="21" customFormat="1" x14ac:dyDescent="0.3">
      <c r="B10" s="25"/>
      <c r="C10" s="9"/>
      <c r="D10" s="14"/>
      <c r="E10" s="14"/>
      <c r="F10" s="32"/>
      <c r="G10" s="23"/>
      <c r="H10" s="14"/>
      <c r="I10" s="14"/>
    </row>
    <row r="11" spans="1:15" s="50" customFormat="1" ht="14.25" x14ac:dyDescent="0.2">
      <c r="B11" s="51">
        <v>101995</v>
      </c>
      <c r="C11" s="52" t="str">
        <f>_xll.NL("First","G/L Account","Name","No.",$B11)</f>
        <v>Statutory Income Total</v>
      </c>
      <c r="D11" s="53">
        <f>SUM(D9:D10)</f>
        <v>0</v>
      </c>
      <c r="E11" s="53">
        <f>SUM(E9:E10)</f>
        <v>0</v>
      </c>
      <c r="F11" s="54">
        <f>D11-E11</f>
        <v>0</v>
      </c>
      <c r="G11" s="55" t="str">
        <f>IFERROR(F11/E11,"")</f>
        <v/>
      </c>
      <c r="H11" s="53">
        <f>SUM(H9:H10)</f>
        <v>0</v>
      </c>
      <c r="I11" s="53">
        <f>SUM(I9:I10)</f>
        <v>0</v>
      </c>
    </row>
    <row r="12" spans="1:15" x14ac:dyDescent="0.3">
      <c r="D12" s="14"/>
      <c r="E12" s="14"/>
      <c r="F12" s="32"/>
      <c r="G12" s="23"/>
      <c r="H12" s="14"/>
      <c r="I12" s="14"/>
    </row>
    <row r="13" spans="1:15" x14ac:dyDescent="0.3">
      <c r="B13" s="26" t="str">
        <f>_xll.NL("Rows","G/L Account","No.","No.","102000..102090")</f>
        <v>102000</v>
      </c>
      <c r="C13" s="1" t="str">
        <f>_xll.NL("First","G/L Account","Name","No.",$B13)</f>
        <v>Voluntary Income</v>
      </c>
      <c r="D13" s="14">
        <f>_xll.GL("Balance",$B13,Criteria!$D$6,Criteria!$D$7,,$C$3)</f>
        <v>0</v>
      </c>
      <c r="E13" s="14">
        <f>_xll.GL("Budget",$B13,Criteria!$D$6,Criteria!$D$7,,$C$3,,,,,Criteria!$D$9)</f>
        <v>0</v>
      </c>
      <c r="F13" s="32">
        <f>D13-E13</f>
        <v>0</v>
      </c>
      <c r="G13" s="23" t="str">
        <f>IFERROR(F13/E13,"")</f>
        <v/>
      </c>
      <c r="H13" s="14">
        <f>_xll.GL("Budget",$B13,Criteria!$D$4,Criteria!$D$5,,$C$3,,,,,Criteria!$D$9)</f>
        <v>0</v>
      </c>
      <c r="I13" s="14">
        <f>_xll.GL("Balance",$B13,Criteria!$D$12,Criteria!$D$15,,$C$3)</f>
        <v>0</v>
      </c>
    </row>
    <row r="14" spans="1:15" x14ac:dyDescent="0.3">
      <c r="B14" s="25"/>
      <c r="C14" s="9"/>
      <c r="D14" s="14"/>
      <c r="E14" s="14"/>
      <c r="F14" s="32"/>
      <c r="G14" s="23"/>
      <c r="H14" s="14"/>
      <c r="I14" s="14"/>
    </row>
    <row r="15" spans="1:15" s="52" customFormat="1" ht="14.25" x14ac:dyDescent="0.2">
      <c r="B15" s="51">
        <v>102950</v>
      </c>
      <c r="C15" s="52" t="str">
        <f>_xll.NL("First","G/L Account","Name","No.",$B15)</f>
        <v>Voluntary Income Total</v>
      </c>
      <c r="D15" s="53">
        <f>SUM(D13:D14)</f>
        <v>0</v>
      </c>
      <c r="E15" s="53">
        <f>SUM(E13:E14)</f>
        <v>0</v>
      </c>
      <c r="F15" s="54">
        <f>D15-E15</f>
        <v>0</v>
      </c>
      <c r="G15" s="55" t="str">
        <f>IFERROR(F15/E15,"")</f>
        <v/>
      </c>
      <c r="H15" s="53">
        <f>SUM(H13:H14)</f>
        <v>0</v>
      </c>
      <c r="I15" s="53">
        <f>SUM(I13:I14)</f>
        <v>0</v>
      </c>
    </row>
    <row r="16" spans="1:15" x14ac:dyDescent="0.3">
      <c r="D16" s="14"/>
      <c r="E16" s="14"/>
      <c r="F16" s="54"/>
      <c r="G16" s="23"/>
      <c r="H16" s="14"/>
      <c r="I16" s="14"/>
    </row>
    <row r="17" spans="2:9" x14ac:dyDescent="0.3">
      <c r="B17" s="26" t="str">
        <f>_xll.NL("Rows","G/L Account","No.","No.","103000..103980")</f>
        <v>103000</v>
      </c>
      <c r="C17" s="1" t="str">
        <f>_xll.NL("First","G/L Account","Name","No.",$B17)</f>
        <v>Earned Income</v>
      </c>
      <c r="D17" s="14">
        <f>_xll.GL("Balance",$B17,Criteria!$D$6,Criteria!$D$7,,$C$3)</f>
        <v>0</v>
      </c>
      <c r="E17" s="14">
        <f>_xll.GL("Budget",$B17,Criteria!$D$6,Criteria!$D$7,,$C$3,,,,,Criteria!$D$9)</f>
        <v>0</v>
      </c>
      <c r="F17" s="54">
        <f>D17-E17</f>
        <v>0</v>
      </c>
      <c r="G17" s="23" t="str">
        <f>IFERROR(F17/E17,"")</f>
        <v/>
      </c>
      <c r="H17" s="14">
        <f>_xll.GL("Budget",$B17,Criteria!$D$4,Criteria!$D$5,,$C$3,,,,,Criteria!$D$9)</f>
        <v>0</v>
      </c>
      <c r="I17" s="14">
        <f>_xll.GL("Balance",$B17,Criteria!$D$12,Criteria!$D$15,,$C$3)</f>
        <v>0</v>
      </c>
    </row>
    <row r="18" spans="2:9" x14ac:dyDescent="0.3">
      <c r="B18" s="25"/>
      <c r="C18" s="9"/>
      <c r="D18" s="14"/>
      <c r="E18" s="14"/>
      <c r="F18" s="54"/>
      <c r="G18" s="23"/>
      <c r="H18" s="14"/>
      <c r="I18" s="14"/>
    </row>
    <row r="19" spans="2:9" s="52" customFormat="1" ht="14.25" x14ac:dyDescent="0.2">
      <c r="B19" s="51">
        <v>103950</v>
      </c>
      <c r="C19" s="52" t="str">
        <f>_xll.NL("First","G/L Account","Name","No.",$B19)</f>
        <v>Earned Income Total</v>
      </c>
      <c r="D19" s="53">
        <f>SUM(D17:D18)</f>
        <v>0</v>
      </c>
      <c r="E19" s="53">
        <f>SUM(E17:E18)</f>
        <v>0</v>
      </c>
      <c r="F19" s="54">
        <f>D19-E19</f>
        <v>0</v>
      </c>
      <c r="G19" s="55" t="str">
        <f>IFERROR(F19/E19,"")</f>
        <v/>
      </c>
      <c r="H19" s="53">
        <f>SUM(H17:H18)</f>
        <v>0</v>
      </c>
      <c r="I19" s="53">
        <f>SUM(I17:I18)</f>
        <v>0</v>
      </c>
    </row>
    <row r="20" spans="2:9" s="9" customFormat="1" ht="14.25" x14ac:dyDescent="0.2">
      <c r="B20" s="25"/>
      <c r="D20" s="15"/>
      <c r="E20" s="15"/>
      <c r="F20" s="54"/>
      <c r="G20" s="24"/>
      <c r="H20" s="15"/>
      <c r="I20" s="15"/>
    </row>
    <row r="21" spans="2:9" x14ac:dyDescent="0.3">
      <c r="B21" s="26">
        <v>199999</v>
      </c>
      <c r="C21" s="52" t="str">
        <f>_xll.NL("First","G/L Account","Name","No.",$B21)</f>
        <v>Total Income</v>
      </c>
      <c r="D21" s="56">
        <f>_xll.GL("Balance",$B21,Criteria!$D$6,Criteria!$D$7,,$C$3)</f>
        <v>-382865.82</v>
      </c>
      <c r="E21" s="56">
        <f>_xll.GL("Budget",$B21,Criteria!$D$6,Criteria!$D$7,,$C$3,,,,,Criteria!$D$9)</f>
        <v>-364662</v>
      </c>
      <c r="F21" s="57">
        <f>D21-E21</f>
        <v>-18203.820000000007</v>
      </c>
      <c r="G21" s="58">
        <f>IFERROR(F21/E21,"")</f>
        <v>4.9919706467907284E-2</v>
      </c>
      <c r="H21" s="56">
        <f>_xll.GL("Budget",$B21,Criteria!$D$4,Criteria!$D$5,,$C$3,,,,,Criteria!$D$9)</f>
        <v>-486233.00000000006</v>
      </c>
      <c r="I21" s="56">
        <f>_xll.GL("Balance",$B21,Criteria!$D$12,Criteria!$D$15,,$C$3)</f>
        <v>-484079.17</v>
      </c>
    </row>
    <row r="22" spans="2:9" x14ac:dyDescent="0.3">
      <c r="D22" s="14"/>
      <c r="E22" s="14"/>
      <c r="F22" s="32"/>
      <c r="G22" s="23"/>
      <c r="H22" s="14"/>
      <c r="I22" s="14"/>
    </row>
    <row r="23" spans="2:9" x14ac:dyDescent="0.3">
      <c r="B23" s="26" t="str">
        <f>_xll.NL("Rows","G/L Account","No.","No.","200000..201950")</f>
        <v>200000</v>
      </c>
      <c r="C23" s="1" t="str">
        <f>_xll.NL("First","G/L Account","Name","No.",$B23)</f>
        <v>Expenditure</v>
      </c>
      <c r="D23" s="14">
        <f>_xll.GL("Balance",$B23,Criteria!$D$6,Criteria!$D$7,,$C$3)</f>
        <v>0</v>
      </c>
      <c r="E23" s="14">
        <f>_xll.GL("Budget",$B23,Criteria!$D$6,Criteria!$D$7,,$C$3,,,,,Criteria!$D$9)</f>
        <v>0</v>
      </c>
      <c r="F23" s="32">
        <f>D23-E23</f>
        <v>0</v>
      </c>
      <c r="G23" s="23" t="str">
        <f>IFERROR(F23/E23,"")</f>
        <v/>
      </c>
      <c r="H23" s="14">
        <f>_xll.GL("Budget",$B23,Criteria!$D$4,Criteria!$D$5,,$C$3,,,,,Criteria!$D$9)</f>
        <v>0</v>
      </c>
      <c r="I23" s="14">
        <f>_xll.GL("Balance",$B23,Criteria!$D$12,Criteria!$D$15,,$C$3)</f>
        <v>0</v>
      </c>
    </row>
    <row r="24" spans="2:9" x14ac:dyDescent="0.3">
      <c r="B24" s="25"/>
      <c r="C24" s="9"/>
      <c r="D24" s="14"/>
      <c r="E24" s="14"/>
      <c r="F24" s="32"/>
      <c r="G24" s="23"/>
      <c r="H24" s="14"/>
      <c r="I24" s="14"/>
    </row>
    <row r="25" spans="2:9" x14ac:dyDescent="0.3">
      <c r="B25" s="51">
        <v>201950</v>
      </c>
      <c r="C25" s="52" t="str">
        <f>_xll.NL("First","G/L Account","Name","No.",$B25)</f>
        <v>Total Employment Costs</v>
      </c>
      <c r="D25" s="53">
        <f>SUM(D23:D24)</f>
        <v>0</v>
      </c>
      <c r="E25" s="53">
        <f>SUM(E23:E24)</f>
        <v>0</v>
      </c>
      <c r="F25" s="54">
        <f>D25-E25</f>
        <v>0</v>
      </c>
      <c r="G25" s="55" t="str">
        <f>IFERROR(F25/E25,"")</f>
        <v/>
      </c>
      <c r="H25" s="53">
        <f>SUM(H23:H24)</f>
        <v>0</v>
      </c>
      <c r="I25" s="53">
        <f>SUM(I23:I24)</f>
        <v>0</v>
      </c>
    </row>
    <row r="26" spans="2:9" x14ac:dyDescent="0.3">
      <c r="D26" s="14"/>
      <c r="E26" s="14"/>
      <c r="F26" s="32"/>
      <c r="G26" s="23"/>
      <c r="H26" s="14"/>
      <c r="I26" s="14"/>
    </row>
    <row r="27" spans="2:9" x14ac:dyDescent="0.3">
      <c r="B27" s="26" t="str">
        <f>_xll.NL("Rows","G/L Account","No.","No.","202000..202020")</f>
        <v>202000</v>
      </c>
      <c r="C27" s="1" t="str">
        <f>_xll.NL("First","G/L Account","Name","No.",$B27)</f>
        <v>Staff Training Costs</v>
      </c>
      <c r="D27" s="14">
        <f>_xll.GL("Balance",$B27,Criteria!$D$6,Criteria!$D$7,,$C$3)</f>
        <v>0</v>
      </c>
      <c r="E27" s="14">
        <f>_xll.GL("Budget",$B27,Criteria!$D$6,Criteria!$D$7,,$C$3,,,,,Criteria!$D$9)</f>
        <v>0</v>
      </c>
      <c r="F27" s="32">
        <f>D27-E27</f>
        <v>0</v>
      </c>
      <c r="G27" s="23" t="str">
        <f>IFERROR(F27/E27,"")</f>
        <v/>
      </c>
      <c r="H27" s="14">
        <f>_xll.GL("Budget",$B27,Criteria!$D$4,Criteria!$D$5,,$C$3,,,,,Criteria!$D$9)</f>
        <v>0</v>
      </c>
      <c r="I27" s="14">
        <f>_xll.GL("Balance",$B27,Criteria!$D$12,Criteria!$D$15,,$C$3)</f>
        <v>0</v>
      </c>
    </row>
    <row r="28" spans="2:9" x14ac:dyDescent="0.3">
      <c r="B28" s="25"/>
      <c r="C28" s="9"/>
      <c r="D28" s="14"/>
      <c r="E28" s="14"/>
      <c r="F28" s="32"/>
      <c r="G28" s="23"/>
      <c r="H28" s="14"/>
      <c r="I28" s="14"/>
    </row>
    <row r="29" spans="2:9" x14ac:dyDescent="0.3">
      <c r="B29" s="51">
        <v>202950</v>
      </c>
      <c r="C29" s="52" t="str">
        <f>_xll.NL("First","G/L Account","Name","No.",$B29)</f>
        <v>Total Staff Training Costs</v>
      </c>
      <c r="D29" s="53">
        <f>SUM(D27:D28)</f>
        <v>0</v>
      </c>
      <c r="E29" s="53">
        <f>SUM(E27:E28)</f>
        <v>0</v>
      </c>
      <c r="F29" s="54">
        <f>D29-E29</f>
        <v>0</v>
      </c>
      <c r="G29" s="55" t="str">
        <f>IFERROR(F29/E29,"")</f>
        <v/>
      </c>
      <c r="H29" s="53">
        <f>SUM(H27:H28)</f>
        <v>0</v>
      </c>
      <c r="I29" s="53">
        <f>SUM(I27:I28)</f>
        <v>0</v>
      </c>
    </row>
    <row r="30" spans="2:9" s="9" customFormat="1" ht="14.25" x14ac:dyDescent="0.2">
      <c r="B30" s="25"/>
      <c r="D30" s="15"/>
      <c r="E30" s="15"/>
      <c r="F30" s="59"/>
      <c r="G30" s="24"/>
      <c r="H30" s="15"/>
      <c r="I30" s="15"/>
    </row>
    <row r="31" spans="2:9" s="9" customFormat="1" x14ac:dyDescent="0.3">
      <c r="B31" s="26" t="str">
        <f>_xll.NL("Rows","G/L Account","No.","No.","203000..203130")</f>
        <v>203000</v>
      </c>
      <c r="C31" s="1" t="str">
        <f>_xll.NL("First","G/L Account","Name","No.",$B31)</f>
        <v>Direct Project/Deptment Costs</v>
      </c>
      <c r="D31" s="14">
        <f>_xll.GL("Balance",$B31,Criteria!$D$6,Criteria!$D$7,,$C$3)</f>
        <v>0</v>
      </c>
      <c r="E31" s="14">
        <f>_xll.GL("Budget",$B31,Criteria!$D$6,Criteria!$D$7,,$C$3,,,,,Criteria!$D$9)</f>
        <v>0</v>
      </c>
      <c r="F31" s="32">
        <f>D31-E31</f>
        <v>0</v>
      </c>
      <c r="G31" s="23" t="str">
        <f>IFERROR(F31/E31,"")</f>
        <v/>
      </c>
      <c r="H31" s="14">
        <f>_xll.GL("Budget",$B31,Criteria!$D$4,Criteria!$D$5,,$C$3,,,,,Criteria!$D$9)</f>
        <v>0</v>
      </c>
      <c r="I31" s="14">
        <f>_xll.GL("Balance",$B31,Criteria!$D$12,Criteria!$D$15,,$C$3)</f>
        <v>0</v>
      </c>
    </row>
    <row r="32" spans="2:9" x14ac:dyDescent="0.3">
      <c r="B32" s="25"/>
      <c r="C32" s="9"/>
      <c r="D32" s="14"/>
      <c r="E32" s="14"/>
      <c r="F32" s="32"/>
      <c r="G32" s="23"/>
      <c r="H32" s="14"/>
      <c r="I32" s="14"/>
    </row>
    <row r="33" spans="2:9" x14ac:dyDescent="0.3">
      <c r="B33" s="51">
        <v>203950</v>
      </c>
      <c r="C33" s="52" t="str">
        <f>_xll.NL("First","G/L Account","Name","No.",$B33)</f>
        <v>Total Direct Proj/Dept Costs</v>
      </c>
      <c r="D33" s="53">
        <f>SUM(D31:D32)</f>
        <v>0</v>
      </c>
      <c r="E33" s="53">
        <f>SUM(E31:E32)</f>
        <v>0</v>
      </c>
      <c r="F33" s="54">
        <f>D33-E33</f>
        <v>0</v>
      </c>
      <c r="G33" s="55" t="str">
        <f>IFERROR(F33/E33,"")</f>
        <v/>
      </c>
      <c r="H33" s="53">
        <f>SUM(H31:H32)</f>
        <v>0</v>
      </c>
      <c r="I33" s="53">
        <f>SUM(I31:I32)</f>
        <v>0</v>
      </c>
    </row>
    <row r="34" spans="2:9" x14ac:dyDescent="0.3">
      <c r="D34" s="14"/>
      <c r="E34" s="14"/>
      <c r="F34" s="32"/>
      <c r="G34" s="23"/>
      <c r="H34" s="14"/>
      <c r="I34" s="14"/>
    </row>
    <row r="35" spans="2:9" s="9" customFormat="1" x14ac:dyDescent="0.3">
      <c r="B35" s="26" t="str">
        <f>_xll.NL("Rows","G/L Account","No.","No.","204000..204070")</f>
        <v>204000</v>
      </c>
      <c r="C35" s="1" t="str">
        <f>_xll.NL("First","G/L Account","Name","No.",$B35)</f>
        <v>Maintenance (Repair &amp; Renew)</v>
      </c>
      <c r="D35" s="14">
        <f>_xll.GL("Balance",$B35,Criteria!$D$6,Criteria!$D$7,,$C$3)</f>
        <v>0</v>
      </c>
      <c r="E35" s="14">
        <f>_xll.GL("Budget",$B35,Criteria!$D$6,Criteria!$D$7,,$C$3,,,,,Criteria!$D$9)</f>
        <v>0</v>
      </c>
      <c r="F35" s="32">
        <f>D35-E35</f>
        <v>0</v>
      </c>
      <c r="G35" s="23" t="str">
        <f>IFERROR(F35/E35,"")</f>
        <v/>
      </c>
      <c r="H35" s="14">
        <f>_xll.GL("Budget",$B35,Criteria!$D$4,Criteria!$D$5,,$C$3,,,,,Criteria!$D$9)</f>
        <v>0</v>
      </c>
      <c r="I35" s="14">
        <f>_xll.GL("Balance",$B35,Criteria!$D$12,Criteria!$D$15,,$C$3)</f>
        <v>0</v>
      </c>
    </row>
    <row r="36" spans="2:9" x14ac:dyDescent="0.3">
      <c r="B36" s="25"/>
      <c r="C36" s="9"/>
      <c r="D36" s="14"/>
      <c r="E36" s="14"/>
      <c r="F36" s="32"/>
      <c r="G36" s="23"/>
      <c r="H36" s="14"/>
      <c r="I36" s="14"/>
    </row>
    <row r="37" spans="2:9" x14ac:dyDescent="0.3">
      <c r="B37" s="51">
        <v>204950</v>
      </c>
      <c r="C37" s="52" t="str">
        <f>_xll.NL("First","G/L Account","Name","No.",$B37)</f>
        <v>Total Maintenance</v>
      </c>
      <c r="D37" s="53">
        <f>SUM(D35:D36)</f>
        <v>0</v>
      </c>
      <c r="E37" s="53">
        <f>SUM(E35:E36)</f>
        <v>0</v>
      </c>
      <c r="F37" s="54">
        <f>D37-E37</f>
        <v>0</v>
      </c>
      <c r="G37" s="55" t="str">
        <f>IFERROR(F37/E37,"")</f>
        <v/>
      </c>
      <c r="H37" s="53">
        <f>SUM(H35:H36)</f>
        <v>0</v>
      </c>
      <c r="I37" s="53">
        <f>SUM(I35:I36)</f>
        <v>0</v>
      </c>
    </row>
    <row r="38" spans="2:9" x14ac:dyDescent="0.3">
      <c r="D38" s="14"/>
      <c r="E38" s="14"/>
      <c r="F38" s="32"/>
      <c r="G38" s="23"/>
      <c r="H38" s="14"/>
      <c r="I38" s="14"/>
    </row>
    <row r="39" spans="2:9" s="9" customFormat="1" x14ac:dyDescent="0.3">
      <c r="B39" s="26" t="str">
        <f>_xll.NL("Rows","G/L Account","No.","No.","205000..205050")</f>
        <v>205000</v>
      </c>
      <c r="C39" s="1" t="str">
        <f>_xll.NL("First","G/L Account","Name","No.",$B39)</f>
        <v>Travel &amp; Subsistence</v>
      </c>
      <c r="D39" s="14">
        <f>_xll.GL("Balance",$B39,Criteria!$D$6,Criteria!$D$7,,$C$3)</f>
        <v>0</v>
      </c>
      <c r="E39" s="14">
        <f>_xll.GL("Budget",$B39,Criteria!$D$6,Criteria!$D$7,,$C$3,,,,,Criteria!$D$9)</f>
        <v>0</v>
      </c>
      <c r="F39" s="32">
        <f>D39-E39</f>
        <v>0</v>
      </c>
      <c r="G39" s="23" t="str">
        <f>IFERROR(F39/E39,"")</f>
        <v/>
      </c>
      <c r="H39" s="14">
        <f>_xll.GL("Budget",$B39,Criteria!$D$4,Criteria!$D$5,,$C$3,,,,,Criteria!$D$9)</f>
        <v>0</v>
      </c>
      <c r="I39" s="14">
        <f>_xll.GL("Balance",$B39,Criteria!$D$12,Criteria!$D$15,,$C$3)</f>
        <v>0</v>
      </c>
    </row>
    <row r="40" spans="2:9" x14ac:dyDescent="0.3">
      <c r="B40" s="25"/>
      <c r="C40" s="9"/>
      <c r="D40" s="14"/>
      <c r="E40" s="14"/>
      <c r="F40" s="32"/>
      <c r="G40" s="23"/>
      <c r="H40" s="14"/>
      <c r="I40" s="14"/>
    </row>
    <row r="41" spans="2:9" x14ac:dyDescent="0.3">
      <c r="B41" s="51">
        <v>205950</v>
      </c>
      <c r="C41" s="52" t="str">
        <f>_xll.NL("First","G/L Account","Name","No.",$B41)</f>
        <v>Total Travel &amp; Subsistence</v>
      </c>
      <c r="D41" s="53">
        <f>SUM(D39:D40)</f>
        <v>0</v>
      </c>
      <c r="E41" s="53">
        <f>SUM(E39:E40)</f>
        <v>0</v>
      </c>
      <c r="F41" s="54">
        <f>D41-E41</f>
        <v>0</v>
      </c>
      <c r="G41" s="55" t="str">
        <f>IFERROR(F41/E41,"")</f>
        <v/>
      </c>
      <c r="H41" s="53">
        <f>SUM(H39:H40)</f>
        <v>0</v>
      </c>
      <c r="I41" s="53">
        <f>SUM(I39:I40)</f>
        <v>0</v>
      </c>
    </row>
    <row r="42" spans="2:9" x14ac:dyDescent="0.3">
      <c r="D42" s="14"/>
      <c r="E42" s="14"/>
      <c r="F42" s="32"/>
      <c r="G42" s="23"/>
      <c r="H42" s="14"/>
      <c r="I42" s="14"/>
    </row>
    <row r="43" spans="2:9" s="9" customFormat="1" x14ac:dyDescent="0.3">
      <c r="B43" s="26" t="str">
        <f>_xll.NL("Rows","G/L Account","No.","No.","206000..206060")</f>
        <v>206000</v>
      </c>
      <c r="C43" s="1" t="str">
        <f>_xll.NL("First","G/L Account","Name","No.",$B43)</f>
        <v>Vehicle Costs</v>
      </c>
      <c r="D43" s="14">
        <f>_xll.GL("Balance",$B43,Criteria!$D$6,Criteria!$D$7,,$C$3)</f>
        <v>0</v>
      </c>
      <c r="E43" s="14">
        <f>_xll.GL("Budget",$B43,Criteria!$D$6,Criteria!$D$7,,$C$3,,,,,Criteria!$D$9)</f>
        <v>0</v>
      </c>
      <c r="F43" s="32">
        <f>D43-E43</f>
        <v>0</v>
      </c>
      <c r="G43" s="23" t="str">
        <f>IFERROR(F43/E43,"")</f>
        <v/>
      </c>
      <c r="H43" s="14">
        <f>_xll.GL("Budget",$B43,Criteria!$D$4,Criteria!$D$5,,$C$3,,,,,Criteria!$D$9)</f>
        <v>0</v>
      </c>
      <c r="I43" s="14">
        <f>_xll.GL("Balance",$B43,Criteria!$D$12,Criteria!$D$15,,$C$3)</f>
        <v>0</v>
      </c>
    </row>
    <row r="44" spans="2:9" x14ac:dyDescent="0.3">
      <c r="B44" s="25"/>
      <c r="C44" s="9"/>
      <c r="D44" s="14"/>
      <c r="E44" s="14"/>
      <c r="F44" s="32"/>
      <c r="G44" s="23"/>
      <c r="H44" s="14"/>
      <c r="I44" s="14"/>
    </row>
    <row r="45" spans="2:9" x14ac:dyDescent="0.3">
      <c r="B45" s="51">
        <v>206950</v>
      </c>
      <c r="C45" s="52" t="str">
        <f>_xll.NL("First","G/L Account","Name","No.",$B45)</f>
        <v>Total Vehicle Costs</v>
      </c>
      <c r="D45" s="53">
        <f>SUM(D43:D44)</f>
        <v>0</v>
      </c>
      <c r="E45" s="53">
        <f>SUM(E43:E44)</f>
        <v>0</v>
      </c>
      <c r="F45" s="54">
        <f>D45-E45</f>
        <v>0</v>
      </c>
      <c r="G45" s="55" t="str">
        <f>IFERROR(F45/E45,"")</f>
        <v/>
      </c>
      <c r="H45" s="53">
        <f>SUM(H43:H44)</f>
        <v>0</v>
      </c>
      <c r="I45" s="53">
        <f>SUM(I43:I44)</f>
        <v>0</v>
      </c>
    </row>
    <row r="46" spans="2:9" x14ac:dyDescent="0.3">
      <c r="D46" s="14"/>
      <c r="E46" s="14"/>
      <c r="F46" s="32"/>
      <c r="G46" s="23"/>
      <c r="H46" s="14"/>
      <c r="I46" s="14"/>
    </row>
    <row r="47" spans="2:9" s="9" customFormat="1" x14ac:dyDescent="0.3">
      <c r="B47" s="26" t="str">
        <f>_xll.NL("Rows","G/L Account","No.","No.","207000..207130")</f>
        <v>207000</v>
      </c>
      <c r="C47" s="1" t="str">
        <f>_xll.NL("First","G/L Account","Name","No.",$B47)</f>
        <v>Overheads</v>
      </c>
      <c r="D47" s="14">
        <f>_xll.GL("Balance",$B47,Criteria!$D$6,Criteria!$D$7,,$C$3)</f>
        <v>0</v>
      </c>
      <c r="E47" s="14">
        <f>_xll.GL("Budget",$B47,Criteria!$D$6,Criteria!$D$7,,$C$3,,,,,Criteria!$D$9)</f>
        <v>0</v>
      </c>
      <c r="F47" s="32">
        <f>D47-E47</f>
        <v>0</v>
      </c>
      <c r="G47" s="23" t="str">
        <f>IFERROR(F47/E47,"")</f>
        <v/>
      </c>
      <c r="H47" s="14">
        <f>_xll.GL("Budget",$B47,Criteria!$D$4,Criteria!$D$5,,$C$3,,,,,Criteria!$D$9)</f>
        <v>0</v>
      </c>
      <c r="I47" s="14">
        <f>_xll.GL("Balance",$B47,Criteria!$D$12,Criteria!$D$15,,$C$3)</f>
        <v>0</v>
      </c>
    </row>
    <row r="48" spans="2:9" x14ac:dyDescent="0.3">
      <c r="B48" s="25"/>
      <c r="C48" s="9"/>
      <c r="D48" s="14"/>
      <c r="E48" s="14"/>
      <c r="F48" s="32"/>
      <c r="G48" s="23"/>
      <c r="H48" s="14"/>
      <c r="I48" s="14"/>
    </row>
    <row r="49" spans="2:9" x14ac:dyDescent="0.3">
      <c r="B49" s="51">
        <v>207950</v>
      </c>
      <c r="C49" s="52" t="str">
        <f>_xll.NL("First","G/L Account","Name","No.",$B49)</f>
        <v>Total Overheads</v>
      </c>
      <c r="D49" s="53">
        <f>SUM(D47:D48)</f>
        <v>0</v>
      </c>
      <c r="E49" s="53">
        <f>SUM(E47:E48)</f>
        <v>0</v>
      </c>
      <c r="F49" s="54">
        <f>D49-E49</f>
        <v>0</v>
      </c>
      <c r="G49" s="55" t="str">
        <f>IFERROR(F49/E49,"")</f>
        <v/>
      </c>
      <c r="H49" s="53">
        <f>SUM(H47:H48)</f>
        <v>0</v>
      </c>
      <c r="I49" s="53">
        <f>SUM(I47:I48)</f>
        <v>0</v>
      </c>
    </row>
    <row r="50" spans="2:9" x14ac:dyDescent="0.3">
      <c r="D50" s="14"/>
      <c r="E50" s="14"/>
      <c r="F50" s="32"/>
      <c r="G50" s="23"/>
      <c r="H50" s="14"/>
      <c r="I50" s="14"/>
    </row>
    <row r="51" spans="2:9" s="9" customFormat="1" x14ac:dyDescent="0.3">
      <c r="B51" s="26" t="str">
        <f>_xll.NL("Rows","G/L Account","No.","No.","208000..208120")</f>
        <v>208000</v>
      </c>
      <c r="C51" s="1" t="str">
        <f>_xll.NL("First","G/L Account","Name","No.",$B51)</f>
        <v>Consultancy &amp; Fees</v>
      </c>
      <c r="D51" s="14">
        <f>_xll.GL("Balance",$B51,Criteria!$D$6,Criteria!$D$7,,$C$3)</f>
        <v>0</v>
      </c>
      <c r="E51" s="14">
        <f>_xll.GL("Budget",$B51,Criteria!$D$6,Criteria!$D$7,,$C$3,,,,,Criteria!$D$9)</f>
        <v>0</v>
      </c>
      <c r="F51" s="32">
        <f>D51-E51</f>
        <v>0</v>
      </c>
      <c r="G51" s="23" t="str">
        <f>IFERROR(F51/E51,"")</f>
        <v/>
      </c>
      <c r="H51" s="14">
        <f>_xll.GL("Budget",$B51,Criteria!$D$4,Criteria!$D$5,,$C$3,,,,,Criteria!$D$9)</f>
        <v>0</v>
      </c>
      <c r="I51" s="14">
        <f>_xll.GL("Balance",$B51,Criteria!$D$12,Criteria!$D$15,,$C$3)</f>
        <v>0</v>
      </c>
    </row>
    <row r="52" spans="2:9" x14ac:dyDescent="0.3">
      <c r="B52" s="25"/>
      <c r="C52" s="9"/>
      <c r="D52" s="14"/>
      <c r="E52" s="14"/>
      <c r="F52" s="32"/>
      <c r="G52" s="23"/>
      <c r="H52" s="14"/>
      <c r="I52" s="14"/>
    </row>
    <row r="53" spans="2:9" x14ac:dyDescent="0.3">
      <c r="B53" s="51">
        <v>208950</v>
      </c>
      <c r="C53" s="52" t="str">
        <f>_xll.NL("First","G/L Account","Name","No.",$B53)</f>
        <v>Total Consultancy &amp; Fees</v>
      </c>
      <c r="D53" s="53">
        <f>SUM(D51:D52)</f>
        <v>0</v>
      </c>
      <c r="E53" s="53">
        <f>SUM(E51:E52)</f>
        <v>0</v>
      </c>
      <c r="F53" s="54">
        <f>D53-E53</f>
        <v>0</v>
      </c>
      <c r="G53" s="55" t="str">
        <f>IFERROR(F53/E53,"")</f>
        <v/>
      </c>
      <c r="H53" s="53">
        <f>SUM(H51:H52)</f>
        <v>0</v>
      </c>
      <c r="I53" s="53">
        <f>SUM(I51:I52)</f>
        <v>0</v>
      </c>
    </row>
    <row r="54" spans="2:9" x14ac:dyDescent="0.3">
      <c r="D54" s="14"/>
      <c r="E54" s="14"/>
      <c r="F54" s="32"/>
      <c r="G54" s="23"/>
      <c r="H54" s="14"/>
      <c r="I54" s="14"/>
    </row>
    <row r="55" spans="2:9" s="9" customFormat="1" x14ac:dyDescent="0.3">
      <c r="B55" s="26" t="str">
        <f>_xll.NL("Rows","G/L Account","No.","No.","209000..209070")</f>
        <v>209000</v>
      </c>
      <c r="C55" s="1" t="str">
        <f>_xll.NL("First","G/L Account","Name","No.",$B55)</f>
        <v>Head Office Cost Heads</v>
      </c>
      <c r="D55" s="14">
        <f>_xll.GL("Balance",$B55,Criteria!$D$6,Criteria!$D$7,,$C$3)</f>
        <v>0</v>
      </c>
      <c r="E55" s="14">
        <f>_xll.GL("Budget",$B55,Criteria!$D$6,Criteria!$D$7,,$C$3,,,,,Criteria!$D$9)</f>
        <v>0</v>
      </c>
      <c r="F55" s="32">
        <f>D55-E55</f>
        <v>0</v>
      </c>
      <c r="G55" s="23" t="str">
        <f>IFERROR(F55/E55,"")</f>
        <v/>
      </c>
      <c r="H55" s="14">
        <f>_xll.GL("Budget",$B55,Criteria!$D$4,Criteria!$D$5,,$C$3,,,,,Criteria!$D$9)</f>
        <v>0</v>
      </c>
      <c r="I55" s="14">
        <f>_xll.GL("Balance",$B55,Criteria!$D$12,Criteria!$D$15,,$C$3)</f>
        <v>0</v>
      </c>
    </row>
    <row r="56" spans="2:9" x14ac:dyDescent="0.3">
      <c r="B56" s="25"/>
      <c r="C56" s="9"/>
      <c r="D56" s="14"/>
      <c r="E56" s="14"/>
      <c r="F56" s="32"/>
      <c r="G56" s="23"/>
      <c r="H56" s="14"/>
      <c r="I56" s="14"/>
    </row>
    <row r="57" spans="2:9" x14ac:dyDescent="0.3">
      <c r="B57" s="51">
        <v>209950</v>
      </c>
      <c r="C57" s="52" t="str">
        <f>_xll.NL("First","G/L Account","Name","No.",$B57)</f>
        <v>Total Head Office Cost Heads</v>
      </c>
      <c r="D57" s="53">
        <f>SUM(D55:D56)</f>
        <v>0</v>
      </c>
      <c r="E57" s="53">
        <f>SUM(E55:E56)</f>
        <v>0</v>
      </c>
      <c r="F57" s="54">
        <f>D57-E57</f>
        <v>0</v>
      </c>
      <c r="G57" s="55" t="str">
        <f>IFERROR(F57/E57,"")</f>
        <v/>
      </c>
      <c r="H57" s="53">
        <f>SUM(H55:H56)</f>
        <v>0</v>
      </c>
      <c r="I57" s="53">
        <f>SUM(I55:I56)</f>
        <v>0</v>
      </c>
    </row>
    <row r="58" spans="2:9" s="9" customFormat="1" ht="14.25" x14ac:dyDescent="0.2">
      <c r="B58" s="25"/>
      <c r="D58" s="15"/>
      <c r="E58" s="15"/>
      <c r="F58" s="59"/>
      <c r="G58" s="24"/>
      <c r="H58" s="15"/>
      <c r="I58" s="15"/>
    </row>
    <row r="59" spans="2:9" s="9" customFormat="1" x14ac:dyDescent="0.3">
      <c r="B59" s="26" t="str">
        <f>_xll.NL("Rows","G/L Account","No.","No.","210000..210010")</f>
        <v>210000</v>
      </c>
      <c r="C59" s="1" t="str">
        <f>_xll.NL("First","G/L Account","Name","No.",$B59)</f>
        <v>Management Fees</v>
      </c>
      <c r="D59" s="14">
        <f>_xll.GL("Balance",$B59,Criteria!$D$6,Criteria!$D$7,,$C$3)</f>
        <v>0</v>
      </c>
      <c r="E59" s="14">
        <f>_xll.GL("Budget",$B59,Criteria!$D$6,Criteria!$D$7,,$C$3,,,,,Criteria!$D$9)</f>
        <v>0</v>
      </c>
      <c r="F59" s="32">
        <f>D59-E59</f>
        <v>0</v>
      </c>
      <c r="G59" s="23" t="str">
        <f>IFERROR(F59/E59,"")</f>
        <v/>
      </c>
      <c r="H59" s="14">
        <f>_xll.GL("Budget",$B59,Criteria!$D$4,Criteria!$D$5,,$C$3,,,,,Criteria!$D$9)</f>
        <v>0</v>
      </c>
      <c r="I59" s="14">
        <f>_xll.GL("Balance",$B59,Criteria!$D$12,Criteria!$D$15,,$C$3)</f>
        <v>0</v>
      </c>
    </row>
    <row r="60" spans="2:9" x14ac:dyDescent="0.3">
      <c r="B60" s="25"/>
      <c r="C60" s="9"/>
      <c r="D60" s="14"/>
      <c r="E60" s="14"/>
      <c r="F60" s="32"/>
      <c r="G60" s="23"/>
      <c r="H60" s="14"/>
      <c r="I60" s="14"/>
    </row>
    <row r="61" spans="2:9" x14ac:dyDescent="0.3">
      <c r="B61" s="51">
        <v>210950</v>
      </c>
      <c r="C61" s="52" t="str">
        <f>_xll.NL("First","G/L Account","Name","No.",$B61)</f>
        <v>Total Management Fees</v>
      </c>
      <c r="D61" s="53">
        <f>SUM(D59:D60)</f>
        <v>0</v>
      </c>
      <c r="E61" s="53">
        <f>SUM(E59:E60)</f>
        <v>0</v>
      </c>
      <c r="F61" s="54">
        <f>D61-E61</f>
        <v>0</v>
      </c>
      <c r="G61" s="55" t="str">
        <f>IFERROR(F61/E61,"")</f>
        <v/>
      </c>
      <c r="H61" s="53">
        <f>SUM(H59:H60)</f>
        <v>0</v>
      </c>
      <c r="I61" s="53">
        <f>SUM(I59:I60)</f>
        <v>0</v>
      </c>
    </row>
    <row r="62" spans="2:9" x14ac:dyDescent="0.3">
      <c r="D62" s="14"/>
      <c r="E62" s="14"/>
      <c r="F62" s="32"/>
      <c r="G62" s="23"/>
      <c r="H62" s="14"/>
      <c r="I62" s="14"/>
    </row>
    <row r="63" spans="2:9" x14ac:dyDescent="0.3">
      <c r="B63" s="26">
        <v>299950</v>
      </c>
      <c r="C63" s="52" t="str">
        <f>_xll.NL("First","G/L Account","Name","No.",$B63)</f>
        <v>Total Expenditure</v>
      </c>
      <c r="D63" s="56">
        <f>_xll.GL("Balance",$B63,Criteria!$D$6,Criteria!$D$7,,$C$3)</f>
        <v>375617.94</v>
      </c>
      <c r="E63" s="56">
        <f>_xll.GL("Budget",$B63,Criteria!$D$6,Criteria!$D$7,,$C$3,,,,,Criteria!$D$9)</f>
        <v>367497</v>
      </c>
      <c r="F63" s="57">
        <f>D63-E63</f>
        <v>8120.9400000000023</v>
      </c>
      <c r="G63" s="58">
        <f>IFERROR(F63/E63,"")</f>
        <v>2.2097976310010699E-2</v>
      </c>
      <c r="H63" s="56">
        <f>_xll.GL("Budget",$B63,Criteria!$D$4,Criteria!$D$5,,$C$3,,,,,Criteria!$D$9)</f>
        <v>490216.99999999994</v>
      </c>
      <c r="I63" s="56">
        <f>_xll.GL("Balance",$B63,Criteria!$D$12,Criteria!$D$15,,$C$3)</f>
        <v>507761.04</v>
      </c>
    </row>
    <row r="64" spans="2:9" ht="17.25" thickBot="1" x14ac:dyDescent="0.35">
      <c r="D64" s="14"/>
      <c r="E64" s="14"/>
      <c r="F64" s="32"/>
      <c r="G64" s="23"/>
      <c r="H64" s="14"/>
      <c r="I64" s="14"/>
    </row>
    <row r="65" spans="2:9" ht="17.25" thickBot="1" x14ac:dyDescent="0.35">
      <c r="B65" s="26">
        <v>299955</v>
      </c>
      <c r="C65" s="52" t="str">
        <f>_xll.NL("First","G/L Account","Name","No.",$B65)</f>
        <v>Net (Surplus) / Deficit</v>
      </c>
      <c r="D65" s="60">
        <f>_xll.GL("Balance",$B65,Criteria!$D$6,Criteria!$D$7,,$C$3)</f>
        <v>-7247.880000000001</v>
      </c>
      <c r="E65" s="61">
        <f>_xll.GL("Budget",$B65,Criteria!$D$6,Criteria!$D$7,,$C$3,,,,,Criteria!$D$9)</f>
        <v>2835</v>
      </c>
      <c r="F65" s="62">
        <f>D65-E65</f>
        <v>-10082.880000000001</v>
      </c>
      <c r="G65" s="63">
        <f>IFERROR(F65/E65,"")</f>
        <v>-3.5565714285714289</v>
      </c>
      <c r="H65" s="61">
        <f>_xll.GL("Budget",$B65,Criteria!$D$4,Criteria!$D$5,,$C$3,,,,,Criteria!$D$9)</f>
        <v>3984</v>
      </c>
      <c r="I65" s="64">
        <f>_xll.GL("Balance",$B65,Criteria!$D$12,Criteria!$D$15,,$C$3)</f>
        <v>23681.87</v>
      </c>
    </row>
    <row r="66" spans="2:9" x14ac:dyDescent="0.3">
      <c r="D66" s="14"/>
      <c r="E66" s="14"/>
      <c r="F66" s="14"/>
      <c r="G66" s="23"/>
      <c r="H66" s="14"/>
      <c r="I66" s="14"/>
    </row>
    <row r="67" spans="2:9" x14ac:dyDescent="0.3">
      <c r="D67" s="14"/>
      <c r="E67" s="14"/>
      <c r="F67" s="14"/>
      <c r="G67" s="23"/>
      <c r="H67" s="14"/>
      <c r="I67" s="14"/>
    </row>
    <row r="68" spans="2:9" x14ac:dyDescent="0.3">
      <c r="D68" s="14"/>
      <c r="E68" s="14"/>
      <c r="F68" s="14"/>
      <c r="G68" s="23"/>
      <c r="H68" s="14"/>
      <c r="I68" s="14"/>
    </row>
    <row r="69" spans="2:9" s="9" customFormat="1" ht="14.25" x14ac:dyDescent="0.2">
      <c r="B69" s="25"/>
      <c r="D69" s="15"/>
      <c r="E69" s="15"/>
      <c r="F69" s="15"/>
      <c r="G69" s="24"/>
      <c r="H69" s="15"/>
      <c r="I69" s="15"/>
    </row>
    <row r="70" spans="2:9" s="9" customFormat="1" ht="14.25" x14ac:dyDescent="0.2">
      <c r="B70" s="25"/>
      <c r="D70" s="15"/>
      <c r="E70" s="15"/>
      <c r="F70" s="15"/>
      <c r="G70" s="24"/>
      <c r="H70" s="15"/>
      <c r="I70" s="15"/>
    </row>
    <row r="71" spans="2:9" x14ac:dyDescent="0.3">
      <c r="D71" s="14"/>
      <c r="E71" s="14"/>
      <c r="F71" s="14"/>
      <c r="G71" s="23"/>
      <c r="H71" s="14"/>
      <c r="I71" s="14"/>
    </row>
    <row r="72" spans="2:9" x14ac:dyDescent="0.3">
      <c r="D72" s="14"/>
      <c r="E72" s="14"/>
      <c r="F72" s="14"/>
      <c r="G72" s="23"/>
      <c r="H72" s="14"/>
      <c r="I72" s="14"/>
    </row>
    <row r="73" spans="2:9" s="9" customFormat="1" ht="14.25" x14ac:dyDescent="0.2">
      <c r="B73" s="25"/>
      <c r="D73" s="15"/>
      <c r="E73" s="15"/>
      <c r="F73" s="15"/>
      <c r="G73" s="24"/>
      <c r="H73" s="15"/>
      <c r="I73" s="15"/>
    </row>
    <row r="74" spans="2:9" s="9" customFormat="1" ht="14.25" x14ac:dyDescent="0.2">
      <c r="B74" s="25"/>
      <c r="D74" s="15"/>
      <c r="E74" s="15"/>
      <c r="F74" s="15"/>
      <c r="G74" s="24"/>
      <c r="H74" s="15"/>
      <c r="I74" s="15"/>
    </row>
    <row r="75" spans="2:9" x14ac:dyDescent="0.3">
      <c r="D75" s="14"/>
      <c r="E75" s="14"/>
      <c r="F75" s="14"/>
      <c r="G75" s="23"/>
      <c r="H75" s="14"/>
      <c r="I75" s="14"/>
    </row>
    <row r="76" spans="2:9" x14ac:dyDescent="0.3">
      <c r="D76" s="14"/>
      <c r="E76" s="14"/>
      <c r="F76" s="14"/>
      <c r="G76" s="23"/>
      <c r="H76" s="14"/>
      <c r="I76" s="14"/>
    </row>
    <row r="77" spans="2:9" x14ac:dyDescent="0.3">
      <c r="D77" s="14"/>
      <c r="E77" s="14"/>
      <c r="F77" s="14"/>
      <c r="G77" s="23"/>
      <c r="H77" s="14"/>
      <c r="I77" s="14"/>
    </row>
    <row r="78" spans="2:9" x14ac:dyDescent="0.3">
      <c r="D78" s="14"/>
      <c r="E78" s="14"/>
      <c r="F78" s="14"/>
      <c r="G78" s="23"/>
      <c r="H78" s="14"/>
      <c r="I78" s="14"/>
    </row>
    <row r="79" spans="2:9" x14ac:dyDescent="0.3">
      <c r="D79" s="14"/>
      <c r="E79" s="14"/>
      <c r="F79" s="14"/>
      <c r="G79" s="23"/>
      <c r="H79" s="14"/>
      <c r="I79" s="14"/>
    </row>
    <row r="80" spans="2:9" x14ac:dyDescent="0.3">
      <c r="D80" s="14"/>
      <c r="E80" s="14"/>
      <c r="F80" s="14"/>
      <c r="G80" s="23"/>
      <c r="H80" s="14"/>
      <c r="I80" s="14"/>
    </row>
    <row r="81" spans="2:9" x14ac:dyDescent="0.3">
      <c r="D81" s="14"/>
      <c r="E81" s="14"/>
      <c r="F81" s="14"/>
      <c r="G81" s="23"/>
      <c r="H81" s="14"/>
      <c r="I81" s="14"/>
    </row>
    <row r="82" spans="2:9" x14ac:dyDescent="0.3">
      <c r="D82" s="14"/>
      <c r="E82" s="14"/>
      <c r="F82" s="14"/>
      <c r="G82" s="23"/>
      <c r="H82" s="14"/>
      <c r="I82" s="14"/>
    </row>
    <row r="83" spans="2:9" x14ac:dyDescent="0.3">
      <c r="D83" s="14"/>
      <c r="E83" s="14"/>
      <c r="F83" s="14"/>
      <c r="G83" s="23"/>
      <c r="H83" s="14"/>
      <c r="I83" s="14"/>
    </row>
    <row r="84" spans="2:9" x14ac:dyDescent="0.3">
      <c r="D84" s="14"/>
      <c r="E84" s="14"/>
      <c r="F84" s="14"/>
      <c r="G84" s="23"/>
      <c r="H84" s="14"/>
      <c r="I84" s="14"/>
    </row>
    <row r="85" spans="2:9" x14ac:dyDescent="0.3">
      <c r="D85" s="14"/>
      <c r="E85" s="14"/>
      <c r="F85" s="14"/>
      <c r="G85" s="23"/>
      <c r="H85" s="14"/>
      <c r="I85" s="14"/>
    </row>
    <row r="86" spans="2:9" x14ac:dyDescent="0.3">
      <c r="D86" s="14"/>
      <c r="E86" s="14"/>
      <c r="F86" s="14"/>
      <c r="G86" s="23"/>
      <c r="H86" s="14"/>
      <c r="I86" s="14"/>
    </row>
    <row r="87" spans="2:9" x14ac:dyDescent="0.3">
      <c r="D87" s="14"/>
      <c r="E87" s="14"/>
      <c r="F87" s="14"/>
      <c r="G87" s="23"/>
      <c r="H87" s="14"/>
      <c r="I87" s="14"/>
    </row>
    <row r="88" spans="2:9" s="9" customFormat="1" ht="14.25" x14ac:dyDescent="0.2">
      <c r="B88" s="25"/>
      <c r="D88" s="15"/>
      <c r="E88" s="15"/>
      <c r="F88" s="15"/>
      <c r="G88" s="24"/>
      <c r="H88" s="15"/>
      <c r="I88" s="15"/>
    </row>
    <row r="89" spans="2:9" s="9" customFormat="1" ht="14.25" x14ac:dyDescent="0.2">
      <c r="B89" s="25"/>
      <c r="D89" s="15"/>
      <c r="E89" s="15"/>
      <c r="F89" s="15"/>
      <c r="G89" s="24"/>
      <c r="H89" s="15"/>
      <c r="I89" s="15"/>
    </row>
    <row r="90" spans="2:9" x14ac:dyDescent="0.3">
      <c r="D90" s="14"/>
      <c r="E90" s="14"/>
      <c r="F90" s="14"/>
      <c r="G90" s="23"/>
      <c r="H90" s="14"/>
      <c r="I90" s="14"/>
    </row>
    <row r="91" spans="2:9" x14ac:dyDescent="0.3">
      <c r="D91" s="14"/>
      <c r="E91" s="14"/>
      <c r="F91" s="14"/>
      <c r="G91" s="23"/>
      <c r="H91" s="14"/>
      <c r="I91" s="14"/>
    </row>
    <row r="92" spans="2:9" x14ac:dyDescent="0.3">
      <c r="D92" s="14"/>
      <c r="E92" s="14"/>
      <c r="F92" s="14"/>
      <c r="G92" s="23"/>
      <c r="H92" s="14"/>
      <c r="I92" s="14"/>
    </row>
    <row r="93" spans="2:9" x14ac:dyDescent="0.3">
      <c r="D93" s="14"/>
      <c r="E93" s="14"/>
      <c r="F93" s="14"/>
      <c r="G93" s="23"/>
      <c r="H93" s="14"/>
      <c r="I93" s="14"/>
    </row>
    <row r="94" spans="2:9" x14ac:dyDescent="0.3">
      <c r="D94" s="14"/>
      <c r="E94" s="14"/>
      <c r="F94" s="14"/>
      <c r="G94" s="23"/>
      <c r="H94" s="14"/>
      <c r="I94" s="14"/>
    </row>
    <row r="95" spans="2:9" x14ac:dyDescent="0.3">
      <c r="D95" s="14"/>
      <c r="E95" s="14"/>
      <c r="F95" s="14"/>
      <c r="G95" s="23"/>
      <c r="H95" s="14"/>
      <c r="I95" s="14"/>
    </row>
    <row r="96" spans="2:9" x14ac:dyDescent="0.3">
      <c r="D96" s="14"/>
      <c r="E96" s="14"/>
      <c r="F96" s="14"/>
      <c r="G96" s="23"/>
      <c r="H96" s="14"/>
      <c r="I96" s="14"/>
    </row>
    <row r="97" spans="2:9" s="9" customFormat="1" ht="14.25" x14ac:dyDescent="0.2">
      <c r="B97" s="25"/>
      <c r="D97" s="15"/>
      <c r="E97" s="15"/>
      <c r="F97" s="15"/>
      <c r="G97" s="24"/>
      <c r="H97" s="15"/>
      <c r="I97" s="15"/>
    </row>
    <row r="98" spans="2:9" s="9" customFormat="1" ht="14.25" x14ac:dyDescent="0.2">
      <c r="B98" s="25"/>
      <c r="D98" s="15"/>
      <c r="E98" s="15"/>
      <c r="F98" s="15"/>
      <c r="G98" s="24"/>
      <c r="H98" s="15"/>
      <c r="I98" s="15"/>
    </row>
    <row r="99" spans="2:9" x14ac:dyDescent="0.3">
      <c r="D99" s="14"/>
      <c r="E99" s="14"/>
      <c r="F99" s="14"/>
      <c r="G99" s="23"/>
      <c r="H99" s="14"/>
      <c r="I99" s="14"/>
    </row>
    <row r="100" spans="2:9" x14ac:dyDescent="0.3">
      <c r="D100" s="14"/>
      <c r="E100" s="14"/>
      <c r="F100" s="14"/>
      <c r="G100" s="23"/>
      <c r="H100" s="14"/>
      <c r="I100" s="14"/>
    </row>
    <row r="101" spans="2:9" x14ac:dyDescent="0.3">
      <c r="D101" s="14"/>
      <c r="E101" s="14"/>
      <c r="F101" s="14"/>
      <c r="G101" s="23"/>
      <c r="H101" s="14"/>
      <c r="I101" s="14"/>
    </row>
    <row r="102" spans="2:9" x14ac:dyDescent="0.3">
      <c r="D102" s="14"/>
      <c r="E102" s="14"/>
      <c r="F102" s="14"/>
      <c r="G102" s="23"/>
      <c r="H102" s="14"/>
      <c r="I102" s="14"/>
    </row>
    <row r="103" spans="2:9" x14ac:dyDescent="0.3">
      <c r="D103" s="14"/>
      <c r="E103" s="14"/>
      <c r="F103" s="14"/>
      <c r="G103" s="23"/>
      <c r="H103" s="14"/>
      <c r="I103" s="14"/>
    </row>
    <row r="104" spans="2:9" s="9" customFormat="1" ht="14.25" x14ac:dyDescent="0.2">
      <c r="B104" s="25"/>
      <c r="D104" s="15"/>
      <c r="E104" s="15"/>
      <c r="F104" s="15"/>
      <c r="G104" s="24"/>
      <c r="H104" s="15"/>
      <c r="I104" s="15"/>
    </row>
    <row r="105" spans="2:9" s="9" customFormat="1" ht="14.25" x14ac:dyDescent="0.2">
      <c r="B105" s="25"/>
      <c r="D105" s="15"/>
      <c r="E105" s="15"/>
      <c r="F105" s="15"/>
      <c r="G105" s="24"/>
      <c r="H105" s="15"/>
      <c r="I105" s="15"/>
    </row>
    <row r="106" spans="2:9" x14ac:dyDescent="0.3">
      <c r="D106" s="14"/>
      <c r="E106" s="14"/>
      <c r="F106" s="14"/>
      <c r="G106" s="23"/>
      <c r="H106" s="14"/>
      <c r="I106" s="14"/>
    </row>
    <row r="107" spans="2:9" x14ac:dyDescent="0.3">
      <c r="D107" s="14"/>
      <c r="E107" s="14"/>
      <c r="F107" s="14"/>
      <c r="G107" s="23"/>
      <c r="H107" s="14"/>
      <c r="I107" s="14"/>
    </row>
    <row r="108" spans="2:9" x14ac:dyDescent="0.3">
      <c r="D108" s="14"/>
      <c r="E108" s="14"/>
      <c r="F108" s="14"/>
      <c r="G108" s="23"/>
      <c r="H108" s="14"/>
      <c r="I108" s="14"/>
    </row>
    <row r="109" spans="2:9" x14ac:dyDescent="0.3">
      <c r="D109" s="14"/>
      <c r="E109" s="14"/>
      <c r="F109" s="14"/>
      <c r="G109" s="23"/>
      <c r="H109" s="14"/>
      <c r="I109" s="14"/>
    </row>
    <row r="110" spans="2:9" x14ac:dyDescent="0.3">
      <c r="D110" s="14"/>
      <c r="E110" s="14"/>
      <c r="F110" s="14"/>
      <c r="G110" s="23"/>
      <c r="H110" s="14"/>
      <c r="I110" s="14"/>
    </row>
    <row r="111" spans="2:9" x14ac:dyDescent="0.3">
      <c r="D111" s="14"/>
      <c r="E111" s="14"/>
      <c r="F111" s="14"/>
      <c r="G111" s="23"/>
      <c r="H111" s="14"/>
      <c r="I111" s="14"/>
    </row>
    <row r="112" spans="2:9" s="9" customFormat="1" ht="14.25" x14ac:dyDescent="0.2">
      <c r="B112" s="25"/>
      <c r="D112" s="15"/>
      <c r="E112" s="15"/>
      <c r="F112" s="15"/>
      <c r="G112" s="24"/>
      <c r="H112" s="15"/>
      <c r="I112" s="15"/>
    </row>
    <row r="113" spans="2:9" s="9" customFormat="1" ht="14.25" x14ac:dyDescent="0.2">
      <c r="B113" s="25"/>
      <c r="D113" s="15"/>
      <c r="E113" s="15"/>
      <c r="F113" s="15"/>
      <c r="G113" s="24"/>
      <c r="H113" s="15"/>
      <c r="I113" s="15"/>
    </row>
    <row r="114" spans="2:9" x14ac:dyDescent="0.3">
      <c r="D114" s="14"/>
      <c r="E114" s="14"/>
      <c r="F114" s="14"/>
      <c r="G114" s="23"/>
      <c r="H114" s="14"/>
      <c r="I114" s="14"/>
    </row>
    <row r="115" spans="2:9" x14ac:dyDescent="0.3">
      <c r="D115" s="14"/>
      <c r="E115" s="14"/>
      <c r="F115" s="14"/>
      <c r="G115" s="23"/>
      <c r="H115" s="14"/>
      <c r="I115" s="14"/>
    </row>
    <row r="116" spans="2:9" x14ac:dyDescent="0.3">
      <c r="D116" s="14"/>
      <c r="E116" s="14"/>
      <c r="F116" s="14"/>
      <c r="G116" s="23"/>
      <c r="H116" s="14"/>
      <c r="I116" s="14"/>
    </row>
    <row r="117" spans="2:9" x14ac:dyDescent="0.3">
      <c r="D117" s="14"/>
      <c r="E117" s="14"/>
      <c r="F117" s="14"/>
      <c r="G117" s="23"/>
      <c r="H117" s="14"/>
      <c r="I117" s="14"/>
    </row>
    <row r="118" spans="2:9" x14ac:dyDescent="0.3">
      <c r="D118" s="14"/>
      <c r="E118" s="14"/>
      <c r="F118" s="14"/>
      <c r="G118" s="23"/>
      <c r="H118" s="14"/>
      <c r="I118" s="14"/>
    </row>
    <row r="119" spans="2:9" x14ac:dyDescent="0.3">
      <c r="D119" s="14"/>
      <c r="E119" s="14"/>
      <c r="F119" s="14"/>
      <c r="G119" s="23"/>
      <c r="H119" s="14"/>
      <c r="I119" s="14"/>
    </row>
    <row r="120" spans="2:9" x14ac:dyDescent="0.3">
      <c r="D120" s="14"/>
      <c r="E120" s="14"/>
      <c r="F120" s="14"/>
      <c r="G120" s="23"/>
      <c r="H120" s="14"/>
      <c r="I120" s="14"/>
    </row>
    <row r="121" spans="2:9" x14ac:dyDescent="0.3">
      <c r="D121" s="14"/>
      <c r="E121" s="14"/>
      <c r="F121" s="14"/>
      <c r="G121" s="23"/>
      <c r="H121" s="14"/>
      <c r="I121" s="14"/>
    </row>
    <row r="122" spans="2:9" x14ac:dyDescent="0.3">
      <c r="D122" s="14"/>
      <c r="E122" s="14"/>
      <c r="F122" s="14"/>
      <c r="G122" s="23"/>
      <c r="H122" s="14"/>
      <c r="I122" s="14"/>
    </row>
    <row r="123" spans="2:9" x14ac:dyDescent="0.3">
      <c r="D123" s="14"/>
      <c r="E123" s="14"/>
      <c r="F123" s="14"/>
      <c r="G123" s="23"/>
      <c r="H123" s="14"/>
      <c r="I123" s="14"/>
    </row>
    <row r="124" spans="2:9" x14ac:dyDescent="0.3">
      <c r="D124" s="14"/>
      <c r="E124" s="14"/>
      <c r="F124" s="14"/>
      <c r="G124" s="23"/>
      <c r="H124" s="14"/>
      <c r="I124" s="14"/>
    </row>
    <row r="125" spans="2:9" x14ac:dyDescent="0.3">
      <c r="D125" s="14"/>
      <c r="E125" s="14"/>
      <c r="F125" s="14"/>
      <c r="G125" s="23"/>
      <c r="H125" s="14"/>
      <c r="I125" s="14"/>
    </row>
    <row r="126" spans="2:9" x14ac:dyDescent="0.3">
      <c r="D126" s="14"/>
      <c r="E126" s="14"/>
      <c r="F126" s="14"/>
      <c r="G126" s="23"/>
      <c r="H126" s="14"/>
      <c r="I126" s="14"/>
    </row>
    <row r="127" spans="2:9" x14ac:dyDescent="0.3">
      <c r="D127" s="14"/>
      <c r="E127" s="14"/>
      <c r="F127" s="14"/>
      <c r="G127" s="23"/>
      <c r="H127" s="14"/>
      <c r="I127" s="14"/>
    </row>
    <row r="128" spans="2:9" x14ac:dyDescent="0.3">
      <c r="D128" s="14"/>
      <c r="E128" s="14"/>
      <c r="F128" s="14"/>
      <c r="G128" s="23"/>
      <c r="H128" s="14"/>
      <c r="I128" s="14"/>
    </row>
    <row r="129" spans="2:9" x14ac:dyDescent="0.3">
      <c r="D129" s="14"/>
      <c r="E129" s="14"/>
      <c r="F129" s="14"/>
      <c r="G129" s="23"/>
      <c r="H129" s="14"/>
      <c r="I129" s="14"/>
    </row>
    <row r="130" spans="2:9" x14ac:dyDescent="0.3">
      <c r="D130" s="14"/>
      <c r="E130" s="14"/>
      <c r="F130" s="14"/>
      <c r="G130" s="23"/>
      <c r="H130" s="14"/>
      <c r="I130" s="14"/>
    </row>
    <row r="131" spans="2:9" x14ac:dyDescent="0.3">
      <c r="D131" s="14"/>
      <c r="E131" s="14"/>
      <c r="F131" s="14"/>
      <c r="G131" s="23"/>
      <c r="H131" s="14"/>
      <c r="I131" s="14"/>
    </row>
    <row r="132" spans="2:9" s="9" customFormat="1" ht="14.25" x14ac:dyDescent="0.2">
      <c r="B132" s="25"/>
      <c r="D132" s="15"/>
      <c r="E132" s="15"/>
      <c r="F132" s="15"/>
      <c r="G132" s="24"/>
      <c r="H132" s="15"/>
      <c r="I132" s="15"/>
    </row>
    <row r="133" spans="2:9" s="9" customFormat="1" ht="14.25" x14ac:dyDescent="0.2">
      <c r="B133" s="25"/>
      <c r="D133" s="15"/>
      <c r="E133" s="15"/>
      <c r="F133" s="15"/>
      <c r="G133" s="24"/>
      <c r="H133" s="15"/>
      <c r="I133" s="15"/>
    </row>
    <row r="134" spans="2:9" x14ac:dyDescent="0.3">
      <c r="D134" s="14"/>
      <c r="E134" s="14"/>
      <c r="F134" s="14"/>
      <c r="G134" s="23"/>
      <c r="H134" s="14"/>
      <c r="I134" s="14"/>
    </row>
    <row r="135" spans="2:9" x14ac:dyDescent="0.3">
      <c r="D135" s="14"/>
      <c r="E135" s="14"/>
      <c r="F135" s="14"/>
      <c r="G135" s="23"/>
      <c r="H135" s="14"/>
      <c r="I135" s="14"/>
    </row>
    <row r="136" spans="2:9" x14ac:dyDescent="0.3">
      <c r="D136" s="14"/>
      <c r="E136" s="14"/>
      <c r="F136" s="14"/>
      <c r="G136" s="23"/>
      <c r="H136" s="14"/>
      <c r="I136" s="14"/>
    </row>
    <row r="137" spans="2:9" x14ac:dyDescent="0.3">
      <c r="D137" s="14"/>
      <c r="E137" s="14"/>
      <c r="F137" s="14"/>
      <c r="G137" s="23"/>
      <c r="H137" s="14"/>
      <c r="I137" s="14"/>
    </row>
    <row r="138" spans="2:9" x14ac:dyDescent="0.3">
      <c r="D138" s="14"/>
      <c r="E138" s="14"/>
      <c r="F138" s="14"/>
      <c r="G138" s="23"/>
      <c r="H138" s="14"/>
      <c r="I138" s="14"/>
    </row>
    <row r="139" spans="2:9" x14ac:dyDescent="0.3">
      <c r="D139" s="14"/>
      <c r="E139" s="14"/>
      <c r="F139" s="14"/>
      <c r="G139" s="23"/>
      <c r="H139" s="14"/>
      <c r="I139" s="14"/>
    </row>
    <row r="140" spans="2:9" x14ac:dyDescent="0.3">
      <c r="D140" s="14"/>
      <c r="E140" s="14"/>
      <c r="F140" s="14"/>
      <c r="G140" s="23"/>
      <c r="H140" s="14"/>
      <c r="I140" s="14"/>
    </row>
    <row r="141" spans="2:9" x14ac:dyDescent="0.3">
      <c r="D141" s="14"/>
      <c r="E141" s="14"/>
      <c r="F141" s="14"/>
      <c r="G141" s="23"/>
      <c r="H141" s="14"/>
      <c r="I141" s="14"/>
    </row>
    <row r="142" spans="2:9" x14ac:dyDescent="0.3">
      <c r="D142" s="14"/>
      <c r="E142" s="14"/>
      <c r="F142" s="14"/>
      <c r="G142" s="23"/>
      <c r="H142" s="14"/>
      <c r="I142" s="14"/>
    </row>
    <row r="143" spans="2:9" x14ac:dyDescent="0.3">
      <c r="D143" s="14"/>
      <c r="E143" s="14"/>
      <c r="F143" s="14"/>
      <c r="G143" s="23"/>
      <c r="H143" s="14"/>
      <c r="I143" s="14"/>
    </row>
    <row r="144" spans="2:9" x14ac:dyDescent="0.3">
      <c r="D144" s="14"/>
      <c r="E144" s="14"/>
      <c r="F144" s="14"/>
      <c r="G144" s="23"/>
      <c r="H144" s="14"/>
      <c r="I144" s="14"/>
    </row>
    <row r="145" spans="2:9" x14ac:dyDescent="0.3">
      <c r="D145" s="14"/>
      <c r="E145" s="14"/>
      <c r="F145" s="14"/>
      <c r="G145" s="23"/>
      <c r="H145" s="14"/>
      <c r="I145" s="14"/>
    </row>
    <row r="146" spans="2:9" s="9" customFormat="1" ht="14.25" x14ac:dyDescent="0.2">
      <c r="B146" s="25"/>
      <c r="D146" s="15"/>
      <c r="E146" s="15"/>
      <c r="F146" s="15"/>
      <c r="G146" s="24"/>
      <c r="H146" s="15"/>
      <c r="I146" s="15"/>
    </row>
    <row r="147" spans="2:9" s="9" customFormat="1" ht="14.25" x14ac:dyDescent="0.2">
      <c r="B147" s="25"/>
      <c r="D147" s="15"/>
      <c r="E147" s="15"/>
      <c r="F147" s="15"/>
      <c r="G147" s="24"/>
      <c r="H147" s="15"/>
      <c r="I147" s="15"/>
    </row>
    <row r="148" spans="2:9" x14ac:dyDescent="0.3">
      <c r="D148" s="14"/>
      <c r="E148" s="14"/>
      <c r="F148" s="14"/>
      <c r="G148" s="23"/>
      <c r="H148" s="14"/>
      <c r="I148" s="14"/>
    </row>
    <row r="149" spans="2:9" x14ac:dyDescent="0.3">
      <c r="D149" s="14"/>
      <c r="E149" s="14"/>
      <c r="F149" s="14"/>
      <c r="G149" s="23"/>
      <c r="H149" s="14"/>
      <c r="I149" s="14"/>
    </row>
    <row r="150" spans="2:9" x14ac:dyDescent="0.3">
      <c r="D150" s="14"/>
      <c r="E150" s="14"/>
      <c r="F150" s="14"/>
      <c r="G150" s="23"/>
      <c r="H150" s="14"/>
      <c r="I150" s="14"/>
    </row>
    <row r="151" spans="2:9" x14ac:dyDescent="0.3">
      <c r="D151" s="14"/>
      <c r="E151" s="14"/>
      <c r="F151" s="14"/>
      <c r="G151" s="23"/>
      <c r="H151" s="14"/>
      <c r="I151" s="14"/>
    </row>
    <row r="152" spans="2:9" x14ac:dyDescent="0.3">
      <c r="D152" s="14"/>
      <c r="E152" s="14"/>
      <c r="F152" s="14"/>
      <c r="G152" s="23"/>
      <c r="H152" s="14"/>
      <c r="I152" s="14"/>
    </row>
    <row r="153" spans="2:9" x14ac:dyDescent="0.3">
      <c r="D153" s="14"/>
      <c r="E153" s="14"/>
      <c r="F153" s="14"/>
      <c r="G153" s="23"/>
      <c r="H153" s="14"/>
      <c r="I153" s="14"/>
    </row>
    <row r="154" spans="2:9" x14ac:dyDescent="0.3">
      <c r="D154" s="14"/>
      <c r="E154" s="14"/>
      <c r="F154" s="14"/>
      <c r="G154" s="23"/>
      <c r="H154" s="14"/>
      <c r="I154" s="14"/>
    </row>
    <row r="155" spans="2:9" s="9" customFormat="1" ht="14.25" x14ac:dyDescent="0.2">
      <c r="B155" s="25"/>
      <c r="D155" s="15"/>
      <c r="E155" s="15"/>
      <c r="F155" s="15"/>
      <c r="G155" s="24"/>
      <c r="H155" s="15"/>
      <c r="I155" s="15"/>
    </row>
    <row r="156" spans="2:9" s="9" customFormat="1" ht="14.25" x14ac:dyDescent="0.2">
      <c r="B156" s="25"/>
      <c r="D156" s="15"/>
      <c r="E156" s="15"/>
      <c r="F156" s="15"/>
      <c r="G156" s="24"/>
      <c r="H156" s="15"/>
      <c r="I156" s="15"/>
    </row>
    <row r="157" spans="2:9" x14ac:dyDescent="0.3">
      <c r="D157" s="14"/>
      <c r="E157" s="14"/>
      <c r="F157" s="14"/>
      <c r="G157" s="23"/>
      <c r="H157" s="14"/>
      <c r="I157" s="14"/>
    </row>
    <row r="158" spans="2:9" s="9" customFormat="1" ht="14.25" x14ac:dyDescent="0.2">
      <c r="B158" s="25"/>
      <c r="D158" s="15"/>
      <c r="E158" s="15"/>
      <c r="F158" s="15"/>
      <c r="G158" s="24"/>
      <c r="H158" s="15"/>
      <c r="I158" s="15"/>
    </row>
    <row r="159" spans="2:9" s="9" customFormat="1" ht="14.25" x14ac:dyDescent="0.2">
      <c r="B159" s="25"/>
      <c r="D159" s="15"/>
      <c r="E159" s="15"/>
      <c r="F159" s="15"/>
      <c r="G159" s="24"/>
      <c r="H159" s="15"/>
      <c r="I159" s="15"/>
    </row>
    <row r="160" spans="2:9" s="9" customFormat="1" ht="14.25" x14ac:dyDescent="0.2">
      <c r="B160" s="25"/>
      <c r="D160" s="15"/>
      <c r="E160" s="15"/>
      <c r="F160" s="15"/>
      <c r="G160" s="24"/>
      <c r="H160" s="15"/>
      <c r="I160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Criteria</vt:lpstr>
      <vt:lpstr>Finance Review</vt:lpstr>
      <vt:lpstr>Dashboard</vt:lpstr>
      <vt:lpstr>Acc.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Coe</dc:creator>
  <cp:lastModifiedBy>Mike W. Sipich</cp:lastModifiedBy>
  <cp:lastPrinted>2019-01-21T16:57:30Z</cp:lastPrinted>
  <dcterms:created xsi:type="dcterms:W3CDTF">2018-11-15T10:45:19Z</dcterms:created>
  <dcterms:modified xsi:type="dcterms:W3CDTF">2019-01-29T15:48:08Z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true</vt:bool>
  </property>
  <property fmtid="{D5CDD505-2E9C-101B-9397-08002B2CF9AE}" pid="3" name="Jet Reports Function Literals">
    <vt:lpwstr>,	;	,	{	}	[@[{0}]]	1033</vt:lpwstr>
  </property>
</Properties>
</file>